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16"/>
  <workbookPr/>
  <mc:AlternateContent xmlns:mc="http://schemas.openxmlformats.org/markup-compatibility/2006">
    <mc:Choice Requires="x15">
      <x15ac:absPath xmlns:x15ac="http://schemas.microsoft.com/office/spreadsheetml/2010/11/ac" url="/Users/usermac/Downloads/"/>
    </mc:Choice>
  </mc:AlternateContent>
  <xr:revisionPtr revIDLastSave="29" documentId="13_ncr:1_{75510582-0454-9D46-9A3B-91633D841858}" xr6:coauthVersionLast="47" xr6:coauthVersionMax="47" xr10:uidLastSave="{995AAA17-AE72-49A7-9076-7A7C5E4EDD56}"/>
  <bookViews>
    <workbookView xWindow="0" yWindow="0" windowWidth="25600" windowHeight="16000" tabRatio="442" xr2:uid="{00000000-000D-0000-FFFF-FFFF00000000}"/>
  </bookViews>
  <sheets>
    <sheet name="INFORME EJECUCIÓN FINANCIERA" sheetId="1" r:id="rId1"/>
    <sheet name="Ejemplo" sheetId="2" r:id="rId2"/>
    <sheet name="Observaciones" sheetId="3" r:id="rId3"/>
  </sheets>
  <definedNames>
    <definedName name="_xlnm._FilterDatabase" localSheetId="0" hidden="1">'INFORME EJECUCIÓN FINANCIERA'!$H$22:$Q$385</definedName>
    <definedName name="_xlnm.Print_Area" localSheetId="0">'INFORME EJECUCIÓN FINANCIERA'!$A$1:$R$403</definedName>
    <definedName name="_xlnm.Print_Titles" localSheetId="0">'INFORME EJECUCIÓN FINANCIERA'!$20:$21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381" i="1" l="1"/>
  <c r="P382" i="1"/>
  <c r="D167" i="1" l="1"/>
  <c r="P166" i="1"/>
  <c r="N204" i="1"/>
  <c r="M204" i="1"/>
  <c r="P204" i="1" s="1"/>
  <c r="O201" i="1"/>
  <c r="N201" i="1"/>
  <c r="M201" i="1"/>
  <c r="P201" i="1" s="1"/>
  <c r="P334" i="1"/>
  <c r="P333" i="1"/>
  <c r="D372" i="1"/>
  <c r="N373" i="1"/>
  <c r="M373" i="1"/>
  <c r="P373" i="1" s="1"/>
  <c r="Q369" i="1"/>
  <c r="O370" i="1"/>
  <c r="N370" i="1"/>
  <c r="P370" i="1" s="1"/>
  <c r="D336" i="1" l="1"/>
  <c r="B332" i="1" s="1"/>
  <c r="O305" i="1" l="1"/>
  <c r="N305" i="1"/>
  <c r="M305" i="1"/>
  <c r="O290" i="1"/>
  <c r="N290" i="1"/>
  <c r="M290" i="1"/>
  <c r="O220" i="1"/>
  <c r="N220" i="1"/>
  <c r="O214" i="1"/>
  <c r="N214" i="1"/>
  <c r="O140" i="1"/>
  <c r="N140" i="1"/>
  <c r="O123" i="1"/>
  <c r="N123" i="1"/>
  <c r="N374" i="1"/>
  <c r="M374" i="1"/>
  <c r="P374" i="1" s="1"/>
  <c r="O371" i="1"/>
  <c r="N371" i="1"/>
  <c r="P371" i="1" s="1"/>
  <c r="N361" i="1"/>
  <c r="P361" i="1" s="1"/>
  <c r="N360" i="1"/>
  <c r="M360" i="1"/>
  <c r="P360" i="1" s="1"/>
  <c r="Q328" i="1"/>
  <c r="P329" i="1"/>
  <c r="O321" i="1"/>
  <c r="O331" i="1" s="1"/>
  <c r="N321" i="1"/>
  <c r="N331" i="1" s="1"/>
  <c r="M321" i="1"/>
  <c r="Q314" i="1"/>
  <c r="P315" i="1"/>
  <c r="Q235" i="1"/>
  <c r="P238" i="1"/>
  <c r="M220" i="1"/>
  <c r="Q218" i="1"/>
  <c r="P218" i="1"/>
  <c r="P220" i="1" s="1"/>
  <c r="N205" i="1"/>
  <c r="M205" i="1"/>
  <c r="O202" i="1"/>
  <c r="N202" i="1"/>
  <c r="M202" i="1"/>
  <c r="Q200" i="1" s="1"/>
  <c r="N195" i="1"/>
  <c r="M195" i="1"/>
  <c r="P195" i="1" s="1"/>
  <c r="N194" i="1"/>
  <c r="M194" i="1"/>
  <c r="P194" i="1" s="1"/>
  <c r="B163" i="1"/>
  <c r="P165" i="1"/>
  <c r="P134" i="1"/>
  <c r="P321" i="1" l="1"/>
  <c r="M331" i="1"/>
  <c r="P202" i="1"/>
  <c r="P205" i="1"/>
  <c r="Q156" i="1" l="1"/>
  <c r="P158" i="1"/>
  <c r="P157" i="1"/>
  <c r="O152" i="1"/>
  <c r="O162" i="1" s="1"/>
  <c r="N152" i="1"/>
  <c r="N162" i="1" s="1"/>
  <c r="M152" i="1"/>
  <c r="Q148" i="1"/>
  <c r="Q141" i="1"/>
  <c r="P149" i="1"/>
  <c r="P141" i="1"/>
  <c r="Q152" i="1" l="1"/>
  <c r="M162" i="1"/>
  <c r="P152" i="1"/>
  <c r="Q326" i="1"/>
  <c r="Q211" i="1"/>
  <c r="Q214" i="1" s="1"/>
  <c r="P213" i="1"/>
  <c r="P214" i="1" s="1"/>
  <c r="M214" i="1"/>
  <c r="Q154" i="1"/>
  <c r="Q150" i="1"/>
  <c r="M140" i="1"/>
  <c r="Q312" i="1" l="1"/>
  <c r="Q311" i="1"/>
  <c r="Q291" i="1"/>
  <c r="Q145" i="1"/>
  <c r="P381" i="1"/>
  <c r="P30" i="1"/>
  <c r="P28" i="1"/>
  <c r="D180" i="1"/>
  <c r="Q180" i="1" s="1"/>
  <c r="P183" i="1"/>
  <c r="P182" i="1"/>
  <c r="D176" i="1"/>
  <c r="Q176" i="1" s="1"/>
  <c r="P179" i="1"/>
  <c r="P178" i="1"/>
  <c r="N372" i="1"/>
  <c r="M372" i="1"/>
  <c r="Q372" i="1" s="1"/>
  <c r="N203" i="1"/>
  <c r="M203" i="1"/>
  <c r="Q203" i="1" s="1"/>
  <c r="O175" i="1"/>
  <c r="N175" i="1"/>
  <c r="M175" i="1"/>
  <c r="O174" i="1"/>
  <c r="N174" i="1"/>
  <c r="M174" i="1"/>
  <c r="O173" i="1"/>
  <c r="N173" i="1"/>
  <c r="M173" i="1"/>
  <c r="P173" i="1" s="1"/>
  <c r="P172" i="1"/>
  <c r="D172" i="1"/>
  <c r="D341" i="1"/>
  <c r="O344" i="1"/>
  <c r="N344" i="1"/>
  <c r="M344" i="1"/>
  <c r="O343" i="1"/>
  <c r="N343" i="1"/>
  <c r="M343" i="1"/>
  <c r="O359" i="1"/>
  <c r="N359" i="1"/>
  <c r="M359" i="1"/>
  <c r="D359" i="1" s="1"/>
  <c r="Q359" i="1" s="1"/>
  <c r="M193" i="1"/>
  <c r="D193" i="1" s="1"/>
  <c r="Q193" i="1" s="1"/>
  <c r="D348" i="1"/>
  <c r="Q348" i="1" s="1"/>
  <c r="Q363" i="1"/>
  <c r="P364" i="1"/>
  <c r="D337" i="1" l="1"/>
  <c r="Q337" i="1" s="1"/>
  <c r="P372" i="1"/>
  <c r="P343" i="1"/>
  <c r="P175" i="1"/>
  <c r="P203" i="1"/>
  <c r="P174" i="1"/>
  <c r="Q172" i="1"/>
  <c r="P344" i="1"/>
  <c r="P359" i="1"/>
  <c r="P330" i="1"/>
  <c r="P311" i="1"/>
  <c r="P144" i="1"/>
  <c r="Q142" i="1"/>
  <c r="P142" i="1"/>
  <c r="P313" i="1" l="1"/>
  <c r="P146" i="1"/>
  <c r="P369" i="1" l="1"/>
  <c r="P200" i="1"/>
  <c r="P297" i="1" l="1"/>
  <c r="Q297" i="1" s="1"/>
  <c r="P181" i="1" l="1"/>
  <c r="Q324" i="1"/>
  <c r="P367" i="1" l="1"/>
  <c r="P114" i="1"/>
  <c r="P116" i="1"/>
  <c r="P115" i="1"/>
  <c r="Q35" i="1" l="1"/>
  <c r="Q241" i="1"/>
  <c r="Q368" i="1"/>
  <c r="Q366" i="1"/>
  <c r="Q365" i="1"/>
  <c r="Q362" i="1"/>
  <c r="Q358" i="1"/>
  <c r="D377" i="1"/>
  <c r="Q357" i="1"/>
  <c r="Q356" i="1"/>
  <c r="Q352" i="1"/>
  <c r="Q345" i="1"/>
  <c r="P326" i="1"/>
  <c r="P328" i="1"/>
  <c r="Q322" i="1"/>
  <c r="D305" i="1"/>
  <c r="Q296" i="1"/>
  <c r="Q234" i="1"/>
  <c r="Q227" i="1"/>
  <c r="P227" i="1"/>
  <c r="Q196" i="1" l="1"/>
  <c r="Q192" i="1"/>
  <c r="Q191" i="1"/>
  <c r="Q189" i="1"/>
  <c r="D184" i="1"/>
  <c r="D206" i="1" s="1"/>
  <c r="Q206" i="1" s="1"/>
  <c r="Q184" i="1" l="1"/>
  <c r="Q134" i="1" l="1"/>
  <c r="Q132" i="1"/>
  <c r="Q126" i="1"/>
  <c r="Q124" i="1"/>
  <c r="Q121" i="1"/>
  <c r="Q118" i="1"/>
  <c r="P317" i="1" l="1"/>
  <c r="P289" i="1"/>
  <c r="P147" i="1"/>
  <c r="Q230" i="1" l="1"/>
  <c r="Q228" i="1"/>
  <c r="P320" i="1"/>
  <c r="P295" i="1"/>
  <c r="P294" i="1"/>
  <c r="Q226" i="1" l="1"/>
  <c r="Q225" i="1"/>
  <c r="P223" i="1"/>
  <c r="Q292" i="1"/>
  <c r="P293" i="1"/>
  <c r="P292" i="1"/>
  <c r="Q318" i="1"/>
  <c r="P319" i="1"/>
  <c r="P368" i="1"/>
  <c r="N188" i="1"/>
  <c r="M188" i="1"/>
  <c r="N376" i="1"/>
  <c r="M376" i="1"/>
  <c r="N375" i="1"/>
  <c r="M375" i="1"/>
  <c r="Q375" i="1" s="1"/>
  <c r="N187" i="1"/>
  <c r="M187" i="1"/>
  <c r="P325" i="1"/>
  <c r="P310" i="1"/>
  <c r="P143" i="1"/>
  <c r="P125" i="1"/>
  <c r="P126" i="1"/>
  <c r="P124" i="1"/>
  <c r="P127" i="1"/>
  <c r="P314" i="1"/>
  <c r="P148" i="1"/>
  <c r="P287" i="1"/>
  <c r="P133" i="1"/>
  <c r="P132" i="1"/>
  <c r="P376" i="1" l="1"/>
  <c r="Q187" i="1"/>
  <c r="P375" i="1"/>
  <c r="P188" i="1"/>
  <c r="P187" i="1"/>
  <c r="Q130" i="1" l="1"/>
  <c r="P163" i="1" l="1"/>
  <c r="D223" i="1" l="1"/>
  <c r="P286" i="1"/>
  <c r="P225" i="1"/>
  <c r="P366" i="1"/>
  <c r="P365" i="1"/>
  <c r="P113" i="1"/>
  <c r="P112" i="1"/>
  <c r="Q33" i="1"/>
  <c r="Q123" i="1" s="1"/>
  <c r="P34" i="1"/>
  <c r="P110" i="1"/>
  <c r="P111" i="1"/>
  <c r="P109" i="1"/>
  <c r="P363" i="1"/>
  <c r="P362" i="1"/>
  <c r="O193" i="1"/>
  <c r="N193" i="1"/>
  <c r="P192" i="1"/>
  <c r="D207" i="1" l="1"/>
  <c r="P193" i="1"/>
  <c r="Q298" i="1" l="1"/>
  <c r="P299" i="1"/>
  <c r="P129" i="1"/>
  <c r="P358" i="1"/>
  <c r="Q306" i="1"/>
  <c r="P307" i="1"/>
  <c r="P283" i="1"/>
  <c r="P284" i="1"/>
  <c r="P285" i="1"/>
  <c r="P282" i="1"/>
  <c r="P108" i="1"/>
  <c r="P357" i="1"/>
  <c r="P288" i="1"/>
  <c r="O164" i="1"/>
  <c r="O167" i="1" s="1"/>
  <c r="N164" i="1"/>
  <c r="N167" i="1" s="1"/>
  <c r="M164" i="1"/>
  <c r="O335" i="1"/>
  <c r="O336" i="1" s="1"/>
  <c r="N335" i="1"/>
  <c r="N336" i="1" s="1"/>
  <c r="M335" i="1"/>
  <c r="Q332" i="1" l="1"/>
  <c r="M336" i="1"/>
  <c r="M167" i="1"/>
  <c r="Q163" i="1"/>
  <c r="Q167" i="1" s="1"/>
  <c r="Q336" i="1"/>
  <c r="P164" i="1"/>
  <c r="P167" i="1" s="1"/>
  <c r="P335" i="1"/>
  <c r="P196" i="1"/>
  <c r="P191" i="1"/>
  <c r="P356" i="1" l="1"/>
  <c r="Q224" i="1"/>
  <c r="P224" i="1"/>
  <c r="N355" i="1"/>
  <c r="M355" i="1"/>
  <c r="Q355" i="1" s="1"/>
  <c r="N168" i="1"/>
  <c r="M168" i="1"/>
  <c r="P190" i="1"/>
  <c r="P189" i="1"/>
  <c r="P347" i="1"/>
  <c r="P105" i="1"/>
  <c r="P106" i="1"/>
  <c r="P107" i="1"/>
  <c r="P117" i="1"/>
  <c r="P104" i="1"/>
  <c r="P281" i="1"/>
  <c r="P226" i="1"/>
  <c r="P354" i="1"/>
  <c r="P186" i="1"/>
  <c r="P168" i="1" l="1"/>
  <c r="P355" i="1"/>
  <c r="M171" i="1" l="1"/>
  <c r="P171" i="1" s="1"/>
  <c r="M340" i="1"/>
  <c r="P340" i="1" s="1"/>
  <c r="P324" i="1"/>
  <c r="P135" i="1"/>
  <c r="P323" i="1" l="1"/>
  <c r="P267" i="1"/>
  <c r="P268" i="1"/>
  <c r="P269" i="1"/>
  <c r="P270" i="1"/>
  <c r="P271" i="1"/>
  <c r="P272" i="1"/>
  <c r="P273" i="1"/>
  <c r="P274" i="1"/>
  <c r="P275" i="1"/>
  <c r="P276" i="1"/>
  <c r="P277" i="1"/>
  <c r="P278" i="1"/>
  <c r="P279" i="1"/>
  <c r="P280" i="1"/>
  <c r="P232" i="1"/>
  <c r="P231" i="1"/>
  <c r="P266" i="1"/>
  <c r="P261" i="1"/>
  <c r="P260" i="1"/>
  <c r="P62" i="1"/>
  <c r="P63" i="1"/>
  <c r="P64" i="1"/>
  <c r="P65" i="1"/>
  <c r="P66" i="1"/>
  <c r="P67" i="1"/>
  <c r="P68" i="1"/>
  <c r="P69" i="1"/>
  <c r="P70" i="1"/>
  <c r="P71" i="1"/>
  <c r="P72" i="1"/>
  <c r="P73" i="1"/>
  <c r="P74" i="1"/>
  <c r="P75" i="1"/>
  <c r="P76" i="1"/>
  <c r="P77" i="1"/>
  <c r="P78" i="1"/>
  <c r="P79" i="1"/>
  <c r="P80" i="1"/>
  <c r="P81" i="1"/>
  <c r="P82" i="1"/>
  <c r="P83" i="1"/>
  <c r="P84" i="1"/>
  <c r="P85" i="1"/>
  <c r="P86" i="1"/>
  <c r="P87" i="1"/>
  <c r="P88" i="1"/>
  <c r="P89" i="1"/>
  <c r="P90" i="1"/>
  <c r="P91" i="1"/>
  <c r="P92" i="1"/>
  <c r="P93" i="1"/>
  <c r="P94" i="1"/>
  <c r="P95" i="1"/>
  <c r="P96" i="1"/>
  <c r="P97" i="1"/>
  <c r="P98" i="1"/>
  <c r="P99" i="1"/>
  <c r="P100" i="1"/>
  <c r="P262" i="1"/>
  <c r="P263" i="1"/>
  <c r="P101" i="1"/>
  <c r="P102" i="1"/>
  <c r="P264" i="1"/>
  <c r="P265" i="1"/>
  <c r="P103" i="1"/>
  <c r="P228" i="1"/>
  <c r="P229" i="1"/>
  <c r="P230" i="1"/>
  <c r="P233" i="1"/>
  <c r="P241" i="1"/>
  <c r="P242" i="1"/>
  <c r="P243" i="1"/>
  <c r="P244" i="1"/>
  <c r="P245" i="1"/>
  <c r="P246" i="1"/>
  <c r="P247" i="1"/>
  <c r="P248" i="1"/>
  <c r="P249" i="1"/>
  <c r="P250" i="1"/>
  <c r="P251" i="1"/>
  <c r="P252" i="1"/>
  <c r="P253" i="1"/>
  <c r="P254" i="1"/>
  <c r="P255" i="1"/>
  <c r="P256" i="1"/>
  <c r="P257" i="1"/>
  <c r="P258" i="1"/>
  <c r="P259" i="1"/>
  <c r="P185" i="1"/>
  <c r="P184" i="1"/>
  <c r="P36" i="1"/>
  <c r="P37" i="1"/>
  <c r="P38" i="1"/>
  <c r="P39" i="1"/>
  <c r="P40" i="1"/>
  <c r="P41" i="1"/>
  <c r="P42" i="1"/>
  <c r="P43" i="1"/>
  <c r="P44" i="1"/>
  <c r="P45" i="1"/>
  <c r="P46" i="1"/>
  <c r="P47" i="1"/>
  <c r="P48" i="1"/>
  <c r="P49" i="1"/>
  <c r="P50" i="1"/>
  <c r="P51" i="1"/>
  <c r="P52" i="1"/>
  <c r="P53" i="1"/>
  <c r="P54" i="1"/>
  <c r="P55" i="1"/>
  <c r="P56" i="1"/>
  <c r="P57" i="1"/>
  <c r="P58" i="1"/>
  <c r="P59" i="1"/>
  <c r="P60" i="1"/>
  <c r="P61" i="1"/>
  <c r="P35" i="1"/>
  <c r="P306" i="1"/>
  <c r="P33" i="1"/>
  <c r="P237" i="1"/>
  <c r="P236" i="1"/>
  <c r="P151" i="1"/>
  <c r="P298" i="1"/>
  <c r="P305" i="1" s="1"/>
  <c r="P128" i="1"/>
  <c r="P120" i="1"/>
  <c r="P318" i="1"/>
  <c r="P155" i="1"/>
  <c r="P177" i="1"/>
  <c r="P119" i="1"/>
  <c r="P150" i="1"/>
  <c r="P316" i="1"/>
  <c r="P235" i="1"/>
  <c r="D290" i="1"/>
  <c r="P290" i="1" l="1"/>
  <c r="P139" i="1"/>
  <c r="P138" i="1"/>
  <c r="P140" i="1" s="1"/>
  <c r="Q139" i="1"/>
  <c r="D140" i="1"/>
  <c r="Q138" i="1"/>
  <c r="P312" i="1" l="1"/>
  <c r="P145" i="1"/>
  <c r="P322" i="1"/>
  <c r="P118" i="1"/>
  <c r="O339" i="1"/>
  <c r="N339" i="1"/>
  <c r="M339" i="1"/>
  <c r="P170" i="1"/>
  <c r="N170" i="1"/>
  <c r="N207" i="1" s="1"/>
  <c r="N208" i="1" s="1"/>
  <c r="O170" i="1"/>
  <c r="O207" i="1" s="1"/>
  <c r="O208" i="1" s="1"/>
  <c r="M170" i="1"/>
  <c r="M207" i="1" s="1"/>
  <c r="O342" i="1"/>
  <c r="N342" i="1"/>
  <c r="M342" i="1"/>
  <c r="M123" i="1"/>
  <c r="P353" i="1"/>
  <c r="N377" i="1" l="1"/>
  <c r="O377" i="1"/>
  <c r="P331" i="1"/>
  <c r="P339" i="1"/>
  <c r="Q341" i="1"/>
  <c r="P342" i="1"/>
  <c r="Q338" i="1"/>
  <c r="M377" i="1"/>
  <c r="M379" i="1" s="1"/>
  <c r="N379" i="1"/>
  <c r="O379" i="1"/>
  <c r="Q169" i="1"/>
  <c r="P26" i="1"/>
  <c r="Q377" i="1" l="1"/>
  <c r="P332" i="1"/>
  <c r="P336" i="1" s="1"/>
  <c r="P154" i="1"/>
  <c r="P162" i="1" s="1"/>
  <c r="P176" i="1" l="1"/>
  <c r="P180" i="1"/>
  <c r="P169" i="1"/>
  <c r="P338" i="1"/>
  <c r="P341" i="1"/>
  <c r="P345" i="1"/>
  <c r="P352" i="1"/>
  <c r="P121" i="1"/>
  <c r="P23" i="1"/>
  <c r="P207" i="1" l="1"/>
  <c r="P377" i="1"/>
  <c r="P379" i="1" s="1"/>
  <c r="P123" i="1"/>
  <c r="P208" i="1" s="1"/>
  <c r="D123" i="1"/>
  <c r="B337" i="1" l="1"/>
  <c r="B211" i="1"/>
  <c r="B214" i="1" s="1"/>
  <c r="B168" i="1"/>
  <c r="Q330" i="1"/>
  <c r="Q321" i="1"/>
  <c r="Q320" i="1"/>
  <c r="Q317" i="1"/>
  <c r="Q316" i="1"/>
  <c r="Q310" i="1"/>
  <c r="Q309" i="1"/>
  <c r="Q308" i="1"/>
  <c r="Q303" i="1"/>
  <c r="Q300" i="1"/>
  <c r="Q223" i="1"/>
  <c r="Q290" i="1" s="1"/>
  <c r="Q219" i="1"/>
  <c r="Q220" i="1" s="1"/>
  <c r="Q216" i="1"/>
  <c r="Q215" i="1"/>
  <c r="Q143" i="1"/>
  <c r="Q144" i="1"/>
  <c r="Q153" i="1"/>
  <c r="Q159" i="1"/>
  <c r="Q160" i="1"/>
  <c r="Q161" i="1"/>
  <c r="Q136" i="1"/>
  <c r="Q137" i="1"/>
  <c r="B336" i="1"/>
  <c r="D331" i="1"/>
  <c r="B291" i="1"/>
  <c r="B305" i="1" s="1"/>
  <c r="B223" i="1"/>
  <c r="B290" i="1" s="1"/>
  <c r="D214" i="1"/>
  <c r="D220" i="1"/>
  <c r="B218" i="1" s="1"/>
  <c r="B220" i="1" s="1"/>
  <c r="P217" i="1"/>
  <c r="P221" i="1" s="1"/>
  <c r="O217" i="1"/>
  <c r="O221" i="1" s="1"/>
  <c r="N217" i="1"/>
  <c r="N221" i="1" s="1"/>
  <c r="M217" i="1"/>
  <c r="D217" i="1"/>
  <c r="B215" i="1" s="1"/>
  <c r="B217" i="1" s="1"/>
  <c r="Q140" i="1" l="1"/>
  <c r="Q305" i="1"/>
  <c r="Q331" i="1"/>
  <c r="Q162" i="1"/>
  <c r="B306" i="1"/>
  <c r="B331" i="1" s="1"/>
  <c r="D379" i="1"/>
  <c r="Q217" i="1"/>
  <c r="Q221" i="1" s="1"/>
  <c r="Q168" i="1"/>
  <c r="Q207" i="1" s="1"/>
  <c r="Q208" i="1" s="1"/>
  <c r="M221" i="1"/>
  <c r="M378" i="1" s="1"/>
  <c r="N378" i="1"/>
  <c r="O378" i="1"/>
  <c r="P378" i="1"/>
  <c r="B221" i="1"/>
  <c r="D221" i="1"/>
  <c r="D378" i="1" s="1"/>
  <c r="Q379" i="1" l="1"/>
  <c r="Q378" i="1"/>
  <c r="P16" i="2"/>
  <c r="P17" i="2"/>
  <c r="P18" i="2"/>
  <c r="P19" i="2"/>
  <c r="Q19" i="2"/>
  <c r="P20" i="2"/>
  <c r="Q20" i="2"/>
  <c r="P21" i="2"/>
  <c r="P22" i="2"/>
  <c r="Q22" i="2"/>
  <c r="Q25" i="2" s="1"/>
  <c r="C25" i="2"/>
  <c r="E25" i="2"/>
  <c r="N25" i="2"/>
  <c r="O25" i="2"/>
  <c r="P26" i="2"/>
  <c r="P35" i="2"/>
  <c r="Q26" i="2"/>
  <c r="Q30" i="2"/>
  <c r="Q33" i="2"/>
  <c r="C35" i="2"/>
  <c r="E35" i="2"/>
  <c r="N35" i="2"/>
  <c r="O35" i="2"/>
  <c r="P36" i="2"/>
  <c r="P45" i="2"/>
  <c r="Q36" i="2"/>
  <c r="Q39" i="2"/>
  <c r="Q42" i="2"/>
  <c r="C45" i="2"/>
  <c r="E45" i="2"/>
  <c r="N45" i="2"/>
  <c r="O45" i="2"/>
  <c r="P46" i="2"/>
  <c r="Q46" i="2"/>
  <c r="P47" i="2"/>
  <c r="Q47" i="2"/>
  <c r="P48" i="2"/>
  <c r="P55" i="2" s="1"/>
  <c r="Q48" i="2"/>
  <c r="Q55" i="2" s="1"/>
  <c r="C55" i="2"/>
  <c r="E55" i="2"/>
  <c r="N55" i="2"/>
  <c r="O55" i="2"/>
  <c r="Q56" i="2"/>
  <c r="Q58" i="2"/>
  <c r="Q60" i="2"/>
  <c r="C65" i="2"/>
  <c r="C66" i="2" s="1"/>
  <c r="E65" i="2"/>
  <c r="E66" i="2" s="1"/>
  <c r="N65" i="2"/>
  <c r="N66" i="2" s="1"/>
  <c r="O65" i="2"/>
  <c r="O66" i="2"/>
  <c r="P65" i="2"/>
  <c r="B23" i="1"/>
  <c r="B123" i="1" s="1"/>
  <c r="B124" i="1"/>
  <c r="B140" i="1" s="1"/>
  <c r="D162" i="1"/>
  <c r="B141" i="1" s="1"/>
  <c r="B162" i="1" s="1"/>
  <c r="B167" i="1"/>
  <c r="B207" i="1"/>
  <c r="Q65" i="2" l="1"/>
  <c r="Q45" i="2"/>
  <c r="Q35" i="2"/>
  <c r="P25" i="2"/>
  <c r="P66" i="2" s="1"/>
  <c r="D208" i="1"/>
  <c r="D380" i="1" s="1"/>
  <c r="D383" i="1" s="1"/>
  <c r="M208" i="1"/>
  <c r="Q380" i="1"/>
  <c r="Q383" i="1" s="1"/>
  <c r="P380" i="1"/>
  <c r="P383" i="1" s="1"/>
  <c r="N380" i="1" l="1"/>
  <c r="N383" i="1" s="1"/>
  <c r="O380" i="1"/>
  <c r="O383" i="1" s="1"/>
  <c r="M380" i="1"/>
  <c r="M383" i="1" s="1"/>
  <c r="Q66" i="2"/>
  <c r="B20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14" authorId="0" shapeId="0" xr:uid="{00000000-0006-0000-0100-000001000000}">
      <text>
        <r>
          <rPr>
            <sz val="10"/>
            <rFont val="Arial"/>
            <family val="2"/>
          </rPr>
          <t>En estas columnas se debe relacionar en detalle, el presupuesto que fue objeto de la propuesta o la última versión modificada según los procedimientos legales aplicables</t>
        </r>
      </text>
    </comment>
    <comment ref="F15" authorId="0" shapeId="0" xr:uid="{00000000-0006-0000-0100-000002000000}">
      <text>
        <r>
          <rPr>
            <sz val="10"/>
            <rFont val="Arial"/>
            <family val="2"/>
          </rPr>
          <t>Cada proveedor o beneficiario de un pago, debe aportar copia del RUT</t>
        </r>
      </text>
    </comment>
    <comment ref="O15" authorId="0" shapeId="0" xr:uid="{00000000-0006-0000-0100-000003000000}">
      <text>
        <r>
          <rPr>
            <sz val="10"/>
            <rFont val="Arial"/>
            <family val="2"/>
          </rPr>
          <t>El tratamiento tributario de los pagos, es una actividad propia de cada organización, que debe ser verificada con su contador y/o revisor fiscal.</t>
        </r>
      </text>
    </comment>
    <comment ref="H36" authorId="0" shapeId="0" xr:uid="{00000000-0006-0000-0100-000004000000}">
      <text>
        <r>
          <rPr>
            <sz val="10"/>
            <rFont val="Arial"/>
            <family val="2"/>
          </rPr>
          <t>Se relaciona cada uno de los pagos que se hace por cada concepto de gasto</t>
        </r>
      </text>
    </comment>
    <comment ref="Q48" authorId="0" shapeId="0" xr:uid="{00000000-0006-0000-0100-000005000000}">
      <text>
        <r>
          <rPr>
            <sz val="10"/>
            <rFont val="Arial"/>
            <family val="2"/>
          </rPr>
          <t>Un mismo proveedor puede suministrar varios elementos que sean afines</t>
        </r>
      </text>
    </comment>
    <comment ref="I49" authorId="0" shapeId="0" xr:uid="{00000000-0006-0000-0100-000006000000}">
      <text>
        <r>
          <rPr>
            <sz val="10"/>
            <rFont val="Arial"/>
            <family val="2"/>
          </rPr>
          <t>La información de estas columnas se obtiene de los documentos que obran como soporte de la contabilidad del contratista, por lo tanto deben ser idóneos, cumplir con las normas tributarias, deben tener consecutivo y orden cronológico</t>
        </r>
      </text>
    </comment>
  </commentList>
</comments>
</file>

<file path=xl/sharedStrings.xml><?xml version="1.0" encoding="utf-8"?>
<sst xmlns="http://schemas.openxmlformats.org/spreadsheetml/2006/main" count="1636" uniqueCount="964">
  <si>
    <t>REPORTE DE GASTOS EN EJECUCIÓN</t>
  </si>
  <si>
    <t>CÓDIGO</t>
  </si>
  <si>
    <t>CON-PR-03-FR-01</t>
  </si>
  <si>
    <t>VERSIÓN</t>
  </si>
  <si>
    <t>FECHA</t>
  </si>
  <si>
    <t xml:space="preserve">NÚMERO DE CONVENIO O CONTRATO DE APOYO O ACTAS DE COMPROMISO LEP </t>
  </si>
  <si>
    <t>ASOCIADO O CONTRATISTA Y NIT:</t>
  </si>
  <si>
    <t xml:space="preserve"> CORPORACION COLOMBIA CREA TALENTO NIT 901345524</t>
  </si>
  <si>
    <t>OBJETO O NOMBRE DEL PROYECTO:</t>
  </si>
  <si>
    <t>Aunar esfuerzos entre la Secretaría Distrital de Cultura, Recreación y Deporte y la Corporación Colombia Crea Talento, en aspectos administrativos, técnicos, financieros, artísticos y culturales para desarrollar el proyecto denominado “OBRAS PERFORMÁTICAS Y ESCENOGRÁFICAS – NAVIDAD 2024”, que incluye producción, oferta artística, emprendimiento cultural, en escenarios convencionales y no convencionales, de conformidad con el anexo técnico definido para tal fin</t>
  </si>
  <si>
    <t>FECHA DE SUSCRIPCIÓN</t>
  </si>
  <si>
    <t>20 de septiembre de 2024</t>
  </si>
  <si>
    <t>FECHA  DE INICIO</t>
  </si>
  <si>
    <t>PLAZO DE EJECUCIÓN</t>
  </si>
  <si>
    <t>del 20/09/2024  al 30/12/2024</t>
  </si>
  <si>
    <t>ADICIÓN NO  1</t>
  </si>
  <si>
    <t>ADICIÓN NO   2</t>
  </si>
  <si>
    <t xml:space="preserve">PRÓRROGA </t>
  </si>
  <si>
    <t>31 de marzo 2025</t>
  </si>
  <si>
    <t>FECHA DE TERMINACIÓN</t>
  </si>
  <si>
    <t>SUPERVISOR</t>
  </si>
  <si>
    <t>HUGO JAIRO ROBLES</t>
  </si>
  <si>
    <t>PERIODO DE EJECUCIÓN DEL REPORTE:</t>
  </si>
  <si>
    <t>DEL 20/09/2024 AL 31/03/2025</t>
  </si>
  <si>
    <t>DETALLE PRESUPUESTO DEL PROYECTO</t>
  </si>
  <si>
    <t>DETALLE DEL GASTO EFECTUADO CON CARGO AL PROYECTO</t>
  </si>
  <si>
    <t>DETALLE DEL PAGO EFECTUADO</t>
  </si>
  <si>
    <t>Saldo sin ejecutar por tipo de gasto</t>
  </si>
  <si>
    <t>Folio del informe que contiene el comprobante</t>
  </si>
  <si>
    <t>Producto</t>
  </si>
  <si>
    <t>Valor producto</t>
  </si>
  <si>
    <t>Tipo de Gasto o Actividad</t>
  </si>
  <si>
    <t>Valor por tipo de gasto o actividad</t>
  </si>
  <si>
    <t>Proveedor o Beneficiario</t>
  </si>
  <si>
    <t>Identificación</t>
  </si>
  <si>
    <t>Concepto del gasto</t>
  </si>
  <si>
    <t>Factura No.</t>
  </si>
  <si>
    <t>Fecha de la factura</t>
  </si>
  <si>
    <t>Comprobante de egreso</t>
  </si>
  <si>
    <t>Fecha del comprobante</t>
  </si>
  <si>
    <t>Forma de pago CH # TRAN #</t>
  </si>
  <si>
    <t>Valor a pagar</t>
  </si>
  <si>
    <t>Valor retenciones ICA</t>
  </si>
  <si>
    <t>Valor retenciones en la fuente</t>
  </si>
  <si>
    <t>Valor del neto pagado</t>
  </si>
  <si>
    <t>OBRA PERFORMATICA</t>
  </si>
  <si>
    <t>PRODUCCIÓN ARTÍSTICA</t>
  </si>
  <si>
    <t>Director general artístico y escénico</t>
  </si>
  <si>
    <t>LA VENTANA PRODUCCIONES</t>
  </si>
  <si>
    <t>900295625-3</t>
  </si>
  <si>
    <t>Primer Pago - Anticipo 50%-CTO-COCREA-SCRD-646-2024 LA VENTANA PRODUCCIONES</t>
  </si>
  <si>
    <t>FE-122</t>
  </si>
  <si>
    <t>CC-12-3701</t>
  </si>
  <si>
    <t>TRANS</t>
  </si>
  <si>
    <t>Dramaturgo</t>
  </si>
  <si>
    <t xml:space="preserve">Un director musical, equipo multidisciplinar e insumos para el desarrollo de todo lo relacionado con la composición, diseño sonoro y la producción musical en las distintas fases del proyecto. </t>
  </si>
  <si>
    <t xml:space="preserve">Un director de actos circenses y danza, equipo multidisciplinar y todo lo requerido para desarrollar el diseño y producción del show de circo, incluido las técnicas y utilerías circenses, danza aérea, vuelos,coreografía, equipos especializados, alquiler de sala de ensayos y seguridad en alturas, entre otros que se requieran, en las distintas fases del proyecto. </t>
  </si>
  <si>
    <t>Segundo  Pago - -CTO-COCREA-SCRD-646-2024 LA VENTANA PRODUCCIONES</t>
  </si>
  <si>
    <t>FE-97</t>
  </si>
  <si>
    <t>CC-12-3849</t>
  </si>
  <si>
    <t>Diseño y confección de vestuario</t>
  </si>
  <si>
    <t>Diseño y  realización de maquillaje</t>
  </si>
  <si>
    <t>Tercer Pago - -CTO-COCREA-SCRD-646-2024 LA VENTANA PRODUCCIONES</t>
  </si>
  <si>
    <t>FE-130</t>
  </si>
  <si>
    <t>CC-12-4052</t>
  </si>
  <si>
    <t xml:space="preserve">Diseñador de  escenografías/ utilerías, equipo multidisciplinar y todos los insumos necesarios, en las distintas fases del proyecto. </t>
  </si>
  <si>
    <t>Creación de contenidos digitales animación 2D y 3D</t>
  </si>
  <si>
    <t>Cuarto Pago - -CTO-COCREA-SCRD-646-2024 LA VENTANA PRODUCCIONES</t>
  </si>
  <si>
    <t>FE-132</t>
  </si>
  <si>
    <t>CC-12-4391</t>
  </si>
  <si>
    <t>TRAN</t>
  </si>
  <si>
    <t>Adición compañía Artistica- Reforzamiento estructural, Backline y gastos administrativos</t>
  </si>
  <si>
    <t>Gastos administrativos</t>
  </si>
  <si>
    <t>Diseñador de iluminación escénica</t>
  </si>
  <si>
    <t>JOSE HUMBERTO HERNANDEZ AGUILLON</t>
  </si>
  <si>
    <t>Primer Pago COCREA-SCRD No. 655</t>
  </si>
  <si>
    <t>CC-12-4071</t>
  </si>
  <si>
    <t>Segundo y último Pago COCREA-SCRD No. 655</t>
  </si>
  <si>
    <t>CC-12-4181</t>
  </si>
  <si>
    <t>Honorarios artisticos</t>
  </si>
  <si>
    <t>FELIPE ANDRES GALINDO MAYA</t>
  </si>
  <si>
    <t>Unico Pago COCREA-SCRD-754Prestar sus servicios como violoncelista para la interpretación y ejecución de las p</t>
  </si>
  <si>
    <t>CC-12-4079</t>
  </si>
  <si>
    <t>ALEJANDRA TELLO GRISALES</t>
  </si>
  <si>
    <t>Unico Pago  COCREA-SCRD-751Prestar sus servicios como cantante para el proyecto Obra Performática de la Plaza d</t>
  </si>
  <si>
    <t>LEONARDO GIRON TORRES</t>
  </si>
  <si>
    <t>Unico Pago  COCREA-SCRD-748Prestar servicios especializados en el diseño de programas de calentamiento, prevenc</t>
  </si>
  <si>
    <t>ADRIANA PAOLA VASQUEZ HERNANDEZ</t>
  </si>
  <si>
    <t>Unico Pago  COCREA-SCRD-747Prestar servicios como cantante
contralto para la interpretación y ejecución de las</t>
  </si>
  <si>
    <t>SANTIAGO BOTERO RODRIGUEZ</t>
  </si>
  <si>
    <t>Unico Pago  COCREA-SCRD-744Prestar sus servicios como contrabajista y bajista eléctrico para la interpretación</t>
  </si>
  <si>
    <t>MIGUEL ANGEL GUEVARA DIAZ</t>
  </si>
  <si>
    <t>Unico Pago  COCREA-SCRD-742Prestar sus servicios como violinista para la interpretación y ejecución de las piez</t>
  </si>
  <si>
    <t>MARIAN LUCERO CORREA GORDILLO</t>
  </si>
  <si>
    <t>Unico Pago  COCREA-SCRD-740Prestar los servicios artísticos para el proyecto Obra Performática de la Plaza de l</t>
  </si>
  <si>
    <t>LAURA CATALINA BALLESTEROS VARGAS</t>
  </si>
  <si>
    <t>Unico Pago  COCREA-SCRD-732Prestar los servicios artísticos para el proyecto Obra Performática de la Plaza de l</t>
  </si>
  <si>
    <t>LUISA FERNANDA MONTAÑA CUBILLOS</t>
  </si>
  <si>
    <t>Unico Pago  COCREA-SCRD-729Prestar los servicios artísticos para el proyecto Obra Performática de la Plaza de l</t>
  </si>
  <si>
    <t>JUANITA CETINA SEGURA</t>
  </si>
  <si>
    <t>Unico Pago  COCREA-SCRD-719Prestar sus servicios como actor/actriz para el
proyecto Obra Performática de la Pla</t>
  </si>
  <si>
    <t>DAFNE SOFIA ROJAS BARRAGAN</t>
  </si>
  <si>
    <t>Unico Pago  COCREA-SCRD-718Prestar los servicios artísticos para el proyecto Obra Performática de la Plaza de l</t>
  </si>
  <si>
    <t>STEFANI AREVALO GARCIA</t>
  </si>
  <si>
    <t>Unico Pago  COCREA-SCRD-716Prestar los servicios artísticos para el proyecto Obra Performática de la Plaza de l</t>
  </si>
  <si>
    <t>ANDREA CAROLINA CAMACHO VELASCO</t>
  </si>
  <si>
    <t>Unico Pago  COCREA-SCRD-714Prestar los servicios artísticos para el proyecto Obra Performática de la Plaza de l</t>
  </si>
  <si>
    <t>LIDY VANESSA TORRES ALVIS</t>
  </si>
  <si>
    <t>Unico Pago  COCREA-SCRD-712Prestar los servicios artísticos para el proyecto Obra Performática de la Plaza de l</t>
  </si>
  <si>
    <t>MARIA JOSE RAMIREZ SANCHEZ</t>
  </si>
  <si>
    <t>Unico Pago  COCREA-SCRD-711Prestar los servicios artísticos para el proyecto Obra Performática de la Plaza de l</t>
  </si>
  <si>
    <t>HAZEL GINNETTE PINTO REYES</t>
  </si>
  <si>
    <t>Unico Pago  COCREA-SCRD-707Prestar los servicios artísticos para el proyecto Obra Performática de la Plaza de l</t>
  </si>
  <si>
    <t>NICOLAS ANDRES RUIZ FERRO</t>
  </si>
  <si>
    <t>Unico Pago  COCREA-SCRD-702Prestar los servicios artísticos para el proyecto Obra Performática de la Plaza de l</t>
  </si>
  <si>
    <t>CRISTIAN JOSE GALINDO MIRANDA</t>
  </si>
  <si>
    <t>Unico Pago  COCREA-SCRD-701Prestar los servicios artísticos para el proyecto Obra Performática de la Plaza de l</t>
  </si>
  <si>
    <t>ASHANTI CARMEN JOHANNA CORREA GOMEZ</t>
  </si>
  <si>
    <t>Unico Pago  COCREA-SCRD-690Prestar los servicios artísticos para el proyecto Obra Performática de la Plaza de l</t>
  </si>
  <si>
    <t>SAMUEL GARCIA OSMA</t>
  </si>
  <si>
    <t>Unico Pago  COCREA-SCRD-688Prestar los servicios artísticos para el proyecto Obra Performática de la Plaza de l</t>
  </si>
  <si>
    <t>NATALIA GOMEZ CAMACHO</t>
  </si>
  <si>
    <t>Unico Pago  COCREA-SCRD-687Prestar los servicios artísticos para el proyecto Obra Performática de la Plaza de l</t>
  </si>
  <si>
    <t>JEISON DAVID VARGAS BASTO</t>
  </si>
  <si>
    <t>Unico Pago  COCREA-SCRD-686Prestar los servicios artísticos para el proyecto Obra Performática de la Plaza de l</t>
  </si>
  <si>
    <t>DARLY ESTHEPANIA CUERVO TORRES</t>
  </si>
  <si>
    <t>Unico Pago  COCREA-SCRD-685Prestar los servicios artísticos para el proyecto Obra Performática de la Plaza de l</t>
  </si>
  <si>
    <t>MILTON EUGENIO LOPEZ ARRUBLA</t>
  </si>
  <si>
    <t>Unico Pago  COCREA-SCRD-680Prestar sus servicios como actor/actriz para el proyecto Obra Performática de la Pla</t>
  </si>
  <si>
    <t>DAVID MATEUS RODRIGUEZ</t>
  </si>
  <si>
    <t>Unico Pago  COCREA-SCRD-677Prestar sus servicios como actor/actriz para el proyecto Obra Performática de la Pla</t>
  </si>
  <si>
    <t>CARMENZA ISABEL GAONA HERAZO</t>
  </si>
  <si>
    <t>Unico Pago  COCREA-SCRD-752Prestar sus servicios como actriz principal para el proyecto Obra Performática de la</t>
  </si>
  <si>
    <t>CC-12-4083</t>
  </si>
  <si>
    <t>WENDY JULIET CIFUENTES CUESTA</t>
  </si>
  <si>
    <t>Unico Pago  COCREA-SCRD-756Prestar los servicios artísticos para el proyecto Obra Performática de la Plaza de l</t>
  </si>
  <si>
    <t>CC-12-4084</t>
  </si>
  <si>
    <t>LUIS EDUARDO GUZMAN CARDOZO</t>
  </si>
  <si>
    <t>COCREA-SCRD-753Prestar sus servicios como Actor para el proyecto Obra Performática de la Plaza de l</t>
  </si>
  <si>
    <t>PAOLA ALEJANDRA MOLANO SANDOVAL</t>
  </si>
  <si>
    <t>COCREA-SCRD-733Prestar los servicios artísticos para el proyecto Obra Performática de la Plaza de l</t>
  </si>
  <si>
    <t>YEISON LEONARDO FUQUENE</t>
  </si>
  <si>
    <t>COCREA-SCRD-749Prestar sus servicios como artista escénico con experiencia en circo y danza para el</t>
  </si>
  <si>
    <t>ROBERTO NICOLAS ORTÍZ RUBIANO</t>
  </si>
  <si>
    <t>COCREA-SCRD-725Prestar los servicios artísticos para el proyecto Obra Performática de la Plaza de l</t>
  </si>
  <si>
    <t>CESAR ANDRES AYALA CORRALES</t>
  </si>
  <si>
    <t>COCREA-SCRD-724Prestar los servicios artísticos para el proyecto Obra Performática de la Plaza de l</t>
  </si>
  <si>
    <t>FEDERICO ELIGIO FORERO</t>
  </si>
  <si>
    <t>COCREA-SCRD-743Prestar sus servicios como guitarrista de las piezas requeridas para el proyecto Obr</t>
  </si>
  <si>
    <t>ALEXANDRA PAOLA ZOLAQUE VALENCIA</t>
  </si>
  <si>
    <t>COCREA-SCRD-741Prestar los servicios artísticos para el proyecto Obra Performática de la Plaza de l</t>
  </si>
  <si>
    <t>VERONICA AUXILIADORA ARTEAGA ESPINOZA</t>
  </si>
  <si>
    <t>COCREA-SCRD-723Prestar los servicios artísticos para el proyecto Obra Performática de la Plaza de l</t>
  </si>
  <si>
    <t>ANDRES MAURICIO PRIETO HERRERA</t>
  </si>
  <si>
    <t>COCREA-SCRD-720Prestar los servicios artísticos para el proyecto Obra Performática de la Plaza de l</t>
  </si>
  <si>
    <t>JORGE IVAN RAMIREZ RODRIGUEZ</t>
  </si>
  <si>
    <t>COCREA-SCRD-737Prestar los servicios artísticos para el proyecto Obra Performática de la Plaza de l</t>
  </si>
  <si>
    <t>VIVIANA ALEJANDRA JORDAN MELO</t>
  </si>
  <si>
    <t>COCREA-SCRD-736Prestar los servicios artísticos para el proyecto Obra Performática de la Plaza de l</t>
  </si>
  <si>
    <t>KHALA MANUELA CASTRO PINZON</t>
  </si>
  <si>
    <t>COCREA-SCRD-715Prestar los servicios artísticos para el proyecto Obra Performática de la Plaza de l</t>
  </si>
  <si>
    <t>INGRID JOHANA BERNAL VELANDIA</t>
  </si>
  <si>
    <t>COCREA-SCRD-710Prestar los servicios artísticos para el proyecto Obra Performática de la Plaza de l</t>
  </si>
  <si>
    <t>CATERINE GALINDO CAICEDO</t>
  </si>
  <si>
    <t>COCREA-SCRD-735Prestar los servicios artísticos para el proyecto Obra Performática de la Plaza de l</t>
  </si>
  <si>
    <t>ANGELA VIVIANA MARENTES CARRILLO</t>
  </si>
  <si>
    <t>COCREA-SCRD-734Prestar los servicios artísticos para el proyecto Obra Performática de la Plaza de l</t>
  </si>
  <si>
    <t>DANIELA ALEJANDRA REYES VILLA</t>
  </si>
  <si>
    <t>COCREA-SCRD-708Prestar los servicios artísticos para el proyecto Obra Performática de la Plaza de l</t>
  </si>
  <si>
    <t>SANTIAGO PINEDA MAZO</t>
  </si>
  <si>
    <t>COCREA-SCRD-705Prestar los servicios artísticos para el proyecto Obra Performática de la Plaza de l</t>
  </si>
  <si>
    <t>ANDREA CATALINA CARREÑO BERNAL</t>
  </si>
  <si>
    <t>COCREA-SCRD-730Prestar los servicios artísticos para el proyecto Obra Performática de la Plaza de l</t>
  </si>
  <si>
    <t>ERIKA MARIA GARCIA RODRIGUEZ</t>
  </si>
  <si>
    <t>COCREA-SCRD-728Prestar los servicios artísticos para el proyecto Obra Performática de la Plaza de l</t>
  </si>
  <si>
    <t>JHON ANDRES ZUMBA GUERRERO</t>
  </si>
  <si>
    <t>COCREA-SCRD-700Prestar los servicios artísticos para el proyecto Obra Performática de la Plaza de l</t>
  </si>
  <si>
    <t>CLARA CAROLINA RODRIGUEZ TORRES</t>
  </si>
  <si>
    <t>COCREA-SCRD-694Prestar los servicios artísticos para el proyecto Obra Performática de la Plaza de l</t>
  </si>
  <si>
    <t>ROBINSON SANCHEZ MOLINA</t>
  </si>
  <si>
    <t>COCREA-SCRD-727Prestar los servicios artísticos para el proyecto Obra Performática de la Plaza de l</t>
  </si>
  <si>
    <t>KATHERINE BELTRAN PARRA</t>
  </si>
  <si>
    <t>COCREA-SCRD-722Prestar los servicios artísticos para el proyecto Obra Performática de la Plaza de l</t>
  </si>
  <si>
    <t>DIANA ELVIRA CASAS VERGARA</t>
  </si>
  <si>
    <t>COCREA-SCRD-693Prestar los servicios artísticos para el proyecto Obra Performática de la Plaza de l</t>
  </si>
  <si>
    <t>ALINA VIRGINIA VELASQUEZ MORA</t>
  </si>
  <si>
    <t>COCREA-SCRD-692Prestar los servicios artísticos para el proyecto Obra Performática de la Plaza de l</t>
  </si>
  <si>
    <t>LUIS MIGUEL VELANDIA HERNANDEZ</t>
  </si>
  <si>
    <t>COCREA-SCRD-721Prestar los servicios artísticos para el proyecto Obra Performática de la Plaza de l</t>
  </si>
  <si>
    <t>SARA PAULINE CORREA MUÑOZ</t>
  </si>
  <si>
    <t>COCREA-SCRD-689Prestar los servicios artísticos para el proyecto Obra Performática de la Plaza de l</t>
  </si>
  <si>
    <t>ANA MARIA CERON ARNEDO</t>
  </si>
  <si>
    <t>COCREA-SCRD-709Prestar los servicios artísticos para el proyecto Obra Performática de la Plaza de l</t>
  </si>
  <si>
    <t>MATEO LASSO DEVIA</t>
  </si>
  <si>
    <t>COCREA-SCRD-706Prestar los servicios artísticos para el proyecto Obra Performática de la Plaza de l</t>
  </si>
  <si>
    <t>ANGY PAOLA PINILLO GARCÍA</t>
  </si>
  <si>
    <t>Cuenta Ahorros 6259 SCRD - Proyecto Navidad</t>
  </si>
  <si>
    <t>OSCAR FABIAN LUENGAS SEGURO</t>
  </si>
  <si>
    <t>COCREA-SCRD-739Prestar los servicios artísticos para el proyecto Obra Performática de la Plaza de l</t>
  </si>
  <si>
    <t>LUIS JONATHAN HERNANDEZ GONZALEZ</t>
  </si>
  <si>
    <t>COCREA-SCRD-704Prestar los servicios artísticos para el proyecto Obra Performática de la Plaza de l</t>
  </si>
  <si>
    <t>LAURA CRISTINA GUERRERO PAEZ</t>
  </si>
  <si>
    <t>COCREA-SCRD-703Prestar los servicios artísticos para el proyecto Obra Performática de la Plaza de l</t>
  </si>
  <si>
    <t>PAULA ANDREA SALAMANCA MORA</t>
  </si>
  <si>
    <t>COCREA-SCRD-681Prestar los servicios artísticos para el proyecto Obra Performática de la Plaza de la</t>
  </si>
  <si>
    <t>DIANA MILENA VIVAS PEREZ</t>
  </si>
  <si>
    <t>COCREA-SCRD-678Prestar sus servicios como actor/actriz para el proyecto Obra Performática de la Pla</t>
  </si>
  <si>
    <t>VALENTIN DE NICOLAS ORDOÑEZ LOZADA</t>
  </si>
  <si>
    <t>COCREA-SCRD-699Prestar los servicios artísticos para el proyecto Obra Performática de la Plaza de l</t>
  </si>
  <si>
    <t>SERGIO HERNANDEZ PICO</t>
  </si>
  <si>
    <t>COCREA-SCRD-696Prestar los servicios artísticos para el proyecto Obra Performática de la Plaza de l</t>
  </si>
  <si>
    <t>JONATHAN STEVEN NIÑO RUIZ</t>
  </si>
  <si>
    <t>COCREA-SCRD-695Prestar los servicios artísticos para el proyecto Obra Performática de la Plaza de l</t>
  </si>
  <si>
    <t>JUANITA GIRALDO HOYOS</t>
  </si>
  <si>
    <t>COCREA-SCRD-691Prestar los servicios artísticos para el proyecto Obra Performática de la Plaza de l</t>
  </si>
  <si>
    <t>EDISON FABIAN ESCOBAR LOZANO</t>
  </si>
  <si>
    <t>COCREA-SCRD-684Prestar los servicios artísticos para el proyecto Obra Performática de la Plaza de l</t>
  </si>
  <si>
    <t>DIANA VANESA GARCIA TOSCANO</t>
  </si>
  <si>
    <t>COCREA-SCRD-683Prestar los servicios artísticos para el proyecto Obra Performática de la Plaza de l</t>
  </si>
  <si>
    <t>DIEGO FERNEY CAÑON LEON</t>
  </si>
  <si>
    <t>COCREA-SCRD-679Prestar sus servicios como actor/actriz para el proyecto Obra Performática de la Pla</t>
  </si>
  <si>
    <t>LEONARDO FORERO SARMIENTO</t>
  </si>
  <si>
    <t>COCREA-SCRD-755Prestar sus servicios como Artista Circense para el proyecto Obra Performática de la</t>
  </si>
  <si>
    <t>CC-12-4119</t>
  </si>
  <si>
    <t>DANIEL EDUARDO PEREA RIVAS</t>
  </si>
  <si>
    <t>COCREA-SCRD-746Prestar sus servicios como músico percusionista para el proyecto Obra Performática d</t>
  </si>
  <si>
    <t>VALENTINA MARIA LINARES HERRERA</t>
  </si>
  <si>
    <t>COCREA-SCRD-738Prestar los servicios artísticos para el proyecto Obra Performática de la Plaza de l</t>
  </si>
  <si>
    <t>LEIDY AMANDA CALDERON PEDROZA</t>
  </si>
  <si>
    <t>COCREA-SCRD-717Prestar los servicios artísticos para el proyecto Obra Performática de la Plaza de l</t>
  </si>
  <si>
    <t>JACOB ALEXANDER VARGAS TORRES</t>
  </si>
  <si>
    <t>80085822</t>
  </si>
  <si>
    <t>COCREA-SCRD-698-Prestar los servicios artísticos para el proyecto Obra Performática de la Plaza de l</t>
  </si>
  <si>
    <t>CC-12-4155</t>
  </si>
  <si>
    <t>FABIAN OCTAVIO DIAZ CHUCHIMAQUE</t>
  </si>
  <si>
    <t>1016053235</t>
  </si>
  <si>
    <t>COCREA-SCRD No. 697-PRESTAR LOS SERVICIOS ARTÍSTICOS PARA EL PROYECTO OBRA PERFORMÁTICA DE LA PLAZA</t>
  </si>
  <si>
    <t>CC-12-4178</t>
  </si>
  <si>
    <t>DANIEL RODRIGUEZ VIVAS</t>
  </si>
  <si>
    <t>1026277287</t>
  </si>
  <si>
    <t>OCREA-SCRD No. 745-Prestar servicios como baterista para la interpretación y ejecución de las piez</t>
  </si>
  <si>
    <t>CC-12-4179</t>
  </si>
  <si>
    <t>ANDREA VILLEGAS BOLAÑOS</t>
  </si>
  <si>
    <t>1088331850</t>
  </si>
  <si>
    <t>COCREA-SCRD No. 713-Prestar los servicios artísticos para el proyecto Obra Performática de la Plaza</t>
  </si>
  <si>
    <t>CC-12-4180</t>
  </si>
  <si>
    <t>JULIO HERNANDO FLORES BONILLA</t>
  </si>
  <si>
    <t>1034304274</t>
  </si>
  <si>
    <t>COCREA-SCRD No. 750-Prestar sus servicios como saxofonista para el proyecto Obra Performática de la</t>
  </si>
  <si>
    <t>CC-12-4189</t>
  </si>
  <si>
    <t>ELLEN SOFIA HERRERA GIRON</t>
  </si>
  <si>
    <t>1001329753</t>
  </si>
  <si>
    <t>COCREA-SCRD No. 731-PRESTAR LOS SERVICIOS ARTÍSTICOS PARA EL
PROYECTO OBRA PERFORMÁTICA DE LA PLAZA</t>
  </si>
  <si>
    <t>CC-12-4190</t>
  </si>
  <si>
    <t>CAJA DE COMPENSACION FAMILIAR COMPENSAR</t>
  </si>
  <si>
    <t>860066942</t>
  </si>
  <si>
    <t>Pago Riesgos Laborales - ARL NAVIDAD 2024</t>
  </si>
  <si>
    <t>CC-12-4000</t>
  </si>
  <si>
    <t>CC-12-4210</t>
  </si>
  <si>
    <t>CC-12-4001</t>
  </si>
  <si>
    <t>SEBASTIAN BUITRAGO PEDRAZA</t>
  </si>
  <si>
    <t>1000519670</t>
  </si>
  <si>
    <t>COCREA-SCRD-726Prestar los servicios artísticos para el proyecto Obra Performática de la Plaza</t>
  </si>
  <si>
    <t>CC-12-4135</t>
  </si>
  <si>
    <t>Jurados convocatoria</t>
  </si>
  <si>
    <t>ANGEL OCTAVIO AVILA PERDOMO</t>
  </si>
  <si>
    <t>Unico Pago COCREA-SCRD No. 657</t>
  </si>
  <si>
    <t>CC-12-3978</t>
  </si>
  <si>
    <t>CATALINA DEL CASTILLO SILVA</t>
  </si>
  <si>
    <t>Unico Pago COCREA-SCRD No. 656</t>
  </si>
  <si>
    <t>CC-12-4012</t>
  </si>
  <si>
    <t>NELSON CELIS RODRIGUEZ</t>
  </si>
  <si>
    <t>Unico pago COCREA-SCRD No. 658</t>
  </si>
  <si>
    <t>CC-12-4044</t>
  </si>
  <si>
    <t>Gestión del proyecto artistico</t>
  </si>
  <si>
    <t>NOVA ET VETERA</t>
  </si>
  <si>
    <t>900768089 - 6</t>
  </si>
  <si>
    <t>Primer Pago- Anticipo 50%-CTO-COCREA-SCRD-653-2024 NOVA ET VETERA</t>
  </si>
  <si>
    <t>EFE 78</t>
  </si>
  <si>
    <t>CC-12-3645</t>
  </si>
  <si>
    <t>Segundo Pago- CTO-COCREA-SCRD-653-2024 NOVA ET VETERA</t>
  </si>
  <si>
    <t>EFE 80</t>
  </si>
  <si>
    <t>CC-12-3917</t>
  </si>
  <si>
    <t>SUBTOTAL PRODUCCIÓN ARTíSTICA</t>
  </si>
  <si>
    <t>PRODUCCIÓN TÉCNICA</t>
  </si>
  <si>
    <t>Sistema de amplificación de sonido</t>
  </si>
  <si>
    <t>STAGE ENTERTAINMENT SAS</t>
  </si>
  <si>
    <t>Primer Pago COCREA-SCRD No. 809</t>
  </si>
  <si>
    <t>STAG 106</t>
  </si>
  <si>
    <t>CC-12-4208</t>
  </si>
  <si>
    <t>STAG 107</t>
  </si>
  <si>
    <t>CC-12-4207</t>
  </si>
  <si>
    <t>Sistemas de iluminación  y efectos especiales</t>
  </si>
  <si>
    <t xml:space="preserve"> Segundo Pago COCREA-SCRD No. 809</t>
  </si>
  <si>
    <t>VULCANO SFX &amp; PIROTECNIA SAS</t>
  </si>
  <si>
    <t>Primer Pago COCREA-SCRD No. 911</t>
  </si>
  <si>
    <t>FE160</t>
  </si>
  <si>
    <t>CC-12-4045</t>
  </si>
  <si>
    <t>Segundo Pago y último pago COCREA-SCRD No. 911</t>
  </si>
  <si>
    <t>FE167</t>
  </si>
  <si>
    <t>CC-12-4170</t>
  </si>
  <si>
    <t>Estructuras</t>
  </si>
  <si>
    <t>ILUMINACION JAIME DUSSAN SAS - EN REORGANIZACIÓN</t>
  </si>
  <si>
    <t>Primer Pago COCREA-SCRD No. 866-</t>
  </si>
  <si>
    <t>FC-IJD-202</t>
  </si>
  <si>
    <t>CC-12-4197</t>
  </si>
  <si>
    <t>Segundo Pago COCREA-SCRD No. 866-</t>
  </si>
  <si>
    <t>FC-IJD 210</t>
  </si>
  <si>
    <t>CC-12-4199</t>
  </si>
  <si>
    <t>Plantas eléctricas y cubrecables</t>
  </si>
  <si>
    <t>TRAVEL CARGA S A S</t>
  </si>
  <si>
    <t>Primer Pago COCREA-SCRD No. 807</t>
  </si>
  <si>
    <t>TC-1946</t>
  </si>
  <si>
    <t>CC-12-4076</t>
  </si>
  <si>
    <t>Segundo  Pago COCREA-SCRD No. 807</t>
  </si>
  <si>
    <t>TC - 1968</t>
  </si>
  <si>
    <t>CC-12-4254</t>
  </si>
  <si>
    <t xml:space="preserve">Sistema de comunicación para los equipos de producción </t>
  </si>
  <si>
    <t>ZOCAY TECH S.A.S</t>
  </si>
  <si>
    <t>Primer Pago COCREA-SCRD No. 785- F-409</t>
  </si>
  <si>
    <t>FE 409</t>
  </si>
  <si>
    <t>CC-12-3988</t>
  </si>
  <si>
    <t>Ultimo Pago COCREA-SCRD No. 785</t>
  </si>
  <si>
    <t xml:space="preserve">FE 429 </t>
  </si>
  <si>
    <t>CC-12-4194</t>
  </si>
  <si>
    <t>Servicio de grúa especializado y/o maquinaria pesada</t>
  </si>
  <si>
    <t>Gastos de producción obra Performatica</t>
  </si>
  <si>
    <t>POLIZA -PÓLIZA RCE PSM</t>
  </si>
  <si>
    <t>BERKLEY INTERNATIONAL SEGUROS COLOMBIA SA</t>
  </si>
  <si>
    <t>COCREA-SCRD 906 DE 2024-poliza- N.24345</t>
  </si>
  <si>
    <t>CC-12-4002</t>
  </si>
  <si>
    <t>POLIZA DE SEGURO DE
RESPONSABILIDAD CIVIL
EXTRACONTRACTUAL N. 24344</t>
  </si>
  <si>
    <t>COCREA-SCRD 910 DE 2024-POLIZA-N. 24344</t>
  </si>
  <si>
    <t>SUBTOTAL PRODUCCIÓN TECNICA</t>
  </si>
  <si>
    <t>PRODUCCIÓN LOGISTICA</t>
  </si>
  <si>
    <t>Servicio de vigilancia</t>
  </si>
  <si>
    <t>OPEN SECURITY LTDA</t>
  </si>
  <si>
    <t>COCREA-SCRD No. 791 de 2024</t>
  </si>
  <si>
    <t>FEOG - 1465</t>
  </si>
  <si>
    <t>CC-12-4455</t>
  </si>
  <si>
    <t>Servicio de personal logístico</t>
  </si>
  <si>
    <t>SAFE PEOPLE SAS</t>
  </si>
  <si>
    <t>Segundo Pago COCREA-SCRD 808-  2024</t>
  </si>
  <si>
    <t>FE2676</t>
  </si>
  <si>
    <t>CC-12-4296</t>
  </si>
  <si>
    <t>Servicio de salud</t>
  </si>
  <si>
    <t>AMBULANCIAS PRIMEROS AUXILIOS LTDA</t>
  </si>
  <si>
    <t>Primer Pago COCREA-SCRD No. 790-</t>
  </si>
  <si>
    <t>FV1693-S</t>
  </si>
  <si>
    <t>CC-12-4228</t>
  </si>
  <si>
    <t>Servicio de cerramientos</t>
  </si>
  <si>
    <t>Servicio de alimentación y catering</t>
  </si>
  <si>
    <t>SERVICIOS GASTRONOMICOS COLOMBIANOS S.A.S.</t>
  </si>
  <si>
    <t>Primer Pago COCREA-SCRD No. 792</t>
  </si>
  <si>
    <t>FE3041</t>
  </si>
  <si>
    <t>CC-12-3995</t>
  </si>
  <si>
    <t>Segundo Pago COCREA-SCRD No. 792</t>
  </si>
  <si>
    <t>FE3056</t>
  </si>
  <si>
    <t>CC-12-4294</t>
  </si>
  <si>
    <t>Único Pago COCREA-SCRD No. 767</t>
  </si>
  <si>
    <t>FE3054</t>
  </si>
  <si>
    <t>CC-12-4274</t>
  </si>
  <si>
    <t xml:space="preserve">Servicio de aseo
</t>
  </si>
  <si>
    <t>OPEN LOGISTICA S.A.S.</t>
  </si>
  <si>
    <t>Primer pago COCREA-SCRD No. 768</t>
  </si>
  <si>
    <t>FEL - 8290-</t>
  </si>
  <si>
    <t>CC-12-4205</t>
  </si>
  <si>
    <t>Segundo pago COCREA-SCRD No. 768</t>
  </si>
  <si>
    <t>FEL - 8392</t>
  </si>
  <si>
    <t>CC-12-4426</t>
  </si>
  <si>
    <t>Servicio de acreditaciones</t>
  </si>
  <si>
    <t>ACREDITANDO.CO S.A.S</t>
  </si>
  <si>
    <t>Primer Pago COCREA-SCRD No. 778</t>
  </si>
  <si>
    <t>ACR833</t>
  </si>
  <si>
    <t>CC-12-4011</t>
  </si>
  <si>
    <t>PAKET S.A.S</t>
  </si>
  <si>
    <t>Unico Pago COCREA-SCRD No. 908</t>
  </si>
  <si>
    <t>FE88</t>
  </si>
  <si>
    <t>CC-12-4051</t>
  </si>
  <si>
    <t>Servicio de transporte local</t>
  </si>
  <si>
    <t>LINEAS ESCOLARES Y TURISMO SAS</t>
  </si>
  <si>
    <t>Unico Pago OS-COCREA-SCRD-869-2024</t>
  </si>
  <si>
    <t>LLD14216</t>
  </si>
  <si>
    <t>CC-12-4427</t>
  </si>
  <si>
    <t>Servicio de lavandería</t>
  </si>
  <si>
    <t>Ferreteria</t>
  </si>
  <si>
    <t>FERRETERIA DICAFER LTDA</t>
  </si>
  <si>
    <t>Primer pago COCREA-SCRD No. 907</t>
  </si>
  <si>
    <t>FE 42991</t>
  </si>
  <si>
    <t>CC-12-4019</t>
  </si>
  <si>
    <t>RENT AND STYLE SAS</t>
  </si>
  <si>
    <t>Unico Pago COCREA-SCRD No. 912</t>
  </si>
  <si>
    <t>FEV 967</t>
  </si>
  <si>
    <t>CC-12-4032</t>
  </si>
  <si>
    <t>Camerinos</t>
  </si>
  <si>
    <t>2PAR PRODUCCIONES S.A.S. - EN REORGANIZACIÓN</t>
  </si>
  <si>
    <t>Primer Pago "COCREA-SCRD No. 870</t>
  </si>
  <si>
    <t>FVEO 1125</t>
  </si>
  <si>
    <t>CC-12-3973</t>
  </si>
  <si>
    <t>Segundo Pago "COCREA-SCRD No. 870</t>
  </si>
  <si>
    <t>FVEO 1153</t>
  </si>
  <si>
    <t>CC-12-4301</t>
  </si>
  <si>
    <t>Tercer Pago "COCREA-SCRD No. 870</t>
  </si>
  <si>
    <t>FVEO 1162</t>
  </si>
  <si>
    <t>21/0272025</t>
  </si>
  <si>
    <t>CC-12-4430</t>
  </si>
  <si>
    <t>Carpas, mesas y sillas</t>
  </si>
  <si>
    <t>Baños</t>
  </si>
  <si>
    <t xml:space="preserve">Plan de manejo de tránsito
</t>
  </si>
  <si>
    <t>SUBTOTAL PRODUCCIÓN LOGISTICA</t>
  </si>
  <si>
    <t>COMUNICACIONES</t>
  </si>
  <si>
    <t>Servicio de vestimenta para mallas, muros y
vallas y señaletica de los espacios
requeridos y otros insumos de
comunicación para el espectáculo</t>
  </si>
  <si>
    <t>Sphera Producciones S.A.</t>
  </si>
  <si>
    <t>COCREA-SCRD No. 884- Contratar el servicio de Vestimenta y Señaléctica para el
espectáculo d</t>
  </si>
  <si>
    <t>FE9512</t>
  </si>
  <si>
    <t>CC-12-4183</t>
  </si>
  <si>
    <t>Contratar el servicio de fotografía con el fin
de realizar la memoria social de
los proyectos Plaza de Bolívar y Plaza Santamaria.</t>
  </si>
  <si>
    <t>URBANDRU SAS</t>
  </si>
  <si>
    <t>Unico  Pago COCREA-SCRD No. 914-FEU-16-Prestar el servicio de fotografía para los espectáculos de
la Plaza de B</t>
  </si>
  <si>
    <t>FEU-16</t>
  </si>
  <si>
    <t>CC-12-4150</t>
  </si>
  <si>
    <t>Contratar el servicio de grabación, mezcla y
masterización de la música original del
espectáculo "El Secreto de Ana Nieves",
desarrollado en el marco del proyecto "Obras
Performáticas y Escenográficas – Navidad
2024", con el fin de garantizar la memoria
musical del proyecto, en cumplimiento de los
compromisos establecidos en el Convenio
Interadministrativo No. 654 de 2024.</t>
  </si>
  <si>
    <t>CORPORACION PRODUCCIONES LA VENTANA</t>
  </si>
  <si>
    <t>COCREA-SCRD No. 922-FE - 133- Anticipo del 50% del valor total de la orden de servicio</t>
  </si>
  <si>
    <t>FE - 133</t>
  </si>
  <si>
    <t>CC-12-4463</t>
  </si>
  <si>
    <t>COCREA-SCRD No. 922-FE - 134</t>
  </si>
  <si>
    <t>FE - 134</t>
  </si>
  <si>
    <t>CC-12-4520</t>
  </si>
  <si>
    <t>SUBTOTAL COMUNICACIONES</t>
  </si>
  <si>
    <t>RECURSO HUMANO</t>
  </si>
  <si>
    <t xml:space="preserve">Asistente de dirección artística </t>
  </si>
  <si>
    <t>MARCOS ALEXIS PLAZAS ROA</t>
  </si>
  <si>
    <t xml:space="preserve">Unico Pago COCREA-SCRD No. 772 </t>
  </si>
  <si>
    <t>CC-12-4143</t>
  </si>
  <si>
    <t>Profesional Administrativo</t>
  </si>
  <si>
    <t>SILVIA CAROLINA VELANDIA JARAMILLO</t>
  </si>
  <si>
    <t>Primer Pago-CTO-COCREA-SCRD-606- 2024</t>
  </si>
  <si>
    <t>CC-12-3627</t>
  </si>
  <si>
    <t>Segundo Pago-CTO-COCREA-SCRD-606- 2024</t>
  </si>
  <si>
    <t>CC-12-3933</t>
  </si>
  <si>
    <t>Ultimo  Pago-CTO-COCREA-SCRD-606- 2024</t>
  </si>
  <si>
    <t>CC-12-4100</t>
  </si>
  <si>
    <t>Productora artística</t>
  </si>
  <si>
    <t xml:space="preserve">CAROL JANNETH AZA ENCISO </t>
  </si>
  <si>
    <t>Primer Pago CTO-COCREA-SCRD-607- 2024</t>
  </si>
  <si>
    <t>CC-12-3689</t>
  </si>
  <si>
    <t>Segundo Pago CTO-COCREA-SCRD-607- 2024</t>
  </si>
  <si>
    <t>CC-12-3932</t>
  </si>
  <si>
    <t>Tercer Pago CTO-COCREA-SCRD-607- 2024</t>
  </si>
  <si>
    <t>CC-12-4167</t>
  </si>
  <si>
    <t>Cuarto Pago CTO-COCREA-SCRD-607- 2024</t>
  </si>
  <si>
    <t>CC-12-4357</t>
  </si>
  <si>
    <t>Productor Logístico</t>
  </si>
  <si>
    <t>EDGAR EDUARDO MALPICA ROMERO</t>
  </si>
  <si>
    <t xml:space="preserve">Primer Pago CTO-COCREA-SCRD-612- 2024 </t>
  </si>
  <si>
    <t>CC-12-3691</t>
  </si>
  <si>
    <t xml:space="preserve">Segundo Pago CTO-COCREA-SCRD-612- 2024 </t>
  </si>
  <si>
    <t>CC-12-4031</t>
  </si>
  <si>
    <t xml:space="preserve">Tercer Pago CTO-COCREA-SCRD-612- 2024 </t>
  </si>
  <si>
    <t>CC-12-4266</t>
  </si>
  <si>
    <t xml:space="preserve">cuarto Pago CTO-COCREA-SCRD-612- 2024 </t>
  </si>
  <si>
    <t>CC-12-4371</t>
  </si>
  <si>
    <t>Productor Técnico</t>
  </si>
  <si>
    <t>JUAN CAMILO
FERNANDEZ A</t>
  </si>
  <si>
    <t>Priner Pago CTO-COCREA-SCRD-626-2024</t>
  </si>
  <si>
    <t>CC-12-3671</t>
  </si>
  <si>
    <t>Segundo Pago CTO-COCREA-SCRD-626-2024</t>
  </si>
  <si>
    <t>CC-12-3934</t>
  </si>
  <si>
    <t>Tercer Pago CTO-COCREA-SCRD-626-2024</t>
  </si>
  <si>
    <t>CC-12-4140</t>
  </si>
  <si>
    <t>Cuarto  Pago CTO-COCREA-SCRD-626-2024</t>
  </si>
  <si>
    <t>CC-12-4386</t>
  </si>
  <si>
    <t>Productora artística de campo</t>
  </si>
  <si>
    <t>WENDY ROJAS CÁRDENAS</t>
  </si>
  <si>
    <t>Priner Pago CTO-COCREA-SCRD-628</t>
  </si>
  <si>
    <t>CC-12-3850</t>
  </si>
  <si>
    <t>Segundo Pago CTO-COCREA-SCRD-628</t>
  </si>
  <si>
    <t>CC-12-4085</t>
  </si>
  <si>
    <t>Tercer Pago CTO-COCREA-SCRD-628</t>
  </si>
  <si>
    <t>CC-12-4103</t>
  </si>
  <si>
    <t>Elaboración de la Planimetría</t>
  </si>
  <si>
    <t>DIEGO CAMILO GONZÁLEZ OSPINA</t>
  </si>
  <si>
    <t xml:space="preserve">Primer Pago COCREA-SCRD 629 </t>
  </si>
  <si>
    <t>CC-12-4235</t>
  </si>
  <si>
    <t xml:space="preserve">Segundo Pago COCREA-SCRD 629 </t>
  </si>
  <si>
    <t>CC-12-4236</t>
  </si>
  <si>
    <t>YULIETH  EMELYN SANCHEZ GALEANO</t>
  </si>
  <si>
    <t>Primer Pago COCREA-SCRD No. 670-</t>
  </si>
  <si>
    <t>CC-12-4141</t>
  </si>
  <si>
    <t>Segundo Pago COCREA-SCRD No. 670-</t>
  </si>
  <si>
    <t>CC-12-4142</t>
  </si>
  <si>
    <t>Apoyo a la Producción Técnica</t>
  </si>
  <si>
    <t>DAVID IGNACIO MARTIN PEÑA</t>
  </si>
  <si>
    <t>Unico Pago COCREA-SCRD No. 810-</t>
  </si>
  <si>
    <t>CC-12-4146</t>
  </si>
  <si>
    <t>Productores de campo</t>
  </si>
  <si>
    <t>SERGIO ALEJANDRO LEON MONROY</t>
  </si>
  <si>
    <t>Unico pago COCREA-SCRD-814</t>
  </si>
  <si>
    <t>CC-12-4172</t>
  </si>
  <si>
    <t>Apoyo Administrativo</t>
  </si>
  <si>
    <t>LUZ AMPARO MANRIQUE PATIÑO</t>
  </si>
  <si>
    <t>Primer Pago COCREA-SCRD No. 801</t>
  </si>
  <si>
    <t>CC-12-4174</t>
  </si>
  <si>
    <t>Segundo Pago COCREA-SCRD No. 801</t>
  </si>
  <si>
    <t>CC-12-4356</t>
  </si>
  <si>
    <t>Tercer Pago COCREA-SCRD No. 801</t>
  </si>
  <si>
    <t>CC-12-4409</t>
  </si>
  <si>
    <t>WILSON ZAMORA OSORIO</t>
  </si>
  <si>
    <t>Unico Pago COCREA-SCRD No. 881-</t>
  </si>
  <si>
    <t>CC-12-4149</t>
  </si>
  <si>
    <t>Apoyos a la Producción Logística</t>
  </si>
  <si>
    <t>EDGAR CAMILO RODRIGUEZ VEGA</t>
  </si>
  <si>
    <t>Unico pago COCREA-SCRD No. 812</t>
  </si>
  <si>
    <t>CC-12-4147</t>
  </si>
  <si>
    <t> </t>
  </si>
  <si>
    <t>LUIS EMMANUELLE GARCIA GALLO</t>
  </si>
  <si>
    <t>Único Pago COCREA-SCRD No. 813</t>
  </si>
  <si>
    <t>CC-12-4148</t>
  </si>
  <si>
    <t>LEONARDO DANIEL GOMEZ GALVIS</t>
  </si>
  <si>
    <t>Único pago COCREA-SCRD No. 811</t>
  </si>
  <si>
    <t>CC-12-4154</t>
  </si>
  <si>
    <t>Cordinadora del proyecto</t>
  </si>
  <si>
    <t>PAOLA VIVES BAQUERO</t>
  </si>
  <si>
    <t>Primer Pago COCREA-SCRD No. 595</t>
  </si>
  <si>
    <t>FE73</t>
  </si>
  <si>
    <t>CC-12-4291</t>
  </si>
  <si>
    <t>Segundo Pago COCREA-SCRD No. 595</t>
  </si>
  <si>
    <t>FE101</t>
  </si>
  <si>
    <t>CC-12-4459</t>
  </si>
  <si>
    <t>Tercer Pago COCREA-SCRD No. 595</t>
  </si>
  <si>
    <t>ANGIE TATIANA MORENO CONDE</t>
  </si>
  <si>
    <t>Primer Pago COCREA-SCRD No. 782</t>
  </si>
  <si>
    <t>CC-12-4364</t>
  </si>
  <si>
    <t>Segundo Pago COCREA-SCRD No. 782</t>
  </si>
  <si>
    <t>CC-12-4408</t>
  </si>
  <si>
    <t>Tercer Pago COCREA-SCRD No. 782</t>
  </si>
  <si>
    <t>SUBTOTAL RECURSO HUMANO</t>
  </si>
  <si>
    <t>SUBTOTAL PRESUPUESTO OBRA PERFORMATICA</t>
  </si>
  <si>
    <t>OBRA ESCÉNOGRAFICA</t>
  </si>
  <si>
    <t>1. Exposición Escenográfica</t>
  </si>
  <si>
    <t>Diseño, producción, transporte de  escenografias luminosas de gran formato</t>
  </si>
  <si>
    <t>Iluminación y Montaje SAS</t>
  </si>
  <si>
    <t>Primer Pago CTO-COCREA-SCRD-654-2024</t>
  </si>
  <si>
    <t>FE 91</t>
  </si>
  <si>
    <t>CC-12-3783</t>
  </si>
  <si>
    <t>Segundo Pago CTO-COCREA-SCRD-654-2024</t>
  </si>
  <si>
    <t>FE 97</t>
  </si>
  <si>
    <t>CC-12-4004</t>
  </si>
  <si>
    <t>Tercer Pago CTO-COCREA-SCRD-654-2024</t>
  </si>
  <si>
    <t>FE 108</t>
  </si>
  <si>
    <t>CC-12-4387</t>
  </si>
  <si>
    <t>Suministro electrico</t>
  </si>
  <si>
    <t>Gastos de producción exposición escenografica</t>
  </si>
  <si>
    <t>SUBTOTAL 1 Exposición Escenográfica</t>
  </si>
  <si>
    <t>2. Performance Escenográfico</t>
  </si>
  <si>
    <t xml:space="preserve">Director de escena y asistente </t>
  </si>
  <si>
    <t>COCREA-SCRD No. 786-Prestar sus servicios a la Corporación Colombia Crea Talento COCREA para realiza</t>
  </si>
  <si>
    <t>CC-12-4249</t>
  </si>
  <si>
    <t>LUISA FERNANDA SIERRA GUERRA</t>
  </si>
  <si>
    <t>1016040898</t>
  </si>
  <si>
    <t>COCREA-SCRD No. 789-Prestar sus servicios a la Corporación Colombia Crea Talento  COCREA</t>
  </si>
  <si>
    <t>CC-12-4144</t>
  </si>
  <si>
    <t>Director Coreográfico</t>
  </si>
  <si>
    <t>Francisco Ferney Rincon Valbuena</t>
  </si>
  <si>
    <t>1030570646</t>
  </si>
  <si>
    <t>COCREA- SCRD- 787- Prestar sus servicios a la Corporación Colombia Crea
Talento  COCREA</t>
  </si>
  <si>
    <t>CC-12-4202</t>
  </si>
  <si>
    <t>Compositor musical y Director musical</t>
  </si>
  <si>
    <t>LEON DAVID COBO ESTRADA</t>
  </si>
  <si>
    <t>Unico Pago COCREA-SCRD-788</t>
  </si>
  <si>
    <t>Escritores Poetas</t>
  </si>
  <si>
    <t>LAURA ACERO POLANIA</t>
  </si>
  <si>
    <t>Único pago SCRD 804 Prestar sus servicios a la Corporación Colombia Crea Talento – COCREA para prestar sus serv</t>
  </si>
  <si>
    <t>CC-12-4267</t>
  </si>
  <si>
    <t>Narradores</t>
  </si>
  <si>
    <t>DIANA MARIA SOLEDAD ANGEL RODRIGUEZ</t>
  </si>
  <si>
    <t>COCREA-SCRD-815-Prestar sus servicios como Artista de Narración para el proyecto Obra Escenográfica</t>
  </si>
  <si>
    <t>CC-12-4098</t>
  </si>
  <si>
    <t>ALEJANDRO GOMEZ VALENCIA</t>
  </si>
  <si>
    <t>COCREA-SCRD-816-Prestar sus servicios como Artista de Narración para el proyecto Obra Escenográfica</t>
  </si>
  <si>
    <t>Acrobatas Rapel</t>
  </si>
  <si>
    <t>ALBERTO RINCON RINCON</t>
  </si>
  <si>
    <t>COCREA-SCRD-817-Prestar sus servicios como bailarin acróbata para el proyecto Obra Escenográfica de</t>
  </si>
  <si>
    <t>FERNEY ALEXIS RAMIREZ ZULUAGA</t>
  </si>
  <si>
    <t>COCREA-SCRD-818-Prestar sus servicios como bailarin acróbata para el proyecto Obra Escenográfica de</t>
  </si>
  <si>
    <t>LUIS OMAR ARRECHEA MINA</t>
  </si>
  <si>
    <t>COCREA-SCRD-819-Prestar sus servicios como bailarin acróbata para el proyecto Obra Escenográfica de</t>
  </si>
  <si>
    <t>WILMER ALBERTO JIMENEZ PINZON</t>
  </si>
  <si>
    <t>COCREA-SCRD-820-Prestar sus servicios como bailarin acróbata para el proyecto Obra Escenográfica de</t>
  </si>
  <si>
    <t>Otros componente para el desarrollo de artes escenicas</t>
  </si>
  <si>
    <t>Coordinador de Vestuario</t>
  </si>
  <si>
    <t>MUARE COSTUMES SAS</t>
  </si>
  <si>
    <t>Primer Pago COCREA-SCRD No. 793</t>
  </si>
  <si>
    <t>FVE1494</t>
  </si>
  <si>
    <t>CC-12-4008</t>
  </si>
  <si>
    <t>Técnicos de vestuario</t>
  </si>
  <si>
    <t>Segundo Pago COCREA-SCRD No. 793</t>
  </si>
  <si>
    <t>FVE1503</t>
  </si>
  <si>
    <t>CC-12-4069</t>
  </si>
  <si>
    <t xml:space="preserve">Insumos necesarios para la vestuarios
</t>
  </si>
  <si>
    <t>CC-12-4070</t>
  </si>
  <si>
    <t>Coordinador de maquillaje</t>
  </si>
  <si>
    <t>Tercer Pago COCREA-SCRD No. 793</t>
  </si>
  <si>
    <t>FVE1530</t>
  </si>
  <si>
    <t>CC-12-4402</t>
  </si>
  <si>
    <t>Técnicos de maquillaje</t>
  </si>
  <si>
    <t xml:space="preserve">Insumos necesarios para Maquillaje
</t>
  </si>
  <si>
    <t>ANDRES FELIPE TORRES OROZCO</t>
  </si>
  <si>
    <t>COCREA-SCRD-821-Prestar sus servicios como actores para el proyecto Obra Escenográfica de la Plaza d</t>
  </si>
  <si>
    <t>OSCAR DANIEL CLAVIJO GÓMEZ</t>
  </si>
  <si>
    <t>COCREA-SCRD-823-Prestar sus servicios como actores para el proyecto Obra Escenográfica de la Plaza d</t>
  </si>
  <si>
    <t>DANIEL ESTEBAN MORENO CAMACHO</t>
  </si>
  <si>
    <t>COCREA-SCRD-824-Prestar sus servicios como actores para el proyecto Obra Escenográfica de la Plaza d</t>
  </si>
  <si>
    <t>JAVIER CAMILO RINCON GONZALEZ</t>
  </si>
  <si>
    <t>COCREA-SCRD-827-Prestar sus servicios como actores para el proyecto Obra Escenográfica de la Plaza d</t>
  </si>
  <si>
    <t>JUAN PABLO RIVEROS ORTEGA</t>
  </si>
  <si>
    <t>COCREA-SCRD-828-Prestar sus servicios como actores para el proyecto Obra Escenográfica de la Plaza d</t>
  </si>
  <si>
    <t>LAURA JULIANA ANGEL ESCALANTE</t>
  </si>
  <si>
    <t>COCREA-SCRD-831-Prestar sus servicios como actores para el proyecto Obra Escenográfica de la Plaza</t>
  </si>
  <si>
    <t>JORGE LEONARDO FERNANDEZ OSPINA</t>
  </si>
  <si>
    <t>COCREA-SCRD-833-Prestar sus servicios como actores para el proyecto Obra Escenográfica de la Plaza d</t>
  </si>
  <si>
    <t>NICOLAS ALFONSO IBAÑEZ GONZALEZ</t>
  </si>
  <si>
    <t>COCREA-SCRD-836-Prestar sus servicios como actores para el proyecto Obra Escenográfica de la Plaza d</t>
  </si>
  <si>
    <t>NORIBETH ANTONELLA CAMACHO NOGUERA</t>
  </si>
  <si>
    <t>COCREA-SCRD-837-Prestar sus servicios como actores para el proyecto Obra Escenográfica de la Plaza d</t>
  </si>
  <si>
    <t>FABIAN SANTIAGO MANCHEGO MORALES</t>
  </si>
  <si>
    <t>COCREA-SCRD-838-Prestar sus servicios como actores para el proyecto Obra Escenográfica de la Plaza</t>
  </si>
  <si>
    <t>SANTIAGO ANDRES VILLEGAS GOMEZ</t>
  </si>
  <si>
    <t>COCREA-SCRD-839-Prestar sus servicios como actores para el proyecto Obra Escenográfica de la Plaza d</t>
  </si>
  <si>
    <t>ANIBAL ANDRES QUICENO CERINZA</t>
  </si>
  <si>
    <t>COCREA-SCRD-844-Prestar sus servicios como bailarin para el proyecto Obra Escenográfica de la Plaza</t>
  </si>
  <si>
    <t>JUAN SEBASTIÁN ZARATE CHAPARRO</t>
  </si>
  <si>
    <t>COCREA-SCRD-842-Prestar sus servicios como bailarin para el proyecto Obra Escenográfica de la Plaza</t>
  </si>
  <si>
    <t>CLARA SOFIA MOSQUERA YEPES</t>
  </si>
  <si>
    <t>COCREA-SCRD-846-Prestar sus servicios como bailarin para el proyecto Obra Escenográfica de la Plaza</t>
  </si>
  <si>
    <t>DIEGO LEONARDO MORENO RUBIANO</t>
  </si>
  <si>
    <t>COCREA-SCRD-848-Prestar sus servicios como bailarin para el proyecto Obra Escenográfica de la Plaza</t>
  </si>
  <si>
    <t>LAURA CAROLINA ZAMBRANO GONZALEZ</t>
  </si>
  <si>
    <t>COCREA-SCRD-853-Prestar sus servicios como bailarin para el proyecto Obra Escenográfica de la Plaza</t>
  </si>
  <si>
    <t>LAURA DANIELA VEGA VARGAS</t>
  </si>
  <si>
    <t>COCREA-SCRD-854-Prestar sus servicios como bailarin para el proyecto Obra Escenográfica de la Plaza</t>
  </si>
  <si>
    <t>JENNY ANDREA GARZÓN AGUDELO</t>
  </si>
  <si>
    <t>COCREA-SCRD-863-Prestar sus servicios como músico para el proyecto Obra Escenográfica de la Plaza de</t>
  </si>
  <si>
    <t>SIMON ALEJANDRO COTRINA VERANO</t>
  </si>
  <si>
    <t>COCREA-SCRD-864-Prestar sus servicios como músico para el proyecto Obra Escenográfica de la Plaza de</t>
  </si>
  <si>
    <t>DANIEL ARMANDO GARAY VISBAL</t>
  </si>
  <si>
    <t>COCREA-SCRD-888-Prestar sus servicios como actores para el proyecto Obra Escenográfica de la Plaza d</t>
  </si>
  <si>
    <t>NESTOR FELIPE RENGIFO DOSANTOS</t>
  </si>
  <si>
    <t>COCREA-SCRD-856-Prestar sus servicios como bailarin para el proyecto Obra Escenográfica de la Plaza</t>
  </si>
  <si>
    <t>JUAN ANDRES JAIMES BAHAMON</t>
  </si>
  <si>
    <t>COCREA-SCRD-850-Prestar sus servicios como bailarin para el proyecto Obra Escenográfica de la Plaza</t>
  </si>
  <si>
    <t>VALENTINA LOZANO SANCHEZ</t>
  </si>
  <si>
    <t>COCREA-SCRD-840-Prestar sus servicios como actores para el proyecto Obra Escenográfica de la Plaza d</t>
  </si>
  <si>
    <t>KENNY ALBERTO VALDERRAMA GUARNIZO</t>
  </si>
  <si>
    <t>COCREA-SCRD-830-Prestar sus servicios como actores para el proyecto Obra Escenográfica de la Plaza d</t>
  </si>
  <si>
    <t>FELIPE CORREA ESTRADA</t>
  </si>
  <si>
    <t>COCREA-SCRD-826-Prestar sus servicios como actores para el proyecto Obra Escenográfica de la Plaza d</t>
  </si>
  <si>
    <t>JUAN MANUEL TORO GUERRERO</t>
  </si>
  <si>
    <t>COCREA-SCRD-876-Prestar sus servicios como músico para el proyecto Obra Escenográfica de la Plaza de</t>
  </si>
  <si>
    <t>CINTHYA ALEJANDRA DE LA ESPRIELLA PADILLA</t>
  </si>
  <si>
    <t>COCREA-SCRD-861-Prestar sus servicios como músico para el proyecto Obra Escenográfica de la Plaza de</t>
  </si>
  <si>
    <t>ADRIANA MARGARITA FERRER BAÑOS</t>
  </si>
  <si>
    <t>COCREA-SCRD-860-Prestar sus servicios como músico para el proyecto Obra Escenográfica de la Plaza de</t>
  </si>
  <si>
    <t>VALERIA SALCEDO MONDRAGON</t>
  </si>
  <si>
    <t>COCREA-SCRD-858-Prestar sus servicios como bailarin para el proyecto Obra Escenográfica de la Plaza</t>
  </si>
  <si>
    <t>SHARON GERALDINE PACHECO BELTRAN</t>
  </si>
  <si>
    <t>COCREA-SCRD-857-Prestar sus servicios como bailarin para el proyecto Obra Escenográfica de la Plaza</t>
  </si>
  <si>
    <t>NAYDU YISETH PULIDO FARIAS</t>
  </si>
  <si>
    <t>COCREA-SCRD-855-Prestar sus servicios como bailarin para el proyecto Obra Escenográfica de la Plaza</t>
  </si>
  <si>
    <t>JUAN ESTEBAN PINZON TAMAYO</t>
  </si>
  <si>
    <t>COCREA-SCRD-851-Prestar sus servicios como bailarin para el proyecto Obra Escenográfica de la Plaza</t>
  </si>
  <si>
    <t>GABRIELA ALEJANDRA ROMERO TOCARRUNCHO</t>
  </si>
  <si>
    <t>COCREA-SCRD-849-Prestar sus servicios como bailarin para el proyecto Obra Escenográfica de la Plaza</t>
  </si>
  <si>
    <t>CESAR ANDRES STERLING HERNANDEZ</t>
  </si>
  <si>
    <t>COCREA-SCRD-845-Prestar sus servicios como bailarin para el proyecto Obra Escenográfica de la Plaza</t>
  </si>
  <si>
    <t>ANDRES FELIPE YOPASA BELTRAN</t>
  </si>
  <si>
    <t>COCREA-SCRD-843-Prestar sus servicios como bailarin para el proyecto Obra Escenográfica de la Plaza</t>
  </si>
  <si>
    <t>ALISSON JULIET RAMIREZ BAUTISTA</t>
  </si>
  <si>
    <t>COCREA-SCRD-841-Prestar sus servicios como bailarin para el proyecto Obra Escenográfica de la Plaza</t>
  </si>
  <si>
    <t>NATALY VASQUEZ ZULUAGA</t>
  </si>
  <si>
    <t>COCREA-SCRD-834-Prestar sus servicios como actores para el proyecto Obra Escenográfica de la Plaza d</t>
  </si>
  <si>
    <t>LAURA CECILIA DI PIETRO ESPINOSA</t>
  </si>
  <si>
    <t>COCREA-SCRD-832-Prestar sus servicios como actores para el proyecto Obra Escenográfica de la Plaza d</t>
  </si>
  <si>
    <t>JONATHAN DUVAN DONCEL BRICEÑO</t>
  </si>
  <si>
    <t>CRISTIAN CARRILLO ACOSTA</t>
  </si>
  <si>
    <t>COCREA-SCRD-822-Prestar sus servicios como actores para el proyecto Obra Escenográfica de la Plaza d</t>
  </si>
  <si>
    <t>DANIELA SANCHEZ ESCOBAR</t>
  </si>
  <si>
    <t>COCREA-SCRD-879-Prestar sus servicios como músico para el proyecto Obra Escenográfica de la Plaza</t>
  </si>
  <si>
    <t>DANIEL FABIAN SASTOQUE VIZCAINO</t>
  </si>
  <si>
    <t>1015407524</t>
  </si>
  <si>
    <t>COCREA-SCRD-887-Prestar sus servicios como bailarin para el proyecto Obra Escenográfica de la Plaza</t>
  </si>
  <si>
    <t>CC-12-4156</t>
  </si>
  <si>
    <t>LUISA PATRICIA DIAZ MENDOZA</t>
  </si>
  <si>
    <t>51658545</t>
  </si>
  <si>
    <t>COCREA-SCRD-877-Prestar sus servicios como músico para el proyecto Obra Escenográfica de la Plaza</t>
  </si>
  <si>
    <t>CC-12-4157</t>
  </si>
  <si>
    <t>JUAN PABLO PATIÑO CARDONA</t>
  </si>
  <si>
    <t>1054995651</t>
  </si>
  <si>
    <t>COCREA-SCRD-852-Prestar sus servicios como bailarin para el proyecto Obra Escenográfica de la Plaza</t>
  </si>
  <si>
    <t>CC-12-4158</t>
  </si>
  <si>
    <t>DANIELA ESTEFANIA NAVARRO GIRALDO</t>
  </si>
  <si>
    <t>1005711591</t>
  </si>
  <si>
    <t>COCREA-SCRD-847-Prestar sus servicios como artista en artes escénicas como bailarín para el proyecto</t>
  </si>
  <si>
    <t>CC-12-4159</t>
  </si>
  <si>
    <t>DANIELA GALVIS DELGADO</t>
  </si>
  <si>
    <t>1019130698</t>
  </si>
  <si>
    <t>COCREA-SCRD-825-Prestar sus servicios como artista en artes escénicas actores para el proyecto Obra</t>
  </si>
  <si>
    <t>CC-12-4204</t>
  </si>
  <si>
    <t>David Antonio Cantoni Gamarra</t>
  </si>
  <si>
    <t>80852967</t>
  </si>
  <si>
    <t>COCREA-SCRD No. 862-Prestar sus servicios como músico para el proyecto Obra Escenográfica de la Pla</t>
  </si>
  <si>
    <t>CC-12-4201</t>
  </si>
  <si>
    <t>WILLIAM GUILLERMO RIVERA BAEZ</t>
  </si>
  <si>
    <t>1052407095</t>
  </si>
  <si>
    <t>COCREA-SCRD-859-Prestar sus servicios como bailarin para el proyecto Obra Escenográfica de la Plaza</t>
  </si>
  <si>
    <t>CC-12-4151</t>
  </si>
  <si>
    <t>LUIS DAVID CACERES SALAZAR</t>
  </si>
  <si>
    <t>COCREA-SCRD 875 Prestar sus servicios para la creación, diseño técnico, supervisión y ejecución del diseño</t>
  </si>
  <si>
    <t>CC-12-4272</t>
  </si>
  <si>
    <t xml:space="preserve">
Sistema de amplificación de sonido
</t>
  </si>
  <si>
    <t>NEXTPRO RENTA Y PRODUCCION DE EVENTOS SAS</t>
  </si>
  <si>
    <t>Tercer Pago COCREA-SCRD No. 874</t>
  </si>
  <si>
    <t>FE 464</t>
  </si>
  <si>
    <t>CC-12-4289</t>
  </si>
  <si>
    <t>PRODUCCIONES FERNANDO SOR SAS</t>
  </si>
  <si>
    <t>Primer Pago COCREA-SCRD No. 882</t>
  </si>
  <si>
    <t>FESG-48</t>
  </si>
  <si>
    <t>CC-12-4243</t>
  </si>
  <si>
    <t>Segundo  Pago COCREA-SCRD No. 882</t>
  </si>
  <si>
    <t>FESG-49</t>
  </si>
  <si>
    <t>CC-12-4244</t>
  </si>
  <si>
    <t xml:space="preserve">Sistema de iluminación y  efectos especiales </t>
  </si>
  <si>
    <t>LIGTHING STAGE SAS</t>
  </si>
  <si>
    <t>Primer Pago COCREA-SCRD No. 883</t>
  </si>
  <si>
    <t>B339</t>
  </si>
  <si>
    <t>CC-12-4232</t>
  </si>
  <si>
    <t>Segundo Pago COCREA-SCRD No. 883</t>
  </si>
  <si>
    <t>B340</t>
  </si>
  <si>
    <t>CC-12-4253</t>
  </si>
  <si>
    <t>Estructuras y/o maquinaria pesada</t>
  </si>
  <si>
    <t>Plantas eléctricas, cableado y cubre cables</t>
  </si>
  <si>
    <t>Gastos de producción  Performance Escenográfico</t>
  </si>
  <si>
    <t>POLIZA DE SEGURO DE
RESPONSABILID AD CIVIL
EXTRACONTRAC TUAL N. 24344</t>
  </si>
  <si>
    <t>Adecuación de la Plaza de Bolivar</t>
  </si>
  <si>
    <t>TEMISTOCLES SUAREZ RODRIGUEZ</t>
  </si>
  <si>
    <t>Primer Pago COCREA-SCRD No. 773</t>
  </si>
  <si>
    <t>FE-156</t>
  </si>
  <si>
    <t>CC-12-4072</t>
  </si>
  <si>
    <t>Segundo y ultimo Pago COCREA-SCRD No. 773</t>
  </si>
  <si>
    <t>FE-159</t>
  </si>
  <si>
    <t>CC-12-4162</t>
  </si>
  <si>
    <t xml:space="preserve">
Servicio de personal logístico</t>
  </si>
  <si>
    <t xml:space="preserve">
Servicio de cerramientos
</t>
  </si>
  <si>
    <t xml:space="preserve">Servicio de alimentación y catering </t>
  </si>
  <si>
    <t>Servicio de aseo</t>
  </si>
  <si>
    <t>Servicio de lavanderia</t>
  </si>
  <si>
    <t>COSMOTEX AC SAS</t>
  </si>
  <si>
    <t>Unico Pago COCREA-SCRD No. 909</t>
  </si>
  <si>
    <t>AC 3262</t>
  </si>
  <si>
    <t>CC-12-4279</t>
  </si>
  <si>
    <t xml:space="preserve">
Plan de manejo de tránsito
</t>
  </si>
  <si>
    <t>PÁJARA RACE S.A.S</t>
  </si>
  <si>
    <t xml:space="preserve">Primer Pago COCREA-SCRD 802  </t>
  </si>
  <si>
    <t xml:space="preserve">FE 525 </t>
  </si>
  <si>
    <t>CC-12-4041</t>
  </si>
  <si>
    <t xml:space="preserve">Segundo Pago COCREA-SCRD 802  </t>
  </si>
  <si>
    <t>FE 526</t>
  </si>
  <si>
    <t>CC-12-4239</t>
  </si>
  <si>
    <t>Servicio de alquiler de baños</t>
  </si>
  <si>
    <t>SANIDAD PORTATIL SAS</t>
  </si>
  <si>
    <t xml:space="preserve"> COCREA-SCRD No. 781</t>
  </si>
  <si>
    <t>FE10254</t>
  </si>
  <si>
    <t>CC-12-4255</t>
  </si>
  <si>
    <t xml:space="preserve">
Servicio de transporte local
</t>
  </si>
  <si>
    <t>Primer Pago COCREA-SCRD No. 785</t>
  </si>
  <si>
    <t>Primer Pago COCREA-SCRD No. 913</t>
  </si>
  <si>
    <t>FE418-</t>
  </si>
  <si>
    <t>CC-12-4087</t>
  </si>
  <si>
    <t>Ultimo Pago COCREA-SCRD No. 913</t>
  </si>
  <si>
    <t>FC432</t>
  </si>
  <si>
    <t>CC-12-4233</t>
  </si>
  <si>
    <t>COCREA-SCRD No. 871- FC991</t>
  </si>
  <si>
    <t>FC991</t>
  </si>
  <si>
    <t>CC-12-4268</t>
  </si>
  <si>
    <t>FEV 1009</t>
  </si>
  <si>
    <t>CC-12-4415</t>
  </si>
  <si>
    <t xml:space="preserve">Servicio de carpas de bienestar </t>
  </si>
  <si>
    <t xml:space="preserve">COCREA-SCRD No. 901-2DO PAGO </t>
  </si>
  <si>
    <t>FVE 1154</t>
  </si>
  <si>
    <t>CC-12-4298</t>
  </si>
  <si>
    <t>Vestimenta</t>
  </si>
  <si>
    <t>COCREA-SCRD No. 855--Contratar el servicio de Vestimenta y Señaléctica para el espectáculo</t>
  </si>
  <si>
    <t>FE9478</t>
  </si>
  <si>
    <t>CC-12-4018</t>
  </si>
  <si>
    <t>FE9515</t>
  </si>
  <si>
    <t>CC-12-4304</t>
  </si>
  <si>
    <t>CC-12-4303</t>
  </si>
  <si>
    <t>900737461</t>
  </si>
  <si>
    <t>CC-12-3634</t>
  </si>
  <si>
    <t>BEHYMAR PATACÓN RUÍZ</t>
  </si>
  <si>
    <t xml:space="preserve">Primer Pago-CTO-COCREA-SCRD-624-2024 </t>
  </si>
  <si>
    <t>CC-12-3629</t>
  </si>
  <si>
    <t xml:space="preserve">Segundo Pago-CTO-COCREA-SCRD-624-2024 </t>
  </si>
  <si>
    <t>CC-12-3935</t>
  </si>
  <si>
    <t xml:space="preserve">Tercer y ultimo  Pago-CTO-COCREA-SCRD-624-2024 </t>
  </si>
  <si>
    <t>CC-12-4138</t>
  </si>
  <si>
    <t>JULIAN DAVID REMOLINA ALARCÓN</t>
  </si>
  <si>
    <t>Primer Pago-CTO-COCREA-SCRD-625-2024</t>
  </si>
  <si>
    <t>CC-12-3635</t>
  </si>
  <si>
    <t>Segundo Pago-CTO-COCREA-SCRD-625-2024</t>
  </si>
  <si>
    <t>CC-12-4017</t>
  </si>
  <si>
    <t>Tercer Pago-CTO-COCREA-SCRD-625-2024</t>
  </si>
  <si>
    <t>CC-12-4139</t>
  </si>
  <si>
    <t>Cuarto Pago-CTO-COCREA-SCRD-625-2024</t>
  </si>
  <si>
    <t>CC-12-4342</t>
  </si>
  <si>
    <t>Apoyo productor artístico</t>
  </si>
  <si>
    <t>ORLI GLOGOWE ABADI</t>
  </si>
  <si>
    <t xml:space="preserve">Priner Pago-CTO-COCREA-SCRD-627-2024 </t>
  </si>
  <si>
    <t>CC-12-3672</t>
  </si>
  <si>
    <t xml:space="preserve">Segundo Pago-CTO-COCREA-SCRD-627-2024 </t>
  </si>
  <si>
    <t>CC-12-3912</t>
  </si>
  <si>
    <t xml:space="preserve">Ultimo Pago-CTO-COCREA-SCRD-627-2024 </t>
  </si>
  <si>
    <t>CC-12-4104</t>
  </si>
  <si>
    <t>1012430825</t>
  </si>
  <si>
    <t>ANDRES JOSE BRITO CASTILLO</t>
  </si>
  <si>
    <t>1024517628</t>
  </si>
  <si>
    <t>Unico Pago COCREA-SCRD No. 800-Prestar sus servicios como productor de campo para el
proyecto Obra Escenográfi</t>
  </si>
  <si>
    <t>CC-12-4145</t>
  </si>
  <si>
    <t>RAUL FERNANDO CRISTANCHO SOCHE</t>
  </si>
  <si>
    <t>1014241492</t>
  </si>
  <si>
    <t>Unico COCREA-SCRD No. 794-Prestar sus servicios para apoyar la producción logística en el sector asignado</t>
  </si>
  <si>
    <t>CC-12-4153</t>
  </si>
  <si>
    <t>JAIME ORLANDO RODRIGUEZ ARANGO</t>
  </si>
  <si>
    <t>1023916108</t>
  </si>
  <si>
    <t>Unico  Pago COCREA-SCRD No. 798 - Prestar sus servicios como productor de campo para el proyecto Obra Escenográf</t>
  </si>
  <si>
    <t>CC-12-4168</t>
  </si>
  <si>
    <t>1127938847</t>
  </si>
  <si>
    <t>LINDORFO ANGULO DELGADO</t>
  </si>
  <si>
    <t>79970227</t>
  </si>
  <si>
    <t>Unico Pago COCREA-SCRD No. 797-Prestar sus servicios para apoyar la producción logística en el sector asignado</t>
  </si>
  <si>
    <t>CC-12-4176</t>
  </si>
  <si>
    <t>Apoyo Productor Logístico</t>
  </si>
  <si>
    <t>YENNY CAROLINA CARVAJAL LOPEZ</t>
  </si>
  <si>
    <t>52434493</t>
  </si>
  <si>
    <t>COCREA-SCRD No. 796-Prestar sus servicios para apoyar la producción logística en el sector asignado</t>
  </si>
  <si>
    <t>CC-12-4177</t>
  </si>
  <si>
    <t>CC-12-4336</t>
  </si>
  <si>
    <t>Apoyo a la producción técnica</t>
  </si>
  <si>
    <t>JHON HAMES CARO BARRIOS</t>
  </si>
  <si>
    <t>COCREA-SCRD No. 873-Prestar sus servicios para el apoyo a la producción técnica del proyecto Obra E</t>
  </si>
  <si>
    <t>CC-12-4191</t>
  </si>
  <si>
    <t>CRISTIAN DAVID YAYA MORENO</t>
  </si>
  <si>
    <t>COCREA-SCRD No. 799-Prestar sus servicios como productor de campo para el
proyecto Obra Escenográfi</t>
  </si>
  <si>
    <t>CC-12-4192</t>
  </si>
  <si>
    <t>ARL</t>
  </si>
  <si>
    <t>JORGE ANDRES LOPEZ RUGE</t>
  </si>
  <si>
    <t>COCREA-SCRD No. 795-Prestar sus servicios para apoyar la producción logística en el sector asignado</t>
  </si>
  <si>
    <t>CC-12-4237</t>
  </si>
  <si>
    <t>FE104</t>
  </si>
  <si>
    <t>CC-12-4522</t>
  </si>
  <si>
    <t>CC-12-4523</t>
  </si>
  <si>
    <t>SUBTOTAL 2.  Performance Escenográfico</t>
  </si>
  <si>
    <t>SUBTOTAL PRESUPUESTO OBRA ESCÉNOGRAFICA</t>
  </si>
  <si>
    <t>SUBTOTAL PRESUPUESTO OBRA PERFORMATICA Y OBRA ESCENOGRAFICA</t>
  </si>
  <si>
    <t>GESTIÓN DEL CONVENIO</t>
  </si>
  <si>
    <t>Corporación Colombia Crea Talento</t>
  </si>
  <si>
    <t>Traslado SCRD 654 Gastos Inherentes Cocrea-SCRD654</t>
  </si>
  <si>
    <t>9667-</t>
  </si>
  <si>
    <t>CC-10-2437</t>
  </si>
  <si>
    <t>CC-10-2532</t>
  </si>
  <si>
    <t>TOTAL PRESUPUESTO</t>
  </si>
  <si>
    <t>QUIENES SUSCRIBEN ESTE INFORME, HACEN CONSTAR:  
1. QUE EL MISMO SE RINDE EN CUMPLIMIENTO DE LAS OBLIGACIONES CONTENIDAS EN EL CONVENIO ANOTADO QUE HEMOS SUSCRITO CON LA SECRETARÍA DISTRITAL DE CULTURA, RECREACIÓN Y DEPORTE.   2.  QUE LAS CIFRAS QUE SE DETALLAN CORRESPONDEN A LOS GASTOS EJECUTADOS EN LAS ACTIVIDADES PROPIAS DEL PROYECTO.  3.  QUE LOS VALORES DETALLADOS SE HALLAN REGISTRADOS EN LA CONTABILIDAD DE NUESTRA ORGANIZACIÓN.  4.  QUE  LOS DOCUMENTOS SOPORTES NO SE HAN PRESENTADO PARA LEGALIZACIÓN A OTRA INSTITUCIÓN U ORGANISMO QUE HAYA APOYADO EL PROYECTO.</t>
  </si>
  <si>
    <r>
      <t xml:space="preserve">SEÑOR CONTRATISTA TENGA EN CUENTA QUE:
</t>
    </r>
    <r>
      <rPr>
        <sz val="11"/>
        <color rgb="FF000000"/>
        <rFont val="Arial"/>
        <family val="2"/>
      </rPr>
      <t>1.  LA EJECUCIÓN DE LOS GASTOS DEBE ESTAR ACORDE CON EL PRESUPUESTO INCLUIDO EN LA PROPUESTA APROBADA POR LA SECRETARÍA, LA CUAL HACE PARTE INTEGRAL DEL CONVENIO
2.  SOLO SE PODRÁ EFECTUAR MODIFICACIONES EN LA DISTRIBUCIÓN DEL PRESUPUESTO,  MEDIANTE LA MODIFICACIÓN LEGAL DEL CONVENIO
3.  CUANDO SE PACTE LA POSIBILIDAD DE INCLUÍR EN EL INFORME FINAL CUENTAS POR PAGAR, LOS SOPORTES DEBEN SER IDÓNEOS Y NO SE PUEDE EXCEDER EL LÍMITE QUE SE FIJA EN EL CONVENIO
4. EN NINGÚN CASO PODRÁ INCLUIR GASTOS DE LEGALIZACIÓN DEL CONTRAO O IMPUESTOS A CARGO DEL CONTRATISTA, TALES COMO:  PÓLIZAS, PUBLICACIÓN, RETENCIONES EN LA FUENTE, ETC.</t>
    </r>
  </si>
  <si>
    <t>Firma</t>
  </si>
  <si>
    <t>Nombre</t>
  </si>
  <si>
    <t>MARIA DEL PILAR ORDOÑEZ MENDEZ</t>
  </si>
  <si>
    <t>MILENA MARULANDA ROMERO</t>
  </si>
  <si>
    <t>c,.c.,</t>
  </si>
  <si>
    <t>c.c.</t>
  </si>
  <si>
    <t>Representante Legal</t>
  </si>
  <si>
    <t>Contadora Publica</t>
  </si>
  <si>
    <t>T.P.</t>
  </si>
  <si>
    <t>TP 175411 - T</t>
  </si>
  <si>
    <t>(Si no está obligado a tener revisor fiscal, la firma debe corresponder al contador público que preparó la información)</t>
  </si>
  <si>
    <t>SECRETARÍA DISTRITAL DE CULTURA, RECREACIÓN Y DEPORTE</t>
  </si>
  <si>
    <t>REPORTE DE GASTOS EN EJECUCIÓN DE CONVENIOS</t>
  </si>
  <si>
    <t>NÚMERO DE CONVENIO Y FECHA:</t>
  </si>
  <si>
    <t>Convenio 000111 del 31 de febrero de 2010</t>
  </si>
  <si>
    <t>CONTRATISTA Y NIT:</t>
  </si>
  <si>
    <t>Fundación para la Promoción de la Cultura en Colombia</t>
  </si>
  <si>
    <t>NOMBRE DEL PROYECTO U OBJETO DEL CONVENIO:</t>
  </si>
  <si>
    <t>Aunar esfuerzos para la formación y promoción de los valores culturales de los grupos sociales que desarrollan actividades para la conservación del patrimonio inmaterial dirigido a jóvenes y niños con capacidades extraordinarias en temas artísticos</t>
  </si>
  <si>
    <t>PERIODO DE EJECUCIÓN DEL PROYECTO:</t>
  </si>
  <si>
    <t>Este informe abarca las actividades desarrolladas del 31 de febrero de 2010 al 15 de abril de 2010</t>
  </si>
  <si>
    <t>Actividad</t>
  </si>
  <si>
    <t>Valor actividad</t>
  </si>
  <si>
    <t>Tipo de Gasto</t>
  </si>
  <si>
    <t>Valor por tipo de gasto</t>
  </si>
  <si>
    <t>Fecha del pago</t>
  </si>
  <si>
    <t>Forma de pago</t>
  </si>
  <si>
    <t>Formación artística de los grupos de …</t>
  </si>
  <si>
    <t>Talleristas</t>
  </si>
  <si>
    <t>Juan AAAA</t>
  </si>
  <si>
    <t>Pago Honorarios tallerista música</t>
  </si>
  <si>
    <t>R001</t>
  </si>
  <si>
    <t>Che 5</t>
  </si>
  <si>
    <t>Luis BBBB</t>
  </si>
  <si>
    <t>Pago Honorarios tallerista danza</t>
  </si>
  <si>
    <t>Z28</t>
  </si>
  <si>
    <t>Che 6</t>
  </si>
  <si>
    <t>Pedro CCC</t>
  </si>
  <si>
    <t>Pago Honorarios tallerista teatro</t>
  </si>
  <si>
    <t>K31</t>
  </si>
  <si>
    <t>Che 7</t>
  </si>
  <si>
    <t>Esteban DDD</t>
  </si>
  <si>
    <t>Pago Honorarios tallerista diseño</t>
  </si>
  <si>
    <t>AA18</t>
  </si>
  <si>
    <t>Che 8</t>
  </si>
  <si>
    <t>Material para talleres</t>
  </si>
  <si>
    <t>Papelería la Incógnita</t>
  </si>
  <si>
    <t>Compra papelería para talleres varios,  y útiles de dibujo para talleres de diseño</t>
  </si>
  <si>
    <t>028-3456</t>
  </si>
  <si>
    <t>Che 1</t>
  </si>
  <si>
    <t>Cartillas</t>
  </si>
  <si>
    <t>Marcos RRR</t>
  </si>
  <si>
    <t>Pago diagramación de las cartillas para los talleres</t>
  </si>
  <si>
    <t>Cuenta de Cobro</t>
  </si>
  <si>
    <t>Che 2</t>
  </si>
  <si>
    <t>Gráficas Especiales SAS</t>
  </si>
  <si>
    <t>Pago impresión de 0000 cartillas para los talleres</t>
  </si>
  <si>
    <t>No. 9876</t>
  </si>
  <si>
    <t>Che 3</t>
  </si>
  <si>
    <t>Presentaciones artísticas</t>
  </si>
  <si>
    <t>Pago grupos artísticos</t>
  </si>
  <si>
    <t>Agrupación Artística la Bamba</t>
  </si>
  <si>
    <t>Presentación artística en el parque principal de la localidad en desarrollo de la actividad de …</t>
  </si>
  <si>
    <t>No. 56</t>
  </si>
  <si>
    <t>Che 4</t>
  </si>
  <si>
    <t>Alquiler vestuario bailarines</t>
  </si>
  <si>
    <t>Transporte instrumentos y equipos</t>
  </si>
  <si>
    <t>Encuentros entre pares, para la socialización....</t>
  </si>
  <si>
    <t>Director actividades de los encuentros</t>
  </si>
  <si>
    <t>Jacinto kkl</t>
  </si>
  <si>
    <t>Primer pago 25% contrato dirección actividades de encuentro</t>
  </si>
  <si>
    <t>Che 9</t>
  </si>
  <si>
    <t>Refrigerios</t>
  </si>
  <si>
    <t>Alquiler de salones y espacios para los encuentros</t>
  </si>
  <si>
    <t>Divulgación</t>
  </si>
  <si>
    <t>Afiches    500</t>
  </si>
  <si>
    <t>Offi – impres Ltda</t>
  </si>
  <si>
    <t>Pago primer 50% impresión piezas de divulgación</t>
  </si>
  <si>
    <t>Fra A 00184</t>
  </si>
  <si>
    <t>Che 10</t>
  </si>
  <si>
    <t>Invitaciones  1000</t>
  </si>
  <si>
    <t>Plegables   250</t>
  </si>
  <si>
    <t>Gastos de administración</t>
  </si>
  <si>
    <t>Dirección general del proyecto</t>
  </si>
  <si>
    <t>Gastos de trasporte entrega invitaciones y materiales</t>
  </si>
  <si>
    <t>Papelería para el control de las actividades</t>
  </si>
  <si>
    <t>QUIENES SUSCRIBEN ESTE INFORME, HACEN CONSTAR:                                                                                                                                                                                                                                                                                                                                                                                                                            1. QUE EL MISMO SE RINDE EN CUMPLIMIENTO DE LAS OBLIGACIONES CONTENIDAS EN EL CONVENIO ANOTADO QUE HEMOS SUSCRITO CON LA SECRETARÍA DISTRITAL DE CULTURA, RECREACIÓN Y DEPORTE.   2.  QUE LAS CIFRAS QUE SE DETALLAN CORRESPONDEN A LOS GASTOS EJECUTADOS EN LAS ACTIVIDADES PROPIAS DEL PROYECTO.  3.  QUE LOS VALORES DETALLADOS SE HALLAN REGISTRADOS EN LA CONTABILIDAD DE NUESTRA ORGANIZACIÓN.  4.  QUE  LOS DOCUMENTOS SOPORTES NO SE HAN PRESENTADO PARA LEGALIZACIÓN A OTRA INSTITUCIÓN U ORGANISMO QUE HAYA APOYADO EL PROYECTO.</t>
  </si>
  <si>
    <r>
      <t xml:space="preserve">SEÑOR CONTRATISTA TENGA EN CUENTA QUE:
</t>
    </r>
    <r>
      <rPr>
        <sz val="8"/>
        <rFont val="Lucida Sans"/>
        <family val="2"/>
        <charset val="1"/>
      </rPr>
      <t>1.  LA EJECUCIÓN DE LOS GASTOS DEBE ESTAR ACORDE CON EL PRESUPUESTO INCLUIDO EN LA PROPUESTA APROBADA POR LA SECRETARÍA, LA CUAL HACE PARTE INTEGRAL DEL CONVENIO
2.  SOLO SE PODRÁ EFECTUAR MODIFICACIONES EN LA DISTRIBUCIÓN DEL PRESUPUESTO,  MEDIANTE LA MODIFICACIÓN LEGAL DEL CONVENIO
3.  CUANDO SE PACTE LA POSIBILIDAD DE INCLUÍR EN EL INFORME FINAL CUENTAS POR PAGAR, LOS SOPORTES DEBEN SER IDÓNEOS Y NO SE PUEDE EXCEDER EL LÍMITE QUE SE FIJA EN EL CONVENIO
4. EN NINGÚN CASO PODRÁ INCLUIR GASTOS DE LEGALIZACIÓN DEL CONTRAO O IMPUESTOS A CARGO DEL CONTRATISTA, TALES COMO:  PÓLIZAS, PUBLICACIÓN, RETENCIONES EN LA FUENTE, ETC.</t>
    </r>
  </si>
  <si>
    <t>Revisor Fiscal</t>
  </si>
  <si>
    <r>
      <t xml:space="preserve">SE SUGIERE AL CONTRATISTA QUE ANTES DE DILIGENCIAR EL INFORME EN EL CUAL VA A REPORTAR LOS GASTOS EN EJECUCIÓN DEL PROYECTO, SE LEA DETENIDAMENTE EL OBJETO, LAS OBLIGACIONES Y DEMÁS CLAÚSULAS DEL CONVENIO O CONTRATO.
PRUEBA CONTABLE:  Como se trata de informes financieros que se entregan en cumplimiento de las obligaciones contenidas en el convenio suscrito con la Secretaría Distrital de Cultura, Recreación y Deporte;  este documento tiene la característica de constituirse en prueba contable porque certifica hechos económicos cuyos soportes obran en la contabilidad, razón por la cual se exige que vengan avalados por el contador y/o revisor fiscal del contratista según sea el caso.
En todo caso, la información que va a reportar el contratista debe corresponder a los gastos ejecutados en las actividades propias del proyecto y los valores detallados se hallan registrados en la contabilidad de la organización.
GASTOS ACEPTABLES:   </t>
    </r>
    <r>
      <rPr>
        <sz val="10"/>
        <rFont val="Lucida Sans"/>
        <family val="2"/>
        <charset val="128"/>
      </rPr>
      <t>El contratista debe tener en cuenta que solo se aceptan los gastos por los conceptos y montos establecidos en la</t>
    </r>
    <r>
      <rPr>
        <sz val="10"/>
        <color indexed="10"/>
        <rFont val="Lucida Sans"/>
        <family val="2"/>
        <charset val="128"/>
      </rPr>
      <t xml:space="preserve"> propuesta  aprobada</t>
    </r>
    <r>
      <rPr>
        <sz val="10"/>
        <rFont val="Lucida Sans"/>
        <family val="2"/>
        <charset val="128"/>
      </rPr>
      <t xml:space="preserve"> e incorporada al convenio suscrito con la Secretaría y los mismos deben corresponder a gastos y compromisos necesarios para el cumplimiento del objeto y las obligaciones, y, los mismos se realizaron dentro del término de ejecución del convenio.  </t>
    </r>
    <r>
      <rPr>
        <sz val="10"/>
        <color indexed="10"/>
        <rFont val="Lucida Sans"/>
        <family val="2"/>
        <charset val="128"/>
      </rPr>
      <t xml:space="preserve"> En ningún caso la Secretaría aceptará gastos efectuados antes de la fecha de inicio de la ejecución del convenio o despúes de la fecha de finalización del término de ejecución.
</t>
    </r>
    <r>
      <rPr>
        <sz val="10"/>
        <rFont val="Lucida Sans"/>
        <family val="2"/>
        <charset val="128"/>
      </rPr>
      <t xml:space="preserve">En ningún caso, la Secretaría aceptará la inclusión de gastos de legalización del convenio (pólizas, publicaciones, pagos a Cámara de Comercio, etc) o descuentos por impuestos por ser estos a cargo del contratista.
En los gastos no se puede incluir suma alguna por gastos tales como licores, pagos relacionados con mora o sanciones por incumplimiento con los proveedores del contratista.
</t>
    </r>
    <r>
      <rPr>
        <b/>
        <sz val="10"/>
        <rFont val="Lucida Sans"/>
        <family val="2"/>
        <charset val="128"/>
      </rPr>
      <t xml:space="preserve">IDENTIFICACIÓN DE LOS BENEFICIARIOS:  </t>
    </r>
    <r>
      <rPr>
        <sz val="10"/>
        <rFont val="Lucida Sans"/>
        <family val="2"/>
        <charset val="128"/>
      </rPr>
      <t xml:space="preserve">En cuanto a los beneficiarios de los pagos, estos deben venir clara y completamente identificados con el nombre o la razón social, sea persona jurídica (razón social) o nombres y apellidos de la persona natural (no con el nombre comercial, al respecto puede verificar la información en el RUT).
</t>
    </r>
    <r>
      <rPr>
        <b/>
        <sz val="10"/>
        <rFont val="Lucida Sans"/>
        <family val="2"/>
        <charset val="128"/>
      </rPr>
      <t>INDIQUE EL BIEN O SERVICIO ADQUIRIDO:</t>
    </r>
    <r>
      <rPr>
        <sz val="10"/>
        <rFont val="Lucida Sans"/>
        <family val="2"/>
        <charset val="128"/>
      </rPr>
      <t xml:space="preserve">  Tenga en cuenta que los gastos allí relacionados deben corresponder a los gastos establecidos en la propuesta aprobada por la Secretaría, en caso contrario serán objeto de rechazo.
Sí en el informe final, se incluyen cuentas por pagar (porque el convenio así lo permite), recuerde que los soportes deben ser idóneos y cumplir con los requisitos establecidos en las normas tributarias y contables y los límites establecidos en el convenio, para su aceptación por parte de la Secretaría.
</t>
    </r>
    <r>
      <rPr>
        <b/>
        <sz val="10"/>
        <rFont val="Lucida Sans"/>
        <family val="2"/>
        <charset val="128"/>
      </rPr>
      <t xml:space="preserve">COMPROBANTE DE EGRESO
</t>
    </r>
    <r>
      <rPr>
        <sz val="10"/>
        <rFont val="Lucida Sans"/>
        <family val="2"/>
        <charset val="128"/>
      </rPr>
      <t xml:space="preserve">Recordemos que la normatividad contable establece:  El registro de las diferentes operaciones en libros de contabilidad, se realiza a través de comprobantes de contabilidad, elaborados en orden cronológico, numerados consecutivamente, indicando su fecha de elaboración, los responsables de la elaboración, la descripción de las transacciones, las cuentas afectadas y cuantía de las operaciones. Estos deben estar soportados en documentos fuentes. Artículo 124 del decreto 2649 de 1993.   Tratamiento que debe ser observado en el diligenciamiento de los comprobantes de egreso, cheques y demás documentos soportes de los gastos.
La información de base para la elaboración del informe de legalización de los gastos del contrato, debe corresponder a la consignada en la contabilidad del contratista.   Por lo tanto, la Secretaría no aceptará los gastos cuyos comprobantes no estén expedidos en debida forma, y en cuya copia no se evidencia la firma de recibido del beneficiario del pago o abono.
Lo anterior indica que los soportes deben contener:  Fecha expedición y número de consecutivo, asignado al comprobante de egreso, respetando el orden cronológico de las operaciones registradas en la contabilidad del contratista; N° del cheque asignado para el pago de las obligaciones, o N° de trasacción cuando el pago se hace por transferencia; N° de consecutivo del documento expedido por el proveedor o del contrato que soporta la operación.  El contratista en observancia de las normas tributarias deberá conservar los soportes idóneos de sus operaciones, de forma tal que cuando se trata de operaciones con responsables del régimen común debe solicitar a sus proveedores la expedición de facturas con los requisitos que fija el Estatuto Tributario; Fecha del documento expedido por el proveedor o del contrato que soporta la operación.
Al relacionar el valor de las retenciones en la fuente practicadas a sus proveedores de bienes o servicios, el contratista le certifica a la Secretaría que ha dado cumplimiento a lo establecido por las normas tributarias.
</t>
    </r>
    <r>
      <rPr>
        <b/>
        <sz val="10"/>
        <rFont val="Lucida Sans"/>
        <family val="2"/>
        <charset val="128"/>
      </rPr>
      <t xml:space="preserve">SALDO PRESUPUESTAL POR ACTIVIDAD 
</t>
    </r>
    <r>
      <rPr>
        <sz val="10"/>
        <rFont val="Lucida Sans"/>
        <family val="2"/>
        <charset val="128"/>
      </rPr>
      <t xml:space="preserve">Suma que queda pendiente por ejecutar en cada uno de los tipos de gastos incurridos en el desarrollo de las actividades del proyecto (según el presupuesto aprobado por la Secretaría).
</t>
    </r>
    <r>
      <rPr>
        <sz val="10"/>
        <color indexed="10"/>
        <rFont val="Lucida Sans"/>
        <family val="2"/>
        <charset val="128"/>
      </rPr>
      <t>En el informe final, el contratista debe tener en cuenta que las sumas no ejecutadas; que aparezcan como saldo presupuestal de un gasto específico, no serán objeto de cancelación</t>
    </r>
    <r>
      <rPr>
        <sz val="10"/>
        <rFont val="Lucida Sans"/>
        <family val="2"/>
        <charset val="128"/>
      </rPr>
      <t xml:space="preserve"> razón por la cual se procederá a liquidar el convenio liberando a favor de la Secretaría los saldos allí establecidos.   Las sumas que excedan del presupuesto asignado para un tipo de gasto específico, serán asumidas con los recursos del contratista y este deberá dejar manifestación escrita de su aceptación.
</t>
    </r>
    <r>
      <rPr>
        <b/>
        <sz val="10"/>
        <rFont val="Lucida Sans"/>
        <family val="2"/>
        <charset val="128"/>
      </rPr>
      <t>FIRMAS</t>
    </r>
    <r>
      <rPr>
        <sz val="10"/>
        <rFont val="Lucida Sans"/>
        <family val="2"/>
        <charset val="128"/>
      </rPr>
      <t>:
El informe rendido por el contratista corresponde a información tomada de la contabilidad, razón por la cual con la firma de este informe por parte del Representante legal (con número de cédula de ciudadanía) y el revisor fiscal (cuando exista obligación de acreditarlo) y/o el contador público  que preparó la información (con número de cédula de ciudadanía y número de Tarjeta Profesional que lo acredita como contador público), se certifica que los documentos que lo soportan son los idóneos y cumplen con los requisitos que debe reunir la contabilidad para que preste mérito probatorio.   Implica con ello que cuenta con el registro de los libros en la Cámara de Comercio, que la contabilidad se soporta en  los asientos y comprobantes que respaldan el registro de las operaciones, etc.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</si>
</sst>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_-;\-&quot;$&quot;\ * #,##0_-;_-&quot;$&quot;\ * &quot;-&quot;_-;_-@_-"/>
    <numFmt numFmtId="165" formatCode="dd/mm/yy"/>
    <numFmt numFmtId="166" formatCode="[$$-240A]#,##0;\-[$$-240A]#,##0"/>
    <numFmt numFmtId="167" formatCode="_-&quot;$&quot;\ * #,##0_-;\-&quot;$&quot;\ * #,##0_-;_-&quot;$&quot;\ * &quot;-&quot;??_-;_-@"/>
  </numFmts>
  <fonts count="23">
    <font>
      <sz val="10"/>
      <name val="Arial"/>
      <family val="2"/>
    </font>
    <font>
      <sz val="10"/>
      <name val="Lucida Sans"/>
      <family val="2"/>
      <charset val="1"/>
    </font>
    <font>
      <b/>
      <sz val="14"/>
      <name val="Lucida Sans"/>
      <family val="2"/>
      <charset val="1"/>
    </font>
    <font>
      <b/>
      <sz val="10"/>
      <name val="Lucida Sans"/>
      <family val="2"/>
      <charset val="1"/>
    </font>
    <font>
      <b/>
      <sz val="8"/>
      <name val="Lucida Sans"/>
      <family val="2"/>
      <charset val="1"/>
    </font>
    <font>
      <sz val="8"/>
      <name val="Lucida Sans"/>
      <family val="2"/>
      <charset val="1"/>
    </font>
    <font>
      <b/>
      <sz val="11"/>
      <name val="Lucida Sans"/>
      <family val="2"/>
      <charset val="1"/>
    </font>
    <font>
      <b/>
      <sz val="10"/>
      <name val="Lucida Sans"/>
      <family val="2"/>
      <charset val="128"/>
    </font>
    <font>
      <sz val="10"/>
      <name val="Lucida Sans"/>
      <family val="2"/>
      <charset val="128"/>
    </font>
    <font>
      <sz val="10"/>
      <color indexed="10"/>
      <name val="Lucida Sans"/>
      <family val="2"/>
      <charset val="128"/>
    </font>
    <font>
      <b/>
      <sz val="20"/>
      <name val="Arial"/>
      <family val="2"/>
    </font>
    <font>
      <sz val="11"/>
      <name val="Arial"/>
      <family val="2"/>
    </font>
    <font>
      <b/>
      <sz val="11"/>
      <name val="Arial"/>
      <family val="2"/>
    </font>
    <font>
      <sz val="10"/>
      <color theme="1"/>
      <name val="Arial Narrow"/>
      <family val="2"/>
    </font>
    <font>
      <b/>
      <sz val="14"/>
      <name val="Arial"/>
      <family val="2"/>
    </font>
    <font>
      <sz val="10"/>
      <color theme="1"/>
      <name val="Lucida Sans"/>
      <family val="2"/>
    </font>
    <font>
      <sz val="11"/>
      <color theme="1"/>
      <name val="Arial"/>
      <family val="2"/>
    </font>
    <font>
      <b/>
      <sz val="11"/>
      <color rgb="FF000000"/>
      <name val="Arial"/>
      <family val="2"/>
    </font>
    <font>
      <sz val="11"/>
      <color rgb="FF000000"/>
      <name val="Arial"/>
      <family val="2"/>
    </font>
    <font>
      <sz val="10"/>
      <name val="Arial"/>
      <family val="2"/>
    </font>
    <font>
      <sz val="11"/>
      <color rgb="FF000000"/>
      <name val="Arial Narrow"/>
      <family val="2"/>
    </font>
    <font>
      <sz val="11"/>
      <color rgb="FF000000"/>
      <name val="Calibri"/>
      <family val="2"/>
    </font>
    <font>
      <sz val="11"/>
      <color theme="1"/>
      <name val="Calibri"/>
      <family val="2"/>
      <scheme val="minor"/>
    </font>
  </fonts>
  <fills count="7">
    <fill>
      <patternFill patternType="none"/>
    </fill>
    <fill>
      <patternFill patternType="gray125"/>
    </fill>
    <fill>
      <patternFill patternType="solid">
        <fgColor indexed="22"/>
        <bgColor indexed="31"/>
      </patternFill>
    </fill>
    <fill>
      <patternFill patternType="solid">
        <fgColor indexed="26"/>
        <bgColor indexed="9"/>
      </patternFill>
    </fill>
    <fill>
      <patternFill patternType="solid">
        <fgColor indexed="9"/>
        <bgColor indexed="26"/>
      </patternFill>
    </fill>
    <fill>
      <patternFill patternType="solid">
        <fgColor theme="0" tint="-4.9989318521683403E-2"/>
        <bgColor indexed="31"/>
      </patternFill>
    </fill>
    <fill>
      <patternFill patternType="solid">
        <fgColor theme="0"/>
        <bgColor indexed="64"/>
      </patternFill>
    </fill>
  </fills>
  <borders count="174">
    <border>
      <left/>
      <right/>
      <top/>
      <bottom/>
      <diagonal/>
    </border>
    <border>
      <left style="thin">
        <color indexed="8"/>
      </left>
      <right style="thin">
        <color indexed="8"/>
      </right>
      <top style="thin">
        <color indexed="8"/>
      </top>
      <bottom style="thin">
        <color indexed="8"/>
      </bottom>
      <diagonal/>
    </border>
    <border>
      <left style="hair">
        <color indexed="8"/>
      </left>
      <right style="hair">
        <color indexed="8"/>
      </right>
      <top style="hair">
        <color indexed="8"/>
      </top>
      <bottom style="hair">
        <color indexed="8"/>
      </bottom>
      <diagonal/>
    </border>
    <border>
      <left/>
      <right/>
      <top/>
      <bottom style="medium">
        <color indexed="8"/>
      </bottom>
      <diagonal/>
    </border>
    <border>
      <left style="medium">
        <color indexed="8"/>
      </left>
      <right style="medium">
        <color indexed="8"/>
      </right>
      <top style="medium">
        <color indexed="8"/>
      </top>
      <bottom style="medium">
        <color indexed="8"/>
      </bottom>
      <diagonal/>
    </border>
    <border>
      <left style="thin">
        <color rgb="FF000000"/>
      </left>
      <right style="thin">
        <color rgb="FF000000"/>
      </right>
      <top style="thin">
        <color rgb="FF000000"/>
      </top>
      <bottom style="thin">
        <color rgb="FF000000"/>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top style="thin">
        <color indexed="8"/>
      </top>
      <bottom style="thin">
        <color rgb="FF000000"/>
      </bottom>
      <diagonal/>
    </border>
    <border>
      <left/>
      <right style="thin">
        <color indexed="8"/>
      </right>
      <top style="thin">
        <color indexed="8"/>
      </top>
      <bottom style="thin">
        <color rgb="FF000000"/>
      </bottom>
      <diagonal/>
    </border>
    <border>
      <left style="thin">
        <color indexed="8"/>
      </left>
      <right/>
      <top/>
      <bottom style="thin">
        <color indexed="8"/>
      </bottom>
      <diagonal/>
    </border>
    <border>
      <left/>
      <right style="thin">
        <color indexed="8"/>
      </right>
      <top/>
      <bottom style="thin">
        <color indexed="8"/>
      </bottom>
      <diagonal/>
    </border>
    <border>
      <left style="thin">
        <color indexed="64"/>
      </left>
      <right style="thin">
        <color indexed="64"/>
      </right>
      <top style="thin">
        <color indexed="64"/>
      </top>
      <bottom/>
      <diagonal/>
    </border>
    <border>
      <left style="thin">
        <color indexed="8"/>
      </left>
      <right/>
      <top style="thin">
        <color indexed="8"/>
      </top>
      <bottom/>
      <diagonal/>
    </border>
    <border>
      <left/>
      <right style="thin">
        <color indexed="8"/>
      </right>
      <top style="thin">
        <color indexed="8"/>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8"/>
      </right>
      <top/>
      <bottom/>
      <diagonal/>
    </border>
    <border>
      <left style="thin">
        <color indexed="8"/>
      </left>
      <right/>
      <top/>
      <bottom/>
      <diagonal/>
    </border>
    <border>
      <left/>
      <right style="thin">
        <color indexed="8"/>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8"/>
      </left>
      <right style="thin">
        <color indexed="8"/>
      </right>
      <top style="medium">
        <color indexed="64"/>
      </top>
      <bottom/>
      <diagonal/>
    </border>
    <border>
      <left style="thin">
        <color indexed="8"/>
      </left>
      <right style="thin">
        <color indexed="8"/>
      </right>
      <top style="medium">
        <color indexed="64"/>
      </top>
      <bottom style="thin">
        <color indexed="8"/>
      </bottom>
      <diagonal/>
    </border>
    <border>
      <left style="thin">
        <color indexed="8"/>
      </left>
      <right style="thin">
        <color indexed="8"/>
      </right>
      <top/>
      <bottom style="medium">
        <color indexed="64"/>
      </bottom>
      <diagonal/>
    </border>
    <border>
      <left style="thin">
        <color indexed="8"/>
      </left>
      <right style="thin">
        <color indexed="8"/>
      </right>
      <top style="thin">
        <color indexed="8"/>
      </top>
      <bottom style="medium">
        <color indexed="64"/>
      </bottom>
      <diagonal/>
    </border>
    <border>
      <left/>
      <right/>
      <top/>
      <bottom style="medium">
        <color indexed="64"/>
      </bottom>
      <diagonal/>
    </border>
    <border>
      <left style="thin">
        <color indexed="8"/>
      </left>
      <right style="thin">
        <color indexed="8"/>
      </right>
      <top style="medium">
        <color indexed="64"/>
      </top>
      <bottom style="medium">
        <color indexed="64"/>
      </bottom>
      <diagonal/>
    </border>
    <border>
      <left style="thin">
        <color indexed="64"/>
      </left>
      <right style="thin">
        <color indexed="8"/>
      </right>
      <top style="medium">
        <color indexed="64"/>
      </top>
      <bottom/>
      <diagonal/>
    </border>
    <border>
      <left style="thin">
        <color indexed="64"/>
      </left>
      <right style="thin">
        <color indexed="8"/>
      </right>
      <top/>
      <bottom style="medium">
        <color indexed="64"/>
      </bottom>
      <diagonal/>
    </border>
    <border>
      <left/>
      <right style="thin">
        <color indexed="8"/>
      </right>
      <top style="medium">
        <color indexed="64"/>
      </top>
      <bottom style="thin">
        <color indexed="8"/>
      </bottom>
      <diagonal/>
    </border>
    <border>
      <left/>
      <right style="thin">
        <color indexed="8"/>
      </right>
      <top style="thin">
        <color indexed="8"/>
      </top>
      <bottom style="medium">
        <color indexed="64"/>
      </bottom>
      <diagonal/>
    </border>
    <border>
      <left style="thin">
        <color indexed="8"/>
      </left>
      <right/>
      <top style="medium">
        <color indexed="64"/>
      </top>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top style="medium">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8"/>
      </right>
      <top style="medium">
        <color indexed="64"/>
      </top>
      <bottom/>
      <diagonal/>
    </border>
    <border>
      <left/>
      <right style="thin">
        <color indexed="8"/>
      </right>
      <top/>
      <bottom style="medium">
        <color indexed="64"/>
      </bottom>
      <diagonal/>
    </border>
    <border>
      <left style="thin">
        <color rgb="FF000000"/>
      </left>
      <right style="thin">
        <color rgb="FF000000"/>
      </right>
      <top style="thin">
        <color rgb="FF000000"/>
      </top>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style="thin">
        <color indexed="64"/>
      </right>
      <top style="medium">
        <color indexed="64"/>
      </top>
      <bottom/>
      <diagonal/>
    </border>
    <border>
      <left/>
      <right/>
      <top style="thin">
        <color rgb="FF000000"/>
      </top>
      <bottom/>
      <diagonal/>
    </border>
    <border>
      <left/>
      <right/>
      <top style="thin">
        <color indexed="64"/>
      </top>
      <bottom/>
      <diagonal/>
    </border>
    <border>
      <left/>
      <right style="thin">
        <color indexed="64"/>
      </right>
      <top/>
      <bottom/>
      <diagonal/>
    </border>
    <border>
      <left style="medium">
        <color rgb="FF000000"/>
      </left>
      <right/>
      <top style="medium">
        <color rgb="FF000000"/>
      </top>
      <bottom/>
      <diagonal/>
    </border>
    <border>
      <left style="thin">
        <color indexed="8"/>
      </left>
      <right style="thin">
        <color indexed="8"/>
      </right>
      <top style="medium">
        <color rgb="FF000000"/>
      </top>
      <bottom/>
      <diagonal/>
    </border>
    <border>
      <left style="thin">
        <color indexed="8"/>
      </left>
      <right style="thin">
        <color indexed="8"/>
      </right>
      <top style="medium">
        <color rgb="FF000000"/>
      </top>
      <bottom style="thin">
        <color indexed="8"/>
      </bottom>
      <diagonal/>
    </border>
    <border>
      <left style="thin">
        <color indexed="8"/>
      </left>
      <right style="medium">
        <color rgb="FF000000"/>
      </right>
      <top style="medium">
        <color rgb="FF000000"/>
      </top>
      <bottom style="thin">
        <color indexed="8"/>
      </bottom>
      <diagonal/>
    </border>
    <border>
      <left style="thin">
        <color indexed="8"/>
      </left>
      <right style="thin">
        <color indexed="8"/>
      </right>
      <top/>
      <bottom style="medium">
        <color rgb="FF000000"/>
      </bottom>
      <diagonal/>
    </border>
    <border>
      <left style="thin">
        <color indexed="8"/>
      </left>
      <right style="thin">
        <color indexed="8"/>
      </right>
      <top style="thin">
        <color indexed="8"/>
      </top>
      <bottom style="medium">
        <color rgb="FF000000"/>
      </bottom>
      <diagonal/>
    </border>
    <border>
      <left style="thin">
        <color indexed="8"/>
      </left>
      <right style="medium">
        <color rgb="FF000000"/>
      </right>
      <top style="thin">
        <color indexed="8"/>
      </top>
      <bottom style="medium">
        <color rgb="FF000000"/>
      </bottom>
      <diagonal/>
    </border>
    <border>
      <left/>
      <right style="thin">
        <color indexed="64"/>
      </right>
      <top style="thin">
        <color indexed="64"/>
      </top>
      <bottom style="medium">
        <color indexed="64"/>
      </bottom>
      <diagonal/>
    </border>
    <border>
      <left style="medium">
        <color rgb="FF000000"/>
      </left>
      <right style="thin">
        <color indexed="8"/>
      </right>
      <top style="medium">
        <color rgb="FF000000"/>
      </top>
      <bottom/>
      <diagonal/>
    </border>
    <border>
      <left style="thin">
        <color indexed="64"/>
      </left>
      <right style="thin">
        <color indexed="64"/>
      </right>
      <top style="medium">
        <color rgb="FF000000"/>
      </top>
      <bottom style="thin">
        <color indexed="64"/>
      </bottom>
      <diagonal/>
    </border>
    <border>
      <left style="medium">
        <color rgb="FF000000"/>
      </left>
      <right style="thin">
        <color indexed="8"/>
      </right>
      <top style="medium">
        <color rgb="FF000000"/>
      </top>
      <bottom style="thin">
        <color indexed="8"/>
      </bottom>
      <diagonal/>
    </border>
    <border>
      <left/>
      <right style="thin">
        <color indexed="8"/>
      </right>
      <top style="medium">
        <color rgb="FF000000"/>
      </top>
      <bottom style="thin">
        <color indexed="8"/>
      </bottom>
      <diagonal/>
    </border>
    <border>
      <left/>
      <right style="thin">
        <color indexed="8"/>
      </right>
      <top style="thin">
        <color indexed="8"/>
      </top>
      <bottom style="medium">
        <color rgb="FF000000"/>
      </bottom>
      <diagonal/>
    </border>
    <border>
      <left style="medium">
        <color rgb="FF000000"/>
      </left>
      <right style="thin">
        <color indexed="8"/>
      </right>
      <top style="medium">
        <color rgb="FF000000"/>
      </top>
      <bottom style="medium">
        <color rgb="FF000000"/>
      </bottom>
      <diagonal/>
    </border>
    <border>
      <left style="thin">
        <color indexed="8"/>
      </left>
      <right style="thin">
        <color indexed="8"/>
      </right>
      <top style="medium">
        <color rgb="FF000000"/>
      </top>
      <bottom style="medium">
        <color rgb="FF000000"/>
      </bottom>
      <diagonal/>
    </border>
    <border>
      <left style="thin">
        <color indexed="8"/>
      </left>
      <right style="medium">
        <color rgb="FF000000"/>
      </right>
      <top style="medium">
        <color rgb="FF000000"/>
      </top>
      <bottom style="medium">
        <color rgb="FF000000"/>
      </bottom>
      <diagonal/>
    </border>
    <border>
      <left/>
      <right style="thin">
        <color indexed="8"/>
      </right>
      <top style="medium">
        <color indexed="64"/>
      </top>
      <bottom style="medium">
        <color indexed="64"/>
      </bottom>
      <diagonal/>
    </border>
    <border>
      <left/>
      <right style="thin">
        <color indexed="8"/>
      </right>
      <top style="medium">
        <color rgb="FF000000"/>
      </top>
      <bottom style="medium">
        <color rgb="FF000000"/>
      </bottom>
      <diagonal/>
    </border>
    <border>
      <left/>
      <right style="thin">
        <color indexed="8"/>
      </right>
      <top style="medium">
        <color rgb="FF000000"/>
      </top>
      <bottom/>
      <diagonal/>
    </border>
    <border>
      <left style="medium">
        <color rgb="FF000000"/>
      </left>
      <right style="thin">
        <color rgb="FF000000"/>
      </right>
      <top style="thin">
        <color rgb="FF000000"/>
      </top>
      <bottom style="thin">
        <color rgb="FF000000"/>
      </bottom>
      <diagonal/>
    </border>
    <border>
      <left style="thin">
        <color indexed="8"/>
      </left>
      <right style="medium">
        <color rgb="FF000000"/>
      </right>
      <top style="thin">
        <color indexed="8"/>
      </top>
      <bottom style="medium">
        <color indexed="64"/>
      </bottom>
      <diagonal/>
    </border>
    <border>
      <left style="thin">
        <color indexed="8"/>
      </left>
      <right style="medium">
        <color rgb="FF000000"/>
      </right>
      <top style="medium">
        <color indexed="64"/>
      </top>
      <bottom style="thin">
        <color indexed="8"/>
      </bottom>
      <diagonal/>
    </border>
    <border>
      <left style="medium">
        <color rgb="FF000000"/>
      </left>
      <right style="thin">
        <color rgb="FF000000"/>
      </right>
      <top style="thin">
        <color rgb="FF000000"/>
      </top>
      <bottom style="medium">
        <color rgb="FF000000"/>
      </bottom>
      <diagonal/>
    </border>
    <border>
      <left/>
      <right style="thin">
        <color indexed="8"/>
      </right>
      <top/>
      <bottom style="medium">
        <color rgb="FF000000"/>
      </bottom>
      <diagonal/>
    </border>
    <border>
      <left style="medium">
        <color rgb="FF000000"/>
      </left>
      <right style="thin">
        <color indexed="8"/>
      </right>
      <top/>
      <bottom/>
      <diagonal/>
    </border>
    <border>
      <left style="thin">
        <color indexed="8"/>
      </left>
      <right style="medium">
        <color rgb="FF000000"/>
      </right>
      <top/>
      <bottom style="thin">
        <color indexed="8"/>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style="thin">
        <color indexed="8"/>
      </left>
      <right style="medium">
        <color rgb="FF000000"/>
      </right>
      <top style="medium">
        <color indexed="64"/>
      </top>
      <bottom style="medium">
        <color indexed="64"/>
      </bottom>
      <diagonal/>
    </border>
    <border>
      <left style="thin">
        <color indexed="8"/>
      </left>
      <right style="medium">
        <color rgb="FF000000"/>
      </right>
      <top/>
      <bottom style="medium">
        <color rgb="FF000000"/>
      </bottom>
      <diagonal/>
    </border>
    <border>
      <left/>
      <right style="thin">
        <color rgb="FF000000"/>
      </right>
      <top/>
      <bottom style="medium">
        <color rgb="FF000000"/>
      </bottom>
      <diagonal/>
    </border>
    <border>
      <left style="thin">
        <color indexed="8"/>
      </left>
      <right/>
      <top style="medium">
        <color indexed="64"/>
      </top>
      <bottom style="thin">
        <color indexed="8"/>
      </bottom>
      <diagonal/>
    </border>
    <border>
      <left style="thin">
        <color indexed="8"/>
      </left>
      <right/>
      <top style="thin">
        <color indexed="8"/>
      </top>
      <bottom style="medium">
        <color indexed="64"/>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thin">
        <color rgb="FF000000"/>
      </bottom>
      <diagonal/>
    </border>
    <border>
      <left style="thin">
        <color indexed="8"/>
      </left>
      <right style="thin">
        <color indexed="8"/>
      </right>
      <top style="medium">
        <color indexed="64"/>
      </top>
      <bottom style="medium">
        <color rgb="FF000000"/>
      </bottom>
      <diagonal/>
    </border>
    <border>
      <left/>
      <right style="thin">
        <color indexed="64"/>
      </right>
      <top/>
      <bottom style="medium">
        <color rgb="FF000000"/>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8"/>
      </left>
      <right style="medium">
        <color rgb="FF000000"/>
      </right>
      <top style="thin">
        <color indexed="8"/>
      </top>
      <bottom style="thin">
        <color indexed="8"/>
      </bottom>
      <diagonal/>
    </border>
    <border>
      <left style="thin">
        <color indexed="8"/>
      </left>
      <right style="medium">
        <color rgb="FF000000"/>
      </right>
      <top style="thin">
        <color indexed="8"/>
      </top>
      <bottom/>
      <diagonal/>
    </border>
    <border>
      <left style="thin">
        <color indexed="8"/>
      </left>
      <right/>
      <top style="thin">
        <color indexed="8"/>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right/>
      <top style="thin">
        <color indexed="64"/>
      </top>
      <bottom style="thin">
        <color indexed="64"/>
      </bottom>
      <diagonal/>
    </border>
    <border>
      <left/>
      <right style="thin">
        <color rgb="FF000000"/>
      </right>
      <top style="thin">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style="thin">
        <color indexed="8"/>
      </left>
      <right style="medium">
        <color rgb="FF000000"/>
      </right>
      <top style="medium">
        <color rgb="FF000000"/>
      </top>
      <bottom/>
      <diagonal/>
    </border>
    <border>
      <left style="medium">
        <color rgb="FF000000"/>
      </left>
      <right/>
      <top style="medium">
        <color rgb="FF000000"/>
      </top>
      <bottom style="thin">
        <color indexed="8"/>
      </bottom>
      <diagonal/>
    </border>
    <border>
      <left/>
      <right/>
      <top style="medium">
        <color rgb="FF000000"/>
      </top>
      <bottom style="thin">
        <color indexed="8"/>
      </bottom>
      <diagonal/>
    </border>
    <border>
      <left style="medium">
        <color rgb="FF000000"/>
      </left>
      <right/>
      <top style="thin">
        <color indexed="8"/>
      </top>
      <bottom style="thin">
        <color rgb="FF000000"/>
      </bottom>
      <diagonal/>
    </border>
    <border>
      <left style="medium">
        <color rgb="FF000000"/>
      </left>
      <right/>
      <top style="thin">
        <color rgb="FF000000"/>
      </top>
      <bottom/>
      <diagonal/>
    </border>
    <border>
      <left style="thin">
        <color indexed="64"/>
      </left>
      <right style="medium">
        <color rgb="FF000000"/>
      </right>
      <top style="thin">
        <color indexed="64"/>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thin">
        <color rgb="FF000000"/>
      </bottom>
      <diagonal/>
    </border>
    <border>
      <left/>
      <right/>
      <top/>
      <bottom style="thin">
        <color indexed="64"/>
      </bottom>
      <diagonal/>
    </border>
    <border>
      <left style="medium">
        <color rgb="FF000000"/>
      </left>
      <right style="thin">
        <color indexed="8"/>
      </right>
      <top style="thin">
        <color indexed="8"/>
      </top>
      <bottom/>
      <diagonal/>
    </border>
    <border>
      <left style="thin">
        <color indexed="8"/>
      </left>
      <right style="medium">
        <color rgb="FF000000"/>
      </right>
      <top/>
      <bottom/>
      <diagonal/>
    </border>
    <border>
      <left/>
      <right/>
      <top style="medium">
        <color rgb="FF000000"/>
      </top>
      <bottom/>
      <diagonal/>
    </border>
    <border>
      <left style="medium">
        <color rgb="FF000000"/>
      </left>
      <right style="thin">
        <color rgb="FF000000"/>
      </right>
      <top/>
      <bottom style="thin">
        <color rgb="FF000000"/>
      </bottom>
      <diagonal/>
    </border>
    <border>
      <left style="medium">
        <color rgb="FF000000"/>
      </left>
      <right style="thin">
        <color rgb="FF000000"/>
      </right>
      <top style="thin">
        <color rgb="FF000000"/>
      </top>
      <bottom/>
      <diagonal/>
    </border>
    <border>
      <left style="medium">
        <color rgb="FF000000"/>
      </left>
      <right/>
      <top/>
      <bottom/>
      <diagonal/>
    </border>
    <border>
      <left style="thin">
        <color indexed="8"/>
      </left>
      <right style="medium">
        <color rgb="FF000000"/>
      </right>
      <top style="medium">
        <color indexed="64"/>
      </top>
      <bottom/>
      <diagonal/>
    </border>
    <border>
      <left style="thin">
        <color indexed="8"/>
      </left>
      <right style="medium">
        <color rgb="FF000000"/>
      </right>
      <top/>
      <bottom style="medium">
        <color indexed="64"/>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thin">
        <color indexed="64"/>
      </left>
      <right style="medium">
        <color rgb="FF000000"/>
      </right>
      <top style="medium">
        <color indexed="64"/>
      </top>
      <bottom style="thin">
        <color indexed="64"/>
      </bottom>
      <diagonal/>
    </border>
    <border>
      <left style="thin">
        <color indexed="64"/>
      </left>
      <right style="medium">
        <color rgb="FF000000"/>
      </right>
      <top style="thin">
        <color indexed="64"/>
      </top>
      <bottom style="thin">
        <color indexed="64"/>
      </bottom>
      <diagonal/>
    </border>
    <border>
      <left style="thin">
        <color indexed="64"/>
      </left>
      <right style="medium">
        <color rgb="FF000000"/>
      </right>
      <top style="thin">
        <color indexed="64"/>
      </top>
      <bottom style="medium">
        <color indexed="64"/>
      </bottom>
      <diagonal/>
    </border>
    <border>
      <left style="thin">
        <color indexed="64"/>
      </left>
      <right style="medium">
        <color rgb="FF000000"/>
      </right>
      <top style="medium">
        <color indexed="64"/>
      </top>
      <bottom style="medium">
        <color indexed="64"/>
      </bottom>
      <diagonal/>
    </border>
    <border>
      <left style="thin">
        <color indexed="64"/>
      </left>
      <right style="medium">
        <color rgb="FF000000"/>
      </right>
      <top style="medium">
        <color indexed="64"/>
      </top>
      <bottom/>
      <diagonal/>
    </border>
    <border>
      <left style="medium">
        <color rgb="FF000000"/>
      </left>
      <right/>
      <top/>
      <bottom style="thin">
        <color indexed="8"/>
      </bottom>
      <diagonal/>
    </border>
    <border>
      <left style="medium">
        <color rgb="FF000000"/>
      </left>
      <right/>
      <top style="thin">
        <color indexed="8"/>
      </top>
      <bottom/>
      <diagonal/>
    </border>
    <border>
      <left/>
      <right style="medium">
        <color rgb="FF000000"/>
      </right>
      <top style="medium">
        <color indexed="64"/>
      </top>
      <bottom style="medium">
        <color indexed="64"/>
      </bottom>
      <diagonal/>
    </border>
    <border>
      <left style="medium">
        <color rgb="FF000000"/>
      </left>
      <right/>
      <top style="thin">
        <color rgb="FF000000"/>
      </top>
      <bottom style="thin">
        <color rgb="FF000000"/>
      </bottom>
      <diagonal/>
    </border>
    <border>
      <left/>
      <right style="medium">
        <color rgb="FF000000"/>
      </right>
      <top/>
      <bottom/>
      <diagonal/>
    </border>
    <border>
      <left style="thin">
        <color rgb="FF000000"/>
      </left>
      <right style="thin">
        <color indexed="8"/>
      </right>
      <top style="medium">
        <color indexed="64"/>
      </top>
      <bottom/>
      <diagonal/>
    </border>
    <border>
      <left style="thin">
        <color rgb="FF000000"/>
      </left>
      <right style="thin">
        <color indexed="8"/>
      </right>
      <top/>
      <bottom/>
      <diagonal/>
    </border>
    <border>
      <left style="thin">
        <color rgb="FF000000"/>
      </left>
      <right style="thin">
        <color indexed="8"/>
      </right>
      <top/>
      <bottom style="medium">
        <color indexed="64"/>
      </bottom>
      <diagonal/>
    </border>
    <border>
      <left/>
      <right style="medium">
        <color rgb="FF000000"/>
      </right>
      <top style="medium">
        <color indexed="64"/>
      </top>
      <bottom style="thin">
        <color indexed="8"/>
      </bottom>
      <diagonal/>
    </border>
    <border>
      <left/>
      <right style="medium">
        <color rgb="FF000000"/>
      </right>
      <top style="thin">
        <color indexed="8"/>
      </top>
      <bottom style="medium">
        <color indexed="64"/>
      </bottom>
      <diagonal/>
    </border>
    <border>
      <left style="thin">
        <color rgb="FF000000"/>
      </left>
      <right style="thin">
        <color indexed="64"/>
      </right>
      <top style="medium">
        <color indexed="64"/>
      </top>
      <bottom/>
      <diagonal/>
    </border>
    <border>
      <left style="thin">
        <color rgb="FF000000"/>
      </left>
      <right style="thin">
        <color indexed="64"/>
      </right>
      <top/>
      <bottom style="medium">
        <color indexed="64"/>
      </bottom>
      <diagonal/>
    </border>
    <border>
      <left style="thin">
        <color indexed="64"/>
      </left>
      <right style="medium">
        <color rgb="FF000000"/>
      </right>
      <top/>
      <bottom/>
      <diagonal/>
    </border>
    <border>
      <left style="thin">
        <color rgb="FF000000"/>
      </left>
      <right style="thin">
        <color indexed="64"/>
      </right>
      <top/>
      <bottom/>
      <diagonal/>
    </border>
    <border>
      <left style="thin">
        <color rgb="FF000000"/>
      </left>
      <right style="thin">
        <color rgb="FF000000"/>
      </right>
      <top/>
      <bottom style="medium">
        <color rgb="FF000000"/>
      </bottom>
      <diagonal/>
    </border>
    <border>
      <left style="thin">
        <color rgb="FF000000"/>
      </left>
      <right/>
      <top style="thin">
        <color rgb="FF000000"/>
      </top>
      <bottom style="thin">
        <color rgb="FF000000"/>
      </bottom>
      <diagonal/>
    </border>
    <border>
      <left style="thin">
        <color indexed="8"/>
      </left>
      <right style="thin">
        <color indexed="8"/>
      </right>
      <top style="medium">
        <color rgb="FF000000"/>
      </top>
      <bottom style="medium">
        <color indexed="64"/>
      </bottom>
      <diagonal/>
    </border>
    <border>
      <left style="thin">
        <color indexed="64"/>
      </left>
      <right style="medium">
        <color indexed="64"/>
      </right>
      <top style="thin">
        <color indexed="64"/>
      </top>
      <bottom style="thin">
        <color indexed="64"/>
      </bottom>
      <diagonal/>
    </border>
    <border>
      <left style="thin">
        <color indexed="8"/>
      </left>
      <right style="thin">
        <color indexed="64"/>
      </right>
      <top style="medium">
        <color indexed="64"/>
      </top>
      <bottom/>
      <diagonal/>
    </border>
    <border>
      <left style="thin">
        <color indexed="8"/>
      </left>
      <right style="thin">
        <color indexed="64"/>
      </right>
      <top/>
      <bottom/>
      <diagonal/>
    </border>
    <border>
      <left style="thin">
        <color indexed="8"/>
      </left>
      <right style="thin">
        <color indexed="64"/>
      </right>
      <top/>
      <bottom style="medium">
        <color indexed="64"/>
      </bottom>
      <diagonal/>
    </border>
    <border>
      <left style="medium">
        <color rgb="FF000000"/>
      </left>
      <right/>
      <top/>
      <bottom style="medium">
        <color rgb="FF000000"/>
      </bottom>
      <diagonal/>
    </border>
    <border>
      <left style="thin">
        <color indexed="64"/>
      </left>
      <right/>
      <top/>
      <bottom style="medium">
        <color rgb="FF000000"/>
      </bottom>
      <diagonal/>
    </border>
    <border>
      <left style="thin">
        <color rgb="FF000000"/>
      </left>
      <right style="thin">
        <color indexed="8"/>
      </right>
      <top style="medium">
        <color rgb="FF000000"/>
      </top>
      <bottom style="medium">
        <color indexed="64"/>
      </bottom>
      <diagonal/>
    </border>
    <border>
      <left/>
      <right style="thin">
        <color rgb="FF000000"/>
      </right>
      <top/>
      <bottom/>
      <diagonal/>
    </border>
    <border>
      <left style="thin">
        <color indexed="8"/>
      </left>
      <right/>
      <top style="medium">
        <color rgb="FF000000"/>
      </top>
      <bottom style="thin">
        <color indexed="8"/>
      </bottom>
      <diagonal/>
    </border>
    <border>
      <left style="thin">
        <color rgb="FF000000"/>
      </left>
      <right style="thin">
        <color indexed="8"/>
      </right>
      <top style="medium">
        <color rgb="FF000000"/>
      </top>
      <bottom/>
      <diagonal/>
    </border>
    <border>
      <left style="thin">
        <color rgb="FF000000"/>
      </left>
      <right style="thin">
        <color indexed="8"/>
      </right>
      <top/>
      <bottom style="thin">
        <color indexed="8"/>
      </bottom>
      <diagonal/>
    </border>
    <border>
      <left/>
      <right/>
      <top/>
      <bottom style="thin">
        <color indexed="8"/>
      </bottom>
      <diagonal/>
    </border>
    <border>
      <left/>
      <right/>
      <top/>
      <bottom style="thin">
        <color rgb="FF000000"/>
      </bottom>
      <diagonal/>
    </border>
    <border>
      <left/>
      <right/>
      <top style="thin">
        <color indexed="8"/>
      </top>
      <bottom/>
      <diagonal/>
    </border>
    <border>
      <left style="thin">
        <color indexed="64"/>
      </left>
      <right style="thin">
        <color indexed="64"/>
      </right>
      <top/>
      <bottom style="thin">
        <color rgb="FF000000"/>
      </bottom>
      <diagonal/>
    </border>
    <border>
      <left style="thin">
        <color indexed="64"/>
      </left>
      <right style="thin">
        <color indexed="8"/>
      </right>
      <top style="thin">
        <color indexed="64"/>
      </top>
      <bottom/>
      <diagonal/>
    </border>
    <border>
      <left style="thin">
        <color indexed="64"/>
      </left>
      <right style="thin">
        <color indexed="8"/>
      </right>
      <top/>
      <bottom style="thin">
        <color rgb="FF000000"/>
      </bottom>
      <diagonal/>
    </border>
    <border>
      <left style="thin">
        <color indexed="64"/>
      </left>
      <right style="thin">
        <color indexed="64"/>
      </right>
      <top style="thin">
        <color indexed="8"/>
      </top>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top style="medium">
        <color indexed="64"/>
      </top>
      <bottom/>
      <diagonal/>
    </border>
    <border>
      <left style="thin">
        <color rgb="FF000000"/>
      </left>
      <right/>
      <top/>
      <bottom/>
      <diagonal/>
    </border>
    <border>
      <left style="thin">
        <color rgb="FF000000"/>
      </left>
      <right/>
      <top/>
      <bottom style="medium">
        <color rgb="FF000000"/>
      </bottom>
      <diagonal/>
    </border>
    <border>
      <left style="thin">
        <color rgb="FF000000"/>
      </left>
      <right/>
      <top style="thin">
        <color indexed="64"/>
      </top>
      <bottom/>
      <diagonal/>
    </border>
  </borders>
  <cellStyleXfs count="3">
    <xf numFmtId="0" fontId="0" fillId="0" borderId="0"/>
    <xf numFmtId="164" fontId="19" fillId="0" borderId="0" applyFont="0" applyFill="0" applyBorder="0" applyAlignment="0" applyProtection="0"/>
    <xf numFmtId="9" fontId="19" fillId="0" borderId="0" applyFont="0" applyFill="0" applyBorder="0" applyAlignment="0" applyProtection="0"/>
  </cellStyleXfs>
  <cellXfs count="685">
    <xf numFmtId="0" fontId="0" fillId="0" borderId="0" xfId="0"/>
    <xf numFmtId="0" fontId="1" fillId="0" borderId="0" xfId="0" applyFont="1"/>
    <xf numFmtId="0" fontId="3" fillId="0" borderId="0" xfId="0" applyFont="1"/>
    <xf numFmtId="0" fontId="1" fillId="0" borderId="0" xfId="0" applyFont="1" applyAlignment="1">
      <alignment horizontal="justify"/>
    </xf>
    <xf numFmtId="0" fontId="3" fillId="2" borderId="1" xfId="0" applyFont="1" applyFill="1" applyBorder="1" applyAlignment="1">
      <alignment horizontal="justify" vertical="center"/>
    </xf>
    <xf numFmtId="0" fontId="3" fillId="2" borderId="1" xfId="0" applyFont="1" applyFill="1" applyBorder="1" applyAlignment="1">
      <alignment horizontal="center" vertical="center"/>
    </xf>
    <xf numFmtId="0" fontId="1" fillId="0" borderId="1" xfId="0" applyFont="1" applyBorder="1" applyAlignment="1">
      <alignment horizontal="justify"/>
    </xf>
    <xf numFmtId="166" fontId="1" fillId="3" borderId="1" xfId="0" applyNumberFormat="1" applyFont="1" applyFill="1" applyBorder="1"/>
    <xf numFmtId="0" fontId="1" fillId="0" borderId="1" xfId="0" applyFont="1" applyBorder="1"/>
    <xf numFmtId="166" fontId="3" fillId="2" borderId="1" xfId="0" applyNumberFormat="1" applyFont="1" applyFill="1" applyBorder="1" applyAlignment="1">
      <alignment vertical="center"/>
    </xf>
    <xf numFmtId="0" fontId="3" fillId="2" borderId="1" xfId="0" applyFont="1" applyFill="1" applyBorder="1" applyAlignment="1">
      <alignment horizontal="justify"/>
    </xf>
    <xf numFmtId="166" fontId="3" fillId="2" borderId="1" xfId="0" applyNumberFormat="1" applyFont="1" applyFill="1" applyBorder="1"/>
    <xf numFmtId="0" fontId="3" fillId="2" borderId="1" xfId="0" applyFont="1" applyFill="1" applyBorder="1"/>
    <xf numFmtId="0" fontId="1" fillId="0" borderId="0" xfId="0" applyFont="1" applyAlignment="1">
      <alignment horizontal="right"/>
    </xf>
    <xf numFmtId="0" fontId="5" fillId="0" borderId="0" xfId="0" applyFont="1"/>
    <xf numFmtId="0" fontId="2" fillId="0" borderId="0" xfId="0" applyFont="1" applyAlignment="1">
      <alignment horizontal="center"/>
    </xf>
    <xf numFmtId="165" fontId="1" fillId="0" borderId="1" xfId="0" applyNumberFormat="1" applyFont="1" applyBorder="1"/>
    <xf numFmtId="0" fontId="12" fillId="0" borderId="2" xfId="0" applyFont="1" applyBorder="1" applyAlignment="1">
      <alignment horizontal="center" vertical="top"/>
    </xf>
    <xf numFmtId="0" fontId="12" fillId="4" borderId="0" xfId="0" applyFont="1" applyFill="1" applyAlignment="1">
      <alignment horizontal="left" vertical="top"/>
    </xf>
    <xf numFmtId="0" fontId="12" fillId="0" borderId="0" xfId="0" applyFont="1" applyAlignment="1">
      <alignment horizontal="left" vertical="top"/>
    </xf>
    <xf numFmtId="0" fontId="11" fillId="0" borderId="0" xfId="0" applyFont="1" applyAlignment="1">
      <alignment vertical="top"/>
    </xf>
    <xf numFmtId="0" fontId="12" fillId="0" borderId="0" xfId="0" applyFont="1" applyAlignment="1">
      <alignment vertical="top"/>
    </xf>
    <xf numFmtId="0" fontId="11" fillId="0" borderId="0" xfId="0" applyFont="1" applyAlignment="1">
      <alignment horizontal="justify" vertical="top"/>
    </xf>
    <xf numFmtId="0" fontId="11" fillId="0" borderId="0" xfId="0" applyFont="1" applyAlignment="1">
      <alignment vertical="center" wrapText="1"/>
    </xf>
    <xf numFmtId="0" fontId="11" fillId="0" borderId="1" xfId="0" applyFont="1" applyBorder="1" applyAlignment="1">
      <alignment horizontal="justify" vertical="top"/>
    </xf>
    <xf numFmtId="0" fontId="11" fillId="0" borderId="1" xfId="0" applyFont="1" applyBorder="1" applyAlignment="1">
      <alignment vertical="top"/>
    </xf>
    <xf numFmtId="166" fontId="11" fillId="3" borderId="1" xfId="0" applyNumberFormat="1" applyFont="1" applyFill="1" applyBorder="1" applyAlignment="1">
      <alignment vertical="center"/>
    </xf>
    <xf numFmtId="0" fontId="11" fillId="0" borderId="1" xfId="0" applyFont="1" applyBorder="1" applyAlignment="1">
      <alignment horizontal="center" vertical="center"/>
    </xf>
    <xf numFmtId="166" fontId="12" fillId="2" borderId="1" xfId="0" applyNumberFormat="1" applyFont="1" applyFill="1" applyBorder="1" applyAlignment="1">
      <alignment vertical="center"/>
    </xf>
    <xf numFmtId="0" fontId="12" fillId="0" borderId="0" xfId="0" applyFont="1" applyAlignment="1">
      <alignment vertical="center"/>
    </xf>
    <xf numFmtId="0" fontId="12" fillId="2" borderId="1" xfId="0" applyFont="1" applyFill="1" applyBorder="1" applyAlignment="1">
      <alignment horizontal="justify" vertical="center"/>
    </xf>
    <xf numFmtId="0" fontId="12" fillId="2" borderId="1" xfId="0" applyFont="1" applyFill="1" applyBorder="1" applyAlignment="1">
      <alignment vertical="center"/>
    </xf>
    <xf numFmtId="0" fontId="11" fillId="0" borderId="0" xfId="0" applyFont="1" applyAlignment="1">
      <alignment vertical="center"/>
    </xf>
    <xf numFmtId="0" fontId="11" fillId="0" borderId="11" xfId="0" applyFont="1" applyBorder="1" applyAlignment="1">
      <alignment horizontal="justify" vertical="center"/>
    </xf>
    <xf numFmtId="166" fontId="11" fillId="3" borderId="11" xfId="0" applyNumberFormat="1" applyFont="1" applyFill="1" applyBorder="1" applyAlignment="1">
      <alignment vertical="center"/>
    </xf>
    <xf numFmtId="0" fontId="11" fillId="0" borderId="11" xfId="0" applyFont="1" applyBorder="1" applyAlignment="1">
      <alignment horizontal="justify" vertical="top"/>
    </xf>
    <xf numFmtId="0" fontId="11" fillId="0" borderId="11" xfId="0" applyFont="1" applyBorder="1" applyAlignment="1">
      <alignment vertical="center"/>
    </xf>
    <xf numFmtId="0" fontId="11" fillId="0" borderId="11" xfId="0" applyFont="1" applyBorder="1" applyAlignment="1">
      <alignment horizontal="center" vertical="center"/>
    </xf>
    <xf numFmtId="0" fontId="11" fillId="0" borderId="1" xfId="0" applyFont="1" applyBorder="1" applyAlignment="1">
      <alignment horizontal="justify" vertical="center"/>
    </xf>
    <xf numFmtId="0" fontId="11" fillId="0" borderId="1" xfId="0" applyFont="1" applyBorder="1" applyAlignment="1">
      <alignment vertical="center"/>
    </xf>
    <xf numFmtId="166" fontId="11" fillId="0" borderId="0" xfId="0" applyNumberFormat="1" applyFont="1" applyAlignment="1">
      <alignment vertical="top"/>
    </xf>
    <xf numFmtId="0" fontId="15" fillId="6" borderId="0" xfId="0" applyFont="1" applyFill="1" applyAlignment="1">
      <alignment vertical="top"/>
    </xf>
    <xf numFmtId="3" fontId="15" fillId="6" borderId="0" xfId="0" applyNumberFormat="1" applyFont="1" applyFill="1" applyAlignment="1">
      <alignment vertical="top"/>
    </xf>
    <xf numFmtId="167" fontId="20" fillId="0" borderId="0" xfId="0" applyNumberFormat="1" applyFont="1"/>
    <xf numFmtId="9" fontId="11" fillId="0" borderId="0" xfId="2" applyFont="1" applyAlignment="1">
      <alignment vertical="top"/>
    </xf>
    <xf numFmtId="164" fontId="11" fillId="0" borderId="0" xfId="1" applyFont="1" applyAlignment="1">
      <alignment vertical="top"/>
    </xf>
    <xf numFmtId="0" fontId="11" fillId="0" borderId="8" xfId="0" applyFont="1" applyBorder="1" applyAlignment="1">
      <alignment horizontal="left" vertical="center" wrapText="1"/>
    </xf>
    <xf numFmtId="0" fontId="11" fillId="0" borderId="6" xfId="0" applyFont="1" applyBorder="1" applyAlignment="1">
      <alignment vertical="center"/>
    </xf>
    <xf numFmtId="0" fontId="11" fillId="0" borderId="7" xfId="0" applyFont="1" applyBorder="1" applyAlignment="1">
      <alignment vertical="center"/>
    </xf>
    <xf numFmtId="0" fontId="11" fillId="0" borderId="6" xfId="0" applyFont="1" applyBorder="1" applyAlignment="1">
      <alignment horizontal="center" vertical="center"/>
    </xf>
    <xf numFmtId="166" fontId="11" fillId="3" borderId="6" xfId="0" applyNumberFormat="1" applyFont="1" applyFill="1" applyBorder="1" applyAlignment="1">
      <alignment vertical="center"/>
    </xf>
    <xf numFmtId="166" fontId="11" fillId="3" borderId="7" xfId="0" applyNumberFormat="1" applyFont="1" applyFill="1" applyBorder="1" applyAlignment="1">
      <alignment vertical="center"/>
    </xf>
    <xf numFmtId="166" fontId="11" fillId="3" borderId="8" xfId="0" applyNumberFormat="1" applyFont="1" applyFill="1" applyBorder="1" applyAlignment="1">
      <alignment vertical="center"/>
    </xf>
    <xf numFmtId="166" fontId="11" fillId="3" borderId="7" xfId="0" applyNumberFormat="1" applyFont="1" applyFill="1" applyBorder="1" applyAlignment="1">
      <alignment vertical="top"/>
    </xf>
    <xf numFmtId="0" fontId="11" fillId="0" borderId="6" xfId="0" applyFont="1" applyBorder="1" applyAlignment="1">
      <alignment vertical="top"/>
    </xf>
    <xf numFmtId="0" fontId="11" fillId="0" borderId="7" xfId="0" applyFont="1" applyBorder="1" applyAlignment="1">
      <alignment vertical="top"/>
    </xf>
    <xf numFmtId="0" fontId="11" fillId="0" borderId="0" xfId="0" applyFont="1" applyAlignment="1">
      <alignment horizontal="center" vertical="center"/>
    </xf>
    <xf numFmtId="0" fontId="11" fillId="0" borderId="1" xfId="0" applyFont="1" applyBorder="1" applyAlignment="1">
      <alignment horizontal="justify" vertical="top" wrapText="1"/>
    </xf>
    <xf numFmtId="0" fontId="11" fillId="0" borderId="6" xfId="0" applyFont="1" applyBorder="1" applyAlignment="1">
      <alignment horizontal="justify" vertical="top"/>
    </xf>
    <xf numFmtId="0" fontId="11" fillId="0" borderId="6" xfId="0" applyFont="1" applyBorder="1" applyAlignment="1">
      <alignment horizontal="right" vertical="center"/>
    </xf>
    <xf numFmtId="0" fontId="11" fillId="0" borderId="8" xfId="0" applyFont="1" applyBorder="1" applyAlignment="1">
      <alignment horizontal="right" vertical="center"/>
    </xf>
    <xf numFmtId="0" fontId="11" fillId="0" borderId="1" xfId="0" applyFont="1" applyBorder="1" applyAlignment="1">
      <alignment horizontal="right" vertical="center"/>
    </xf>
    <xf numFmtId="0" fontId="11" fillId="0" borderId="8" xfId="0" applyFont="1" applyBorder="1" applyAlignment="1">
      <alignment horizontal="justify" vertical="top"/>
    </xf>
    <xf numFmtId="0" fontId="12" fillId="0" borderId="0" xfId="0" applyFont="1" applyAlignment="1">
      <alignment horizontal="center" vertical="center"/>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2" fillId="2" borderId="1" xfId="0" applyFont="1" applyFill="1" applyBorder="1" applyAlignment="1">
      <alignment horizontal="center" vertical="center"/>
    </xf>
    <xf numFmtId="0" fontId="12" fillId="2" borderId="6" xfId="0" applyFont="1" applyFill="1" applyBorder="1" applyAlignment="1">
      <alignment horizontal="center" vertical="center"/>
    </xf>
    <xf numFmtId="0" fontId="11" fillId="0" borderId="6" xfId="0" applyFont="1" applyBorder="1" applyAlignment="1">
      <alignment horizontal="justify" vertical="top" wrapText="1"/>
    </xf>
    <xf numFmtId="166" fontId="11" fillId="3" borderId="16" xfId="0" applyNumberFormat="1" applyFont="1" applyFill="1" applyBorder="1" applyAlignment="1">
      <alignment vertical="center"/>
    </xf>
    <xf numFmtId="49" fontId="21" fillId="0" borderId="11" xfId="0" applyNumberFormat="1" applyFont="1" applyBorder="1" applyAlignment="1">
      <alignment horizontal="right" vertical="center"/>
    </xf>
    <xf numFmtId="0" fontId="11" fillId="0" borderId="8" xfId="0" applyFont="1" applyBorder="1" applyAlignment="1">
      <alignment vertical="center" wrapText="1"/>
    </xf>
    <xf numFmtId="0" fontId="11" fillId="0" borderId="6" xfId="0" applyFont="1" applyBorder="1" applyAlignment="1">
      <alignment horizontal="justify" vertical="center"/>
    </xf>
    <xf numFmtId="0" fontId="12" fillId="2" borderId="6" xfId="0" applyFont="1" applyFill="1" applyBorder="1" applyAlignment="1">
      <alignment vertical="center"/>
    </xf>
    <xf numFmtId="164" fontId="11" fillId="0" borderId="0" xfId="0" applyNumberFormat="1" applyFont="1" applyAlignment="1">
      <alignment vertical="top"/>
    </xf>
    <xf numFmtId="166" fontId="11" fillId="3" borderId="24" xfId="0" applyNumberFormat="1" applyFont="1" applyFill="1" applyBorder="1" applyAlignment="1">
      <alignment vertical="center"/>
    </xf>
    <xf numFmtId="166" fontId="11" fillId="3" borderId="25" xfId="0" applyNumberFormat="1" applyFont="1" applyFill="1" applyBorder="1" applyAlignment="1">
      <alignment vertical="center"/>
    </xf>
    <xf numFmtId="0" fontId="11" fillId="0" borderId="27" xfId="0" applyFont="1" applyBorder="1" applyAlignment="1">
      <alignment horizontal="justify" vertical="center"/>
    </xf>
    <xf numFmtId="0" fontId="11" fillId="0" borderId="27" xfId="0" applyFont="1" applyBorder="1" applyAlignment="1">
      <alignment horizontal="center" vertical="center"/>
    </xf>
    <xf numFmtId="0" fontId="11" fillId="0" borderId="27" xfId="0" applyFont="1" applyBorder="1" applyAlignment="1">
      <alignment vertical="center"/>
    </xf>
    <xf numFmtId="166" fontId="11" fillId="3" borderId="27" xfId="0" applyNumberFormat="1" applyFont="1" applyFill="1" applyBorder="1" applyAlignment="1">
      <alignment vertical="center"/>
    </xf>
    <xf numFmtId="0" fontId="11" fillId="0" borderId="29" xfId="0" applyFont="1" applyBorder="1" applyAlignment="1">
      <alignment horizontal="justify" vertical="center"/>
    </xf>
    <xf numFmtId="0" fontId="11" fillId="0" borderId="29" xfId="0" applyFont="1" applyBorder="1" applyAlignment="1">
      <alignment horizontal="center" vertical="center"/>
    </xf>
    <xf numFmtId="166" fontId="11" fillId="3" borderId="29" xfId="0" applyNumberFormat="1" applyFont="1" applyFill="1" applyBorder="1" applyAlignment="1">
      <alignment vertical="center"/>
    </xf>
    <xf numFmtId="0" fontId="11" fillId="0" borderId="27" xfId="0" applyFont="1" applyBorder="1" applyAlignment="1">
      <alignment horizontal="justify" vertical="top"/>
    </xf>
    <xf numFmtId="0" fontId="11" fillId="0" borderId="29" xfId="0" applyFont="1" applyBorder="1" applyAlignment="1">
      <alignment horizontal="justify" vertical="top"/>
    </xf>
    <xf numFmtId="0" fontId="11" fillId="0" borderId="29" xfId="0" applyFont="1" applyBorder="1" applyAlignment="1">
      <alignment horizontal="right" vertical="center"/>
    </xf>
    <xf numFmtId="0" fontId="11" fillId="0" borderId="29" xfId="0" applyFont="1" applyBorder="1" applyAlignment="1">
      <alignment vertical="center"/>
    </xf>
    <xf numFmtId="0" fontId="12" fillId="2" borderId="7" xfId="0" applyFont="1" applyFill="1" applyBorder="1" applyAlignment="1">
      <alignment horizontal="left" vertical="center" wrapText="1"/>
    </xf>
    <xf numFmtId="166" fontId="12" fillId="2" borderId="7" xfId="0" applyNumberFormat="1" applyFont="1" applyFill="1" applyBorder="1" applyAlignment="1">
      <alignment vertical="center"/>
    </xf>
    <xf numFmtId="0" fontId="12" fillId="2" borderId="7" xfId="0" applyFont="1" applyFill="1" applyBorder="1" applyAlignment="1">
      <alignment horizontal="justify" vertical="center"/>
    </xf>
    <xf numFmtId="0" fontId="12" fillId="2" borderId="7" xfId="0" applyFont="1" applyFill="1" applyBorder="1" applyAlignment="1">
      <alignment vertical="center"/>
    </xf>
    <xf numFmtId="0" fontId="12" fillId="2" borderId="7" xfId="0" applyFont="1" applyFill="1" applyBorder="1" applyAlignment="1">
      <alignment horizontal="center" vertical="center"/>
    </xf>
    <xf numFmtId="0" fontId="11" fillId="0" borderId="24" xfId="0" applyFont="1" applyBorder="1" applyAlignment="1">
      <alignment horizontal="justify" vertical="center"/>
    </xf>
    <xf numFmtId="0" fontId="11" fillId="0" borderId="24" xfId="0" applyFont="1" applyBorder="1" applyAlignment="1">
      <alignment horizontal="center" vertical="center"/>
    </xf>
    <xf numFmtId="49" fontId="21" fillId="0" borderId="24" xfId="0" applyNumberFormat="1" applyFont="1" applyBorder="1" applyAlignment="1">
      <alignment horizontal="right" vertical="center"/>
    </xf>
    <xf numFmtId="0" fontId="11" fillId="0" borderId="25" xfId="0" applyFont="1" applyBorder="1" applyAlignment="1">
      <alignment horizontal="justify" vertical="center"/>
    </xf>
    <xf numFmtId="0" fontId="11" fillId="0" borderId="25" xfId="0" applyFont="1" applyBorder="1" applyAlignment="1">
      <alignment horizontal="right" vertical="center"/>
    </xf>
    <xf numFmtId="0" fontId="11" fillId="0" borderId="25" xfId="0" applyFont="1" applyBorder="1" applyAlignment="1">
      <alignment horizontal="center" vertical="center"/>
    </xf>
    <xf numFmtId="49" fontId="21" fillId="0" borderId="25" xfId="0" applyNumberFormat="1" applyFont="1" applyBorder="1" applyAlignment="1">
      <alignment horizontal="right" vertical="center"/>
    </xf>
    <xf numFmtId="0" fontId="11" fillId="0" borderId="24" xfId="0" applyFont="1" applyBorder="1" applyAlignment="1">
      <alignment horizontal="justify" vertical="top"/>
    </xf>
    <xf numFmtId="0" fontId="11" fillId="0" borderId="25" xfId="0" applyFont="1" applyBorder="1" applyAlignment="1">
      <alignment vertical="center"/>
    </xf>
    <xf numFmtId="0" fontId="11" fillId="0" borderId="27" xfId="0" applyFont="1" applyBorder="1" applyAlignment="1">
      <alignment horizontal="justify" vertical="center" wrapText="1"/>
    </xf>
    <xf numFmtId="0" fontId="11" fillId="0" borderId="29" xfId="0" applyFont="1" applyBorder="1" applyAlignment="1">
      <alignment horizontal="justify" vertical="center" wrapText="1"/>
    </xf>
    <xf numFmtId="0" fontId="11" fillId="0" borderId="7" xfId="0" applyFont="1" applyBorder="1" applyAlignment="1">
      <alignment horizontal="justify" vertical="top"/>
    </xf>
    <xf numFmtId="166" fontId="11" fillId="3" borderId="31" xfId="0" applyNumberFormat="1" applyFont="1" applyFill="1" applyBorder="1" applyAlignment="1">
      <alignment vertical="center"/>
    </xf>
    <xf numFmtId="0" fontId="11" fillId="0" borderId="31" xfId="0" applyFont="1" applyBorder="1" applyAlignment="1">
      <alignment horizontal="justify" vertical="top"/>
    </xf>
    <xf numFmtId="0" fontId="11" fillId="0" borderId="31" xfId="0" applyFont="1" applyBorder="1" applyAlignment="1">
      <alignment vertical="top"/>
    </xf>
    <xf numFmtId="0" fontId="11" fillId="0" borderId="31" xfId="0" applyFont="1" applyBorder="1" applyAlignment="1">
      <alignment horizontal="center" vertical="center"/>
    </xf>
    <xf numFmtId="166" fontId="11" fillId="3" borderId="31" xfId="0" applyNumberFormat="1" applyFont="1" applyFill="1" applyBorder="1" applyAlignment="1">
      <alignment vertical="top"/>
    </xf>
    <xf numFmtId="0" fontId="11" fillId="0" borderId="31" xfId="0" applyFont="1" applyBorder="1" applyAlignment="1">
      <alignment horizontal="justify" vertical="center"/>
    </xf>
    <xf numFmtId="0" fontId="11" fillId="0" borderId="31" xfId="0" applyFont="1" applyBorder="1" applyAlignment="1">
      <alignment vertical="center"/>
    </xf>
    <xf numFmtId="0" fontId="11" fillId="0" borderId="31" xfId="0" applyFont="1" applyBorder="1" applyAlignment="1">
      <alignment horizontal="right" vertical="center"/>
    </xf>
    <xf numFmtId="0" fontId="11" fillId="0" borderId="31" xfId="0" applyFont="1" applyBorder="1" applyAlignment="1">
      <alignment horizontal="justify" vertical="top" wrapText="1"/>
    </xf>
    <xf numFmtId="166" fontId="11" fillId="3" borderId="39" xfId="0" applyNumberFormat="1" applyFont="1" applyFill="1" applyBorder="1" applyAlignment="1">
      <alignment vertical="center"/>
    </xf>
    <xf numFmtId="0" fontId="11" fillId="0" borderId="39" xfId="0" applyFont="1" applyBorder="1" applyAlignment="1">
      <alignment horizontal="justify" vertical="center"/>
    </xf>
    <xf numFmtId="49" fontId="21" fillId="0" borderId="37" xfId="0" applyNumberFormat="1" applyFont="1" applyBorder="1" applyAlignment="1">
      <alignment horizontal="right" vertical="center"/>
    </xf>
    <xf numFmtId="166" fontId="11" fillId="0" borderId="39" xfId="0" applyNumberFormat="1" applyFont="1" applyBorder="1" applyAlignment="1">
      <alignment horizontal="justify" vertical="center"/>
    </xf>
    <xf numFmtId="0" fontId="11" fillId="0" borderId="39" xfId="0" applyFont="1" applyBorder="1" applyAlignment="1">
      <alignment horizontal="center" vertical="center"/>
    </xf>
    <xf numFmtId="49" fontId="21" fillId="0" borderId="37" xfId="0" applyNumberFormat="1" applyFont="1" applyBorder="1" applyAlignment="1">
      <alignment horizontal="left" vertical="center"/>
    </xf>
    <xf numFmtId="166" fontId="11" fillId="3" borderId="40" xfId="0" applyNumberFormat="1" applyFont="1" applyFill="1" applyBorder="1" applyAlignment="1">
      <alignment vertical="center"/>
    </xf>
    <xf numFmtId="0" fontId="11" fillId="0" borderId="40" xfId="0" applyFont="1" applyBorder="1" applyAlignment="1">
      <alignment horizontal="justify" vertical="center"/>
    </xf>
    <xf numFmtId="0" fontId="11" fillId="0" borderId="40" xfId="0" applyFont="1" applyBorder="1" applyAlignment="1">
      <alignment horizontal="center" vertical="center"/>
    </xf>
    <xf numFmtId="0" fontId="11" fillId="0" borderId="25" xfId="0" applyFont="1" applyBorder="1" applyAlignment="1">
      <alignment horizontal="justify" vertical="top"/>
    </xf>
    <xf numFmtId="166" fontId="11" fillId="3" borderId="39" xfId="0" applyNumberFormat="1" applyFont="1" applyFill="1" applyBorder="1" applyAlignment="1">
      <alignment horizontal="right" vertical="center"/>
    </xf>
    <xf numFmtId="0" fontId="11" fillId="0" borderId="39" xfId="0" applyFont="1" applyBorder="1" applyAlignment="1">
      <alignment horizontal="left" vertical="center" wrapText="1"/>
    </xf>
    <xf numFmtId="3" fontId="0" fillId="0" borderId="39" xfId="0" applyNumberFormat="1" applyBorder="1" applyAlignment="1">
      <alignment horizontal="right" vertical="center"/>
    </xf>
    <xf numFmtId="49" fontId="21" fillId="0" borderId="39" xfId="0" applyNumberFormat="1" applyFont="1" applyBorder="1" applyAlignment="1">
      <alignment horizontal="left" vertical="center"/>
    </xf>
    <xf numFmtId="0" fontId="11" fillId="0" borderId="37" xfId="0" applyFont="1" applyBorder="1" applyAlignment="1">
      <alignment horizontal="center" vertical="center"/>
    </xf>
    <xf numFmtId="0" fontId="12" fillId="0" borderId="31" xfId="0" applyFont="1" applyBorder="1" applyAlignment="1">
      <alignment vertical="top"/>
    </xf>
    <xf numFmtId="0" fontId="11" fillId="0" borderId="26" xfId="0" applyFont="1" applyBorder="1" applyAlignment="1">
      <alignment horizontal="center" vertical="center"/>
    </xf>
    <xf numFmtId="0" fontId="11" fillId="0" borderId="26" xfId="0" applyFont="1" applyBorder="1" applyAlignment="1">
      <alignment vertical="center"/>
    </xf>
    <xf numFmtId="166" fontId="11" fillId="3" borderId="26" xfId="0" applyNumberFormat="1" applyFont="1" applyFill="1" applyBorder="1" applyAlignment="1">
      <alignment vertical="center"/>
    </xf>
    <xf numFmtId="0" fontId="11" fillId="0" borderId="28" xfId="0" applyFont="1" applyBorder="1" applyAlignment="1">
      <alignment vertical="top" wrapText="1"/>
    </xf>
    <xf numFmtId="0" fontId="11" fillId="0" borderId="28" xfId="0" applyFont="1" applyBorder="1" applyAlignment="1">
      <alignment horizontal="center" vertical="center"/>
    </xf>
    <xf numFmtId="0" fontId="11" fillId="0" borderId="28" xfId="0" applyFont="1" applyBorder="1" applyAlignment="1">
      <alignment vertical="top"/>
    </xf>
    <xf numFmtId="166" fontId="11" fillId="3" borderId="28" xfId="0" applyNumberFormat="1" applyFont="1" applyFill="1" applyBorder="1" applyAlignment="1">
      <alignment vertical="top"/>
    </xf>
    <xf numFmtId="166" fontId="11" fillId="3" borderId="28" xfId="0" applyNumberFormat="1" applyFont="1" applyFill="1" applyBorder="1" applyAlignment="1">
      <alignment vertical="center"/>
    </xf>
    <xf numFmtId="0" fontId="11" fillId="0" borderId="27" xfId="0" applyFont="1" applyBorder="1" applyAlignment="1">
      <alignment horizontal="justify" vertical="top" wrapText="1"/>
    </xf>
    <xf numFmtId="0" fontId="11" fillId="0" borderId="48" xfId="0" applyFont="1" applyBorder="1" applyAlignment="1">
      <alignment horizontal="justify" vertical="center"/>
    </xf>
    <xf numFmtId="49" fontId="21" fillId="0" borderId="39" xfId="0" applyNumberFormat="1" applyFont="1" applyBorder="1" applyAlignment="1">
      <alignment horizontal="right" vertical="center"/>
    </xf>
    <xf numFmtId="0" fontId="11" fillId="0" borderId="39" xfId="0" applyFont="1" applyBorder="1" applyAlignment="1">
      <alignment horizontal="justify" vertical="top"/>
    </xf>
    <xf numFmtId="166" fontId="11" fillId="0" borderId="0" xfId="1" applyNumberFormat="1" applyFont="1" applyAlignment="1">
      <alignment vertical="top"/>
    </xf>
    <xf numFmtId="166" fontId="11" fillId="0" borderId="0" xfId="2" applyNumberFormat="1" applyFont="1" applyAlignment="1">
      <alignment vertical="top"/>
    </xf>
    <xf numFmtId="3" fontId="0" fillId="0" borderId="40" xfId="0" applyNumberFormat="1" applyBorder="1" applyAlignment="1">
      <alignment horizontal="right" vertical="center"/>
    </xf>
    <xf numFmtId="166" fontId="11" fillId="3" borderId="40" xfId="0" applyNumberFormat="1" applyFont="1" applyFill="1" applyBorder="1" applyAlignment="1">
      <alignment horizontal="right" vertical="center"/>
    </xf>
    <xf numFmtId="0" fontId="11" fillId="0" borderId="40" xfId="0" applyFont="1" applyBorder="1" applyAlignment="1">
      <alignment horizontal="left" vertical="center" wrapText="1"/>
    </xf>
    <xf numFmtId="0" fontId="11" fillId="0" borderId="46" xfId="0" applyFont="1" applyBorder="1" applyAlignment="1">
      <alignment horizontal="left" vertical="center" wrapText="1"/>
    </xf>
    <xf numFmtId="166" fontId="11" fillId="3" borderId="8" xfId="0" applyNumberFormat="1" applyFont="1" applyFill="1" applyBorder="1" applyAlignment="1">
      <alignment horizontal="right" vertical="center"/>
    </xf>
    <xf numFmtId="0" fontId="11" fillId="0" borderId="41" xfId="0" applyFont="1" applyBorder="1" applyAlignment="1">
      <alignment horizontal="left" vertical="center" wrapText="1"/>
    </xf>
    <xf numFmtId="0" fontId="11" fillId="0" borderId="0" xfId="0" applyFont="1" applyAlignment="1">
      <alignment horizontal="right" vertical="top"/>
    </xf>
    <xf numFmtId="166" fontId="11" fillId="3" borderId="27" xfId="0" applyNumberFormat="1" applyFont="1" applyFill="1" applyBorder="1" applyAlignment="1">
      <alignment horizontal="right" vertical="center"/>
    </xf>
    <xf numFmtId="166" fontId="11" fillId="3" borderId="1" xfId="0" applyNumberFormat="1" applyFont="1" applyFill="1" applyBorder="1" applyAlignment="1">
      <alignment horizontal="right" vertical="center"/>
    </xf>
    <xf numFmtId="166" fontId="11" fillId="3" borderId="29" xfId="0" applyNumberFormat="1" applyFont="1" applyFill="1" applyBorder="1" applyAlignment="1">
      <alignment horizontal="right" vertical="center"/>
    </xf>
    <xf numFmtId="0" fontId="11" fillId="0" borderId="16" xfId="0" applyFont="1" applyBorder="1" applyAlignment="1">
      <alignment horizontal="center" vertical="center"/>
    </xf>
    <xf numFmtId="0" fontId="22" fillId="0" borderId="48" xfId="0" applyFont="1" applyBorder="1" applyAlignment="1">
      <alignment horizontal="left" vertical="center" wrapText="1"/>
    </xf>
    <xf numFmtId="0" fontId="11" fillId="0" borderId="60" xfId="0" applyFont="1" applyBorder="1" applyAlignment="1">
      <alignment horizontal="center" vertical="center"/>
    </xf>
    <xf numFmtId="0" fontId="11" fillId="0" borderId="60" xfId="0" applyFont="1" applyBorder="1" applyAlignment="1">
      <alignment vertical="center"/>
    </xf>
    <xf numFmtId="0" fontId="11" fillId="0" borderId="63" xfId="0" applyFont="1" applyBorder="1" applyAlignment="1">
      <alignment horizontal="justify" vertical="top" wrapText="1"/>
    </xf>
    <xf numFmtId="0" fontId="11" fillId="0" borderId="63" xfId="0" applyFont="1" applyBorder="1" applyAlignment="1">
      <alignment horizontal="center" vertical="center"/>
    </xf>
    <xf numFmtId="0" fontId="11" fillId="0" borderId="63" xfId="0" applyFont="1" applyBorder="1" applyAlignment="1">
      <alignment vertical="center"/>
    </xf>
    <xf numFmtId="0" fontId="22" fillId="0" borderId="54" xfId="0" applyFont="1" applyBorder="1" applyAlignment="1">
      <alignment horizontal="left" vertical="center" wrapText="1"/>
    </xf>
    <xf numFmtId="49" fontId="21" fillId="0" borderId="40" xfId="0" applyNumberFormat="1" applyFont="1" applyBorder="1" applyAlignment="1">
      <alignment horizontal="left" vertical="center"/>
    </xf>
    <xf numFmtId="0" fontId="11" fillId="0" borderId="60" xfId="0" applyFont="1" applyBorder="1" applyAlignment="1">
      <alignment horizontal="justify" vertical="top"/>
    </xf>
    <xf numFmtId="166" fontId="11" fillId="3" borderId="67" xfId="0" applyNumberFormat="1" applyFont="1" applyFill="1" applyBorder="1" applyAlignment="1">
      <alignment vertical="center"/>
    </xf>
    <xf numFmtId="0" fontId="11" fillId="0" borderId="61" xfId="0" applyFont="1" applyBorder="1" applyAlignment="1">
      <alignment vertical="top"/>
    </xf>
    <xf numFmtId="0" fontId="11" fillId="0" borderId="64" xfId="0" applyFont="1" applyBorder="1" applyAlignment="1">
      <alignment vertical="top"/>
    </xf>
    <xf numFmtId="166" fontId="11" fillId="3" borderId="60" xfId="0" applyNumberFormat="1" applyFont="1" applyFill="1" applyBorder="1" applyAlignment="1">
      <alignment vertical="center"/>
    </xf>
    <xf numFmtId="0" fontId="11" fillId="0" borderId="63" xfId="0" applyFont="1" applyBorder="1" applyAlignment="1">
      <alignment horizontal="justify" vertical="center"/>
    </xf>
    <xf numFmtId="0" fontId="11" fillId="0" borderId="63" xfId="0" applyFont="1" applyBorder="1" applyAlignment="1">
      <alignment horizontal="right" vertical="center"/>
    </xf>
    <xf numFmtId="166" fontId="11" fillId="3" borderId="63" xfId="0" applyNumberFormat="1" applyFont="1" applyFill="1" applyBorder="1" applyAlignment="1">
      <alignment vertical="center"/>
    </xf>
    <xf numFmtId="166" fontId="11" fillId="3" borderId="72" xfId="0" applyNumberFormat="1" applyFont="1" applyFill="1" applyBorder="1" applyAlignment="1">
      <alignment vertical="center"/>
    </xf>
    <xf numFmtId="0" fontId="11" fillId="0" borderId="72" xfId="0" applyFont="1" applyBorder="1" applyAlignment="1">
      <alignment horizontal="justify" vertical="top"/>
    </xf>
    <xf numFmtId="0" fontId="11" fillId="0" borderId="72" xfId="0" applyFont="1" applyBorder="1" applyAlignment="1">
      <alignment horizontal="center" vertical="center"/>
    </xf>
    <xf numFmtId="0" fontId="11" fillId="0" borderId="73" xfId="0" applyFont="1" applyBorder="1" applyAlignment="1">
      <alignment vertical="top"/>
    </xf>
    <xf numFmtId="0" fontId="11" fillId="0" borderId="26" xfId="0" applyFont="1" applyBorder="1" applyAlignment="1">
      <alignment horizontal="justify" vertical="center"/>
    </xf>
    <xf numFmtId="0" fontId="11" fillId="0" borderId="74" xfId="0" applyFont="1" applyBorder="1" applyAlignment="1">
      <alignment vertical="center" wrapText="1"/>
    </xf>
    <xf numFmtId="0" fontId="11" fillId="0" borderId="74" xfId="0" applyFont="1" applyBorder="1" applyAlignment="1">
      <alignment vertical="top" wrapText="1"/>
    </xf>
    <xf numFmtId="0" fontId="11" fillId="0" borderId="45" xfId="0" applyFont="1" applyBorder="1" applyAlignment="1">
      <alignment vertical="center" wrapText="1"/>
    </xf>
    <xf numFmtId="0" fontId="11" fillId="0" borderId="78" xfId="0" applyFont="1" applyBorder="1" applyAlignment="1">
      <alignment vertical="top"/>
    </xf>
    <xf numFmtId="0" fontId="11" fillId="0" borderId="79" xfId="0" applyFont="1" applyBorder="1" applyAlignment="1">
      <alignment vertical="top"/>
    </xf>
    <xf numFmtId="0" fontId="11" fillId="0" borderId="8" xfId="0" applyFont="1" applyBorder="1" applyAlignment="1">
      <alignment horizontal="justify" vertical="center"/>
    </xf>
    <xf numFmtId="0" fontId="11" fillId="0" borderId="8" xfId="0" applyFont="1" applyBorder="1" applyAlignment="1">
      <alignment vertical="center"/>
    </xf>
    <xf numFmtId="0" fontId="11" fillId="0" borderId="83" xfId="0" applyFont="1" applyBorder="1" applyAlignment="1">
      <alignment vertical="top"/>
    </xf>
    <xf numFmtId="0" fontId="11" fillId="0" borderId="86" xfId="0" applyFont="1" applyBorder="1" applyAlignment="1">
      <alignment vertical="top"/>
    </xf>
    <xf numFmtId="166" fontId="11" fillId="3" borderId="62" xfId="0" applyNumberFormat="1" applyFont="1" applyFill="1" applyBorder="1" applyAlignment="1">
      <alignment vertical="center"/>
    </xf>
    <xf numFmtId="0" fontId="11" fillId="0" borderId="62" xfId="0" applyFont="1" applyBorder="1" applyAlignment="1">
      <alignment horizontal="justify" vertical="top"/>
    </xf>
    <xf numFmtId="0" fontId="11" fillId="0" borderId="62" xfId="0" applyFont="1" applyBorder="1" applyAlignment="1">
      <alignment vertical="top"/>
    </xf>
    <xf numFmtId="0" fontId="11" fillId="0" borderId="62" xfId="0" applyFont="1" applyBorder="1" applyAlignment="1">
      <alignment horizontal="center" vertical="center"/>
    </xf>
    <xf numFmtId="0" fontId="11" fillId="0" borderId="87" xfId="0" applyFont="1" applyBorder="1" applyAlignment="1">
      <alignment vertical="top"/>
    </xf>
    <xf numFmtId="0" fontId="13" fillId="0" borderId="88" xfId="0" applyFont="1" applyBorder="1" applyAlignment="1">
      <alignment vertical="center" wrapText="1"/>
    </xf>
    <xf numFmtId="166" fontId="11" fillId="3" borderId="5" xfId="0" applyNumberFormat="1" applyFont="1" applyFill="1" applyBorder="1" applyAlignment="1">
      <alignment vertical="center"/>
    </xf>
    <xf numFmtId="0" fontId="11" fillId="0" borderId="74" xfId="0" applyFont="1" applyBorder="1" applyAlignment="1">
      <alignment horizontal="left" vertical="center" wrapText="1"/>
    </xf>
    <xf numFmtId="0" fontId="11" fillId="0" borderId="74" xfId="0" applyFont="1" applyBorder="1" applyAlignment="1">
      <alignment horizontal="left" vertical="top" wrapText="1"/>
    </xf>
    <xf numFmtId="0" fontId="11" fillId="0" borderId="34" xfId="0" applyFont="1" applyBorder="1" applyAlignment="1">
      <alignment horizontal="left" vertical="center" wrapText="1"/>
    </xf>
    <xf numFmtId="0" fontId="11" fillId="0" borderId="10" xfId="0" applyFont="1" applyBorder="1" applyAlignment="1">
      <alignment horizontal="left" vertical="top" wrapText="1"/>
    </xf>
    <xf numFmtId="0" fontId="11" fillId="0" borderId="35" xfId="0" applyFont="1" applyBorder="1" applyAlignment="1">
      <alignment vertical="center" wrapText="1"/>
    </xf>
    <xf numFmtId="0" fontId="11" fillId="0" borderId="72" xfId="0" applyFont="1" applyBorder="1" applyAlignment="1">
      <alignment vertical="center"/>
    </xf>
    <xf numFmtId="0" fontId="11" fillId="0" borderId="72" xfId="0" applyFont="1" applyBorder="1" applyAlignment="1">
      <alignment horizontal="justify" vertical="center"/>
    </xf>
    <xf numFmtId="0" fontId="11" fillId="0" borderId="26" xfId="0" applyFont="1" applyBorder="1" applyAlignment="1">
      <alignment horizontal="justify" vertical="top"/>
    </xf>
    <xf numFmtId="0" fontId="11" fillId="0" borderId="26" xfId="0" applyFont="1" applyBorder="1" applyAlignment="1">
      <alignment vertical="top"/>
    </xf>
    <xf numFmtId="0" fontId="11" fillId="0" borderId="9" xfId="0" applyFont="1" applyBorder="1" applyAlignment="1">
      <alignment vertical="center"/>
    </xf>
    <xf numFmtId="0" fontId="11" fillId="0" borderId="90" xfId="0" applyFont="1" applyBorder="1" applyAlignment="1">
      <alignment vertical="center"/>
    </xf>
    <xf numFmtId="0" fontId="11" fillId="0" borderId="34" xfId="0" applyFont="1" applyBorder="1" applyAlignment="1">
      <alignment horizontal="center" vertical="center"/>
    </xf>
    <xf numFmtId="0" fontId="11" fillId="0" borderId="10" xfId="0" applyFont="1" applyBorder="1" applyAlignment="1">
      <alignment horizontal="center" vertical="center"/>
    </xf>
    <xf numFmtId="0" fontId="11" fillId="0" borderId="35" xfId="0" applyFont="1" applyBorder="1" applyAlignment="1">
      <alignment horizontal="center" vertical="center"/>
    </xf>
    <xf numFmtId="0" fontId="11" fillId="0" borderId="89" xfId="0" applyFont="1" applyBorder="1" applyAlignment="1">
      <alignment vertical="center"/>
    </xf>
    <xf numFmtId="0" fontId="11" fillId="0" borderId="5" xfId="0" applyFont="1" applyBorder="1" applyAlignment="1">
      <alignment vertical="center" wrapText="1"/>
    </xf>
    <xf numFmtId="0" fontId="11" fillId="0" borderId="5" xfId="0" applyFont="1" applyBorder="1" applyAlignment="1">
      <alignment horizontal="center" vertical="center"/>
    </xf>
    <xf numFmtId="0" fontId="11" fillId="0" borderId="5" xfId="0" applyFont="1" applyBorder="1" applyAlignment="1">
      <alignment vertical="center"/>
    </xf>
    <xf numFmtId="166" fontId="11" fillId="3" borderId="23" xfId="0" applyNumberFormat="1" applyFont="1" applyFill="1" applyBorder="1" applyAlignment="1">
      <alignment vertical="center"/>
    </xf>
    <xf numFmtId="0" fontId="11" fillId="0" borderId="36" xfId="0" applyFont="1" applyBorder="1" applyAlignment="1">
      <alignment vertical="center" wrapText="1"/>
    </xf>
    <xf numFmtId="0" fontId="11" fillId="0" borderId="17" xfId="0" applyFont="1" applyBorder="1" applyAlignment="1">
      <alignment vertical="top" wrapText="1"/>
    </xf>
    <xf numFmtId="0" fontId="11" fillId="0" borderId="45" xfId="0" applyFont="1" applyBorder="1" applyAlignment="1">
      <alignment horizontal="center" vertical="center"/>
    </xf>
    <xf numFmtId="0" fontId="11" fillId="0" borderId="18" xfId="0" applyFont="1" applyBorder="1" applyAlignment="1">
      <alignment horizontal="center" vertical="center"/>
    </xf>
    <xf numFmtId="0" fontId="11" fillId="0" borderId="92" xfId="0" applyFont="1" applyBorder="1" applyAlignment="1">
      <alignment horizontal="center" vertical="center"/>
    </xf>
    <xf numFmtId="0" fontId="11" fillId="0" borderId="92" xfId="0" applyFont="1" applyBorder="1" applyAlignment="1">
      <alignment vertical="center"/>
    </xf>
    <xf numFmtId="0" fontId="11" fillId="0" borderId="93" xfId="0" applyFont="1" applyBorder="1" applyAlignment="1">
      <alignment horizontal="center" vertical="center"/>
    </xf>
    <xf numFmtId="0" fontId="11" fillId="0" borderId="93" xfId="0" applyFont="1" applyBorder="1" applyAlignment="1">
      <alignment vertical="top"/>
    </xf>
    <xf numFmtId="0" fontId="11" fillId="0" borderId="48" xfId="0" applyFont="1" applyBorder="1" applyAlignment="1">
      <alignment horizontal="left" vertical="center"/>
    </xf>
    <xf numFmtId="0" fontId="11" fillId="0" borderId="38" xfId="0" applyFont="1" applyBorder="1" applyAlignment="1">
      <alignment vertical="center"/>
    </xf>
    <xf numFmtId="0" fontId="11" fillId="0" borderId="95" xfId="0" applyFont="1" applyBorder="1" applyAlignment="1">
      <alignment horizontal="center" vertical="center"/>
    </xf>
    <xf numFmtId="0" fontId="11" fillId="0" borderId="91" xfId="0" applyFont="1" applyBorder="1" applyAlignment="1">
      <alignment vertical="center"/>
    </xf>
    <xf numFmtId="0" fontId="11" fillId="0" borderId="96" xfId="0" applyFont="1" applyBorder="1" applyAlignment="1">
      <alignment vertical="center"/>
    </xf>
    <xf numFmtId="0" fontId="11" fillId="0" borderId="9" xfId="0" applyFont="1" applyBorder="1" applyAlignment="1">
      <alignment horizontal="justify" vertical="top"/>
    </xf>
    <xf numFmtId="0" fontId="11" fillId="0" borderId="9" xfId="0" applyFont="1" applyBorder="1" applyAlignment="1">
      <alignment horizontal="justify" vertical="top" wrapText="1"/>
    </xf>
    <xf numFmtId="0" fontId="11" fillId="0" borderId="17" xfId="0" applyFont="1" applyBorder="1" applyAlignment="1">
      <alignment horizontal="justify" vertical="top"/>
    </xf>
    <xf numFmtId="166" fontId="11" fillId="3" borderId="10" xfId="0" applyNumberFormat="1" applyFont="1" applyFill="1" applyBorder="1" applyAlignment="1">
      <alignment horizontal="right" vertical="center"/>
    </xf>
    <xf numFmtId="166" fontId="11" fillId="3" borderId="18" xfId="0" applyNumberFormat="1" applyFont="1" applyFill="1" applyBorder="1" applyAlignment="1">
      <alignment horizontal="right" vertical="center"/>
    </xf>
    <xf numFmtId="0" fontId="11" fillId="0" borderId="97" xfId="0" applyFont="1" applyBorder="1" applyAlignment="1">
      <alignment vertical="top"/>
    </xf>
    <xf numFmtId="0" fontId="11" fillId="0" borderId="98" xfId="0" applyFont="1" applyBorder="1" applyAlignment="1">
      <alignment vertical="top"/>
    </xf>
    <xf numFmtId="0" fontId="11" fillId="0" borderId="99" xfId="0" applyFont="1" applyBorder="1" applyAlignment="1">
      <alignment horizontal="justify" vertical="top"/>
    </xf>
    <xf numFmtId="0" fontId="11" fillId="0" borderId="91" xfId="0" applyFont="1" applyBorder="1" applyAlignment="1">
      <alignment horizontal="center" vertical="center"/>
    </xf>
    <xf numFmtId="166" fontId="11" fillId="3" borderId="70" xfId="0" applyNumberFormat="1" applyFont="1" applyFill="1" applyBorder="1" applyAlignment="1">
      <alignment horizontal="right" vertical="center"/>
    </xf>
    <xf numFmtId="166" fontId="11" fillId="3" borderId="63" xfId="0" applyNumberFormat="1" applyFont="1" applyFill="1" applyBorder="1" applyAlignment="1">
      <alignment horizontal="right" vertical="center"/>
    </xf>
    <xf numFmtId="0" fontId="11" fillId="0" borderId="14" xfId="0" applyFont="1" applyBorder="1" applyAlignment="1">
      <alignment horizontal="justify" vertical="top"/>
    </xf>
    <xf numFmtId="166" fontId="11" fillId="3" borderId="15" xfId="0" applyNumberFormat="1" applyFont="1" applyFill="1" applyBorder="1" applyAlignment="1">
      <alignment horizontal="right" vertical="center"/>
    </xf>
    <xf numFmtId="0" fontId="11" fillId="0" borderId="91" xfId="0" applyFont="1" applyBorder="1" applyAlignment="1">
      <alignment horizontal="justify" vertical="center"/>
    </xf>
    <xf numFmtId="49" fontId="21" fillId="0" borderId="91" xfId="0" applyNumberFormat="1" applyFont="1" applyBorder="1" applyAlignment="1">
      <alignment horizontal="left" vertical="center"/>
    </xf>
    <xf numFmtId="166" fontId="11" fillId="3" borderId="91" xfId="0" applyNumberFormat="1" applyFont="1" applyFill="1" applyBorder="1" applyAlignment="1">
      <alignment vertical="center"/>
    </xf>
    <xf numFmtId="0" fontId="11" fillId="0" borderId="100" xfId="0" applyFont="1" applyBorder="1" applyAlignment="1">
      <alignment vertical="center"/>
    </xf>
    <xf numFmtId="0" fontId="11" fillId="0" borderId="92" xfId="0" applyFont="1" applyBorder="1" applyAlignment="1">
      <alignment horizontal="justify" vertical="center"/>
    </xf>
    <xf numFmtId="166" fontId="11" fillId="3" borderId="92" xfId="0" applyNumberFormat="1" applyFont="1" applyFill="1" applyBorder="1" applyAlignment="1">
      <alignment vertical="center"/>
    </xf>
    <xf numFmtId="0" fontId="11" fillId="0" borderId="101" xfId="0" applyFont="1" applyBorder="1" applyAlignment="1">
      <alignment vertical="center"/>
    </xf>
    <xf numFmtId="0" fontId="11" fillId="0" borderId="102" xfId="0" applyFont="1" applyBorder="1" applyAlignment="1">
      <alignment vertical="top"/>
    </xf>
    <xf numFmtId="0" fontId="11" fillId="0" borderId="100" xfId="0" applyFont="1" applyBorder="1" applyAlignment="1">
      <alignment vertical="top"/>
    </xf>
    <xf numFmtId="0" fontId="11" fillId="0" borderId="103" xfId="0" applyFont="1" applyBorder="1" applyAlignment="1">
      <alignment horizontal="left" vertical="center" wrapText="1"/>
    </xf>
    <xf numFmtId="0" fontId="11" fillId="0" borderId="103" xfId="0" applyFont="1" applyBorder="1" applyAlignment="1">
      <alignment horizontal="left" vertical="top" wrapText="1"/>
    </xf>
    <xf numFmtId="0" fontId="11" fillId="0" borderId="56" xfId="0" applyFont="1" applyBorder="1" applyAlignment="1">
      <alignment horizontal="left" vertical="top" wrapText="1"/>
    </xf>
    <xf numFmtId="0" fontId="12" fillId="2" borderId="71" xfId="0" applyFont="1" applyFill="1" applyBorder="1" applyAlignment="1">
      <alignment horizontal="justify" vertical="center"/>
    </xf>
    <xf numFmtId="166" fontId="12" fillId="2" borderId="72" xfId="0" applyNumberFormat="1" applyFont="1" applyFill="1" applyBorder="1" applyAlignment="1">
      <alignment vertical="center"/>
    </xf>
    <xf numFmtId="0" fontId="12" fillId="2" borderId="72" xfId="0" applyFont="1" applyFill="1" applyBorder="1" applyAlignment="1">
      <alignment horizontal="left" vertical="center" wrapText="1"/>
    </xf>
    <xf numFmtId="0" fontId="12" fillId="2" borderId="72" xfId="0" applyFont="1" applyFill="1" applyBorder="1" applyAlignment="1">
      <alignment horizontal="justify" vertical="center"/>
    </xf>
    <xf numFmtId="0" fontId="12" fillId="2" borderId="72" xfId="0" applyFont="1" applyFill="1" applyBorder="1" applyAlignment="1">
      <alignment vertical="center"/>
    </xf>
    <xf numFmtId="0" fontId="12" fillId="2" borderId="72" xfId="0" applyFont="1" applyFill="1" applyBorder="1" applyAlignment="1">
      <alignment horizontal="center" vertical="center"/>
    </xf>
    <xf numFmtId="0" fontId="12" fillId="2" borderId="73" xfId="0" applyFont="1" applyFill="1" applyBorder="1" applyAlignment="1">
      <alignment vertical="center"/>
    </xf>
    <xf numFmtId="0" fontId="11" fillId="0" borderId="96" xfId="0" applyFont="1" applyBorder="1" applyAlignment="1">
      <alignment horizontal="justify" vertical="center"/>
    </xf>
    <xf numFmtId="0" fontId="11" fillId="0" borderId="96" xfId="0" applyFont="1" applyBorder="1" applyAlignment="1">
      <alignment horizontal="right" vertical="center"/>
    </xf>
    <xf numFmtId="0" fontId="11" fillId="0" borderId="96" xfId="0" applyFont="1" applyBorder="1" applyAlignment="1">
      <alignment horizontal="center" vertical="center"/>
    </xf>
    <xf numFmtId="49" fontId="21" fillId="0" borderId="96" xfId="0" applyNumberFormat="1" applyFont="1" applyBorder="1" applyAlignment="1">
      <alignment horizontal="right" vertical="center"/>
    </xf>
    <xf numFmtId="166" fontId="11" fillId="3" borderId="96" xfId="0" applyNumberFormat="1" applyFont="1" applyFill="1" applyBorder="1" applyAlignment="1">
      <alignment vertical="center"/>
    </xf>
    <xf numFmtId="0" fontId="11" fillId="0" borderId="23" xfId="0" applyFont="1" applyBorder="1" applyAlignment="1">
      <alignment horizontal="justify" vertical="top"/>
    </xf>
    <xf numFmtId="0" fontId="11" fillId="0" borderId="74" xfId="0" applyFont="1" applyBorder="1" applyAlignment="1">
      <alignment horizontal="justify" vertical="top"/>
    </xf>
    <xf numFmtId="0" fontId="11" fillId="0" borderId="74" xfId="0" applyFont="1" applyBorder="1" applyAlignment="1">
      <alignment horizontal="justify" vertical="center"/>
    </xf>
    <xf numFmtId="166" fontId="12" fillId="2" borderId="59" xfId="0" applyNumberFormat="1" applyFont="1" applyFill="1" applyBorder="1" applyAlignment="1">
      <alignment vertical="center"/>
    </xf>
    <xf numFmtId="0" fontId="11" fillId="0" borderId="45" xfId="0" applyFont="1" applyBorder="1" applyAlignment="1">
      <alignment horizontal="justify" vertical="center" wrapText="1"/>
    </xf>
    <xf numFmtId="0" fontId="11" fillId="0" borderId="28" xfId="0" applyFont="1" applyBorder="1" applyAlignment="1">
      <alignment horizontal="justify" vertical="center"/>
    </xf>
    <xf numFmtId="0" fontId="11" fillId="0" borderId="28" xfId="0" applyFont="1" applyBorder="1" applyAlignment="1">
      <alignment vertical="center"/>
    </xf>
    <xf numFmtId="0" fontId="12" fillId="2" borderId="71" xfId="0" applyFont="1" applyFill="1" applyBorder="1" applyAlignment="1">
      <alignment horizontal="justify" vertical="top"/>
    </xf>
    <xf numFmtId="166" fontId="12" fillId="2" borderId="72" xfId="0" applyNumberFormat="1" applyFont="1" applyFill="1" applyBorder="1" applyAlignment="1">
      <alignment vertical="top"/>
    </xf>
    <xf numFmtId="0" fontId="12" fillId="2" borderId="72" xfId="0" applyFont="1" applyFill="1" applyBorder="1" applyAlignment="1">
      <alignment horizontal="justify" vertical="top"/>
    </xf>
    <xf numFmtId="0" fontId="12" fillId="2" borderId="72" xfId="0" applyFont="1" applyFill="1" applyBorder="1" applyAlignment="1">
      <alignment vertical="top"/>
    </xf>
    <xf numFmtId="0" fontId="12" fillId="2" borderId="73" xfId="0" applyFont="1" applyFill="1" applyBorder="1" applyAlignment="1">
      <alignment vertical="top"/>
    </xf>
    <xf numFmtId="0" fontId="11" fillId="0" borderId="18" xfId="0" applyFont="1" applyBorder="1" applyAlignment="1">
      <alignment horizontal="left" vertical="top" wrapText="1"/>
    </xf>
    <xf numFmtId="0" fontId="11" fillId="0" borderId="18" xfId="0" applyFont="1" applyBorder="1" applyAlignment="1">
      <alignment horizontal="justify" vertical="top" wrapText="1"/>
    </xf>
    <xf numFmtId="166" fontId="12" fillId="2" borderId="60" xfId="0" applyNumberFormat="1" applyFont="1" applyFill="1" applyBorder="1" applyAlignment="1">
      <alignment vertical="center"/>
    </xf>
    <xf numFmtId="0" fontId="12" fillId="2" borderId="60" xfId="0" applyFont="1" applyFill="1" applyBorder="1" applyAlignment="1">
      <alignment horizontal="center" vertical="center"/>
    </xf>
    <xf numFmtId="0" fontId="11" fillId="0" borderId="54" xfId="0" applyFont="1" applyBorder="1" applyAlignment="1">
      <alignment horizontal="left" vertical="center"/>
    </xf>
    <xf numFmtId="0" fontId="12" fillId="2" borderId="71" xfId="0" applyFont="1" applyFill="1" applyBorder="1" applyAlignment="1">
      <alignment vertical="center"/>
    </xf>
    <xf numFmtId="0" fontId="11" fillId="0" borderId="98" xfId="0" applyFont="1" applyBorder="1" applyAlignment="1">
      <alignment vertical="center"/>
    </xf>
    <xf numFmtId="0" fontId="12" fillId="2" borderId="59" xfId="0" applyFont="1" applyFill="1" applyBorder="1" applyAlignment="1">
      <alignment horizontal="center" vertical="center"/>
    </xf>
    <xf numFmtId="0" fontId="12" fillId="2" borderId="66" xfId="0" applyFont="1" applyFill="1" applyBorder="1" applyAlignment="1">
      <alignment horizontal="justify" vertical="center"/>
    </xf>
    <xf numFmtId="0" fontId="12" fillId="2" borderId="59" xfId="0" applyFont="1" applyFill="1" applyBorder="1" applyAlignment="1">
      <alignment horizontal="left" vertical="center" wrapText="1"/>
    </xf>
    <xf numFmtId="0" fontId="12" fillId="2" borderId="59" xfId="0" applyFont="1" applyFill="1" applyBorder="1" applyAlignment="1">
      <alignment horizontal="justify" vertical="center"/>
    </xf>
    <xf numFmtId="0" fontId="12" fillId="2" borderId="59" xfId="0" applyFont="1" applyFill="1" applyBorder="1" applyAlignment="1">
      <alignment vertical="center"/>
    </xf>
    <xf numFmtId="0" fontId="12" fillId="2" borderId="107" xfId="0" applyFont="1" applyFill="1" applyBorder="1" applyAlignment="1">
      <alignment vertical="center"/>
    </xf>
    <xf numFmtId="0" fontId="11" fillId="0" borderId="17" xfId="0" applyFont="1" applyBorder="1" applyAlignment="1">
      <alignment vertical="center"/>
    </xf>
    <xf numFmtId="0" fontId="11" fillId="0" borderId="62" xfId="0" applyFont="1" applyBorder="1" applyAlignment="1">
      <alignment vertical="center"/>
    </xf>
    <xf numFmtId="0" fontId="11" fillId="0" borderId="62" xfId="0" applyFont="1" applyBorder="1" applyAlignment="1">
      <alignment horizontal="justify" vertical="center"/>
    </xf>
    <xf numFmtId="0" fontId="11" fillId="0" borderId="76" xfId="0" applyFont="1" applyBorder="1" applyAlignment="1">
      <alignment vertical="center" wrapText="1"/>
    </xf>
    <xf numFmtId="166" fontId="11" fillId="3" borderId="59" xfId="0" applyNumberFormat="1" applyFont="1" applyFill="1" applyBorder="1" applyAlignment="1">
      <alignment vertical="center"/>
    </xf>
    <xf numFmtId="0" fontId="11" fillId="0" borderId="59" xfId="0" applyFont="1" applyBorder="1" applyAlignment="1">
      <alignment horizontal="justify" vertical="top"/>
    </xf>
    <xf numFmtId="0" fontId="11" fillId="0" borderId="59" xfId="0" applyFont="1" applyBorder="1" applyAlignment="1">
      <alignment vertical="center"/>
    </xf>
    <xf numFmtId="0" fontId="11" fillId="0" borderId="59" xfId="0" applyFont="1" applyBorder="1" applyAlignment="1">
      <alignment horizontal="justify" vertical="center"/>
    </xf>
    <xf numFmtId="0" fontId="11" fillId="0" borderId="59" xfId="0" applyFont="1" applyBorder="1" applyAlignment="1">
      <alignment horizontal="center" vertical="center"/>
    </xf>
    <xf numFmtId="0" fontId="11" fillId="0" borderId="107" xfId="0" applyFont="1" applyBorder="1" applyAlignment="1">
      <alignment vertical="top"/>
    </xf>
    <xf numFmtId="0" fontId="11" fillId="0" borderId="76" xfId="0" applyFont="1" applyBorder="1" applyAlignment="1">
      <alignment vertical="top" wrapText="1"/>
    </xf>
    <xf numFmtId="166" fontId="11" fillId="3" borderId="59" xfId="0" applyNumberFormat="1" applyFont="1" applyFill="1" applyBorder="1" applyAlignment="1">
      <alignment vertical="top"/>
    </xf>
    <xf numFmtId="0" fontId="11" fillId="0" borderId="15" xfId="0" applyFont="1" applyBorder="1" applyAlignment="1">
      <alignment horizontal="justify" vertical="center"/>
    </xf>
    <xf numFmtId="0" fontId="12" fillId="2" borderId="6" xfId="0" applyFont="1" applyFill="1" applyBorder="1" applyAlignment="1">
      <alignment horizontal="justify" vertical="center"/>
    </xf>
    <xf numFmtId="0" fontId="11" fillId="0" borderId="16" xfId="0" applyFont="1" applyBorder="1" applyAlignment="1">
      <alignment vertical="center"/>
    </xf>
    <xf numFmtId="0" fontId="12" fillId="2" borderId="60" xfId="0" applyFont="1" applyFill="1" applyBorder="1" applyAlignment="1">
      <alignment horizontal="justify" vertical="center"/>
    </xf>
    <xf numFmtId="0" fontId="12" fillId="2" borderId="60" xfId="0" applyFont="1" applyFill="1" applyBorder="1" applyAlignment="1">
      <alignment vertical="center"/>
    </xf>
    <xf numFmtId="0" fontId="12" fillId="2" borderId="61" xfId="0" applyFont="1" applyFill="1" applyBorder="1" applyAlignment="1">
      <alignment vertical="center"/>
    </xf>
    <xf numFmtId="0" fontId="12" fillId="2" borderId="97" xfId="0" applyFont="1" applyFill="1" applyBorder="1" applyAlignment="1">
      <alignment vertical="center"/>
    </xf>
    <xf numFmtId="0" fontId="12" fillId="2" borderId="98" xfId="0" applyFont="1" applyFill="1" applyBorder="1" applyAlignment="1">
      <alignment vertical="center"/>
    </xf>
    <xf numFmtId="0" fontId="11" fillId="0" borderId="112" xfId="0" applyFont="1" applyBorder="1" applyAlignment="1">
      <alignment vertical="center"/>
    </xf>
    <xf numFmtId="166" fontId="12" fillId="2" borderId="91" xfId="0" applyNumberFormat="1" applyFont="1" applyFill="1" applyBorder="1" applyAlignment="1">
      <alignment vertical="center"/>
    </xf>
    <xf numFmtId="166" fontId="12" fillId="2" borderId="91" xfId="0" applyNumberFormat="1" applyFont="1" applyFill="1" applyBorder="1" applyAlignment="1">
      <alignment horizontal="center" vertical="center"/>
    </xf>
    <xf numFmtId="166" fontId="12" fillId="2" borderId="100" xfId="0" applyNumberFormat="1" applyFont="1" applyFill="1" applyBorder="1" applyAlignment="1">
      <alignment vertical="center"/>
    </xf>
    <xf numFmtId="0" fontId="12" fillId="2" borderId="6" xfId="0" applyFont="1" applyFill="1" applyBorder="1" applyAlignment="1">
      <alignment vertical="center" wrapText="1"/>
    </xf>
    <xf numFmtId="0" fontId="11" fillId="0" borderId="117" xfId="0" applyFont="1" applyBorder="1" applyAlignment="1">
      <alignment horizontal="left" vertical="center" wrapText="1"/>
    </xf>
    <xf numFmtId="0" fontId="12" fillId="2" borderId="118" xfId="0" applyFont="1" applyFill="1" applyBorder="1" applyAlignment="1">
      <alignment vertical="center" wrapText="1"/>
    </xf>
    <xf numFmtId="0" fontId="12" fillId="2" borderId="6" xfId="0" applyFont="1" applyFill="1" applyBorder="1" applyAlignment="1">
      <alignment horizontal="center" vertical="center" wrapText="1"/>
    </xf>
    <xf numFmtId="0" fontId="11" fillId="0" borderId="101" xfId="0" applyFont="1" applyBorder="1" applyAlignment="1">
      <alignment vertical="top"/>
    </xf>
    <xf numFmtId="0" fontId="12" fillId="5" borderId="114" xfId="0" applyFont="1" applyFill="1" applyBorder="1" applyAlignment="1">
      <alignment horizontal="center" vertical="center" wrapText="1"/>
    </xf>
    <xf numFmtId="0" fontId="12" fillId="5" borderId="114" xfId="0" applyFont="1" applyFill="1" applyBorder="1" applyAlignment="1">
      <alignment vertical="center" wrapText="1"/>
    </xf>
    <xf numFmtId="0" fontId="12" fillId="5" borderId="114" xfId="0" applyFont="1" applyFill="1" applyBorder="1" applyAlignment="1">
      <alignment horizontal="justify" vertical="top"/>
    </xf>
    <xf numFmtId="0" fontId="12" fillId="5" borderId="115" xfId="0" applyFont="1" applyFill="1" applyBorder="1" applyAlignment="1">
      <alignment horizontal="justify" vertical="top"/>
    </xf>
    <xf numFmtId="0" fontId="12" fillId="5" borderId="72" xfId="0" applyFont="1" applyFill="1" applyBorder="1" applyAlignment="1">
      <alignment horizontal="center" vertical="center" wrapText="1"/>
    </xf>
    <xf numFmtId="0" fontId="12" fillId="5" borderId="72" xfId="0" applyFont="1" applyFill="1" applyBorder="1" applyAlignment="1">
      <alignment vertical="center" wrapText="1"/>
    </xf>
    <xf numFmtId="0" fontId="12" fillId="5" borderId="73" xfId="0" applyFont="1" applyFill="1" applyBorder="1" applyAlignment="1">
      <alignment horizontal="justify" vertical="top"/>
    </xf>
    <xf numFmtId="0" fontId="12" fillId="2" borderId="82" xfId="0" applyFont="1" applyFill="1" applyBorder="1" applyAlignment="1">
      <alignment vertical="center"/>
    </xf>
    <xf numFmtId="0" fontId="12" fillId="2" borderId="119" xfId="0" applyFont="1" applyFill="1" applyBorder="1" applyAlignment="1">
      <alignment vertical="center"/>
    </xf>
    <xf numFmtId="0" fontId="12" fillId="5" borderId="59" xfId="0" applyFont="1" applyFill="1" applyBorder="1" applyAlignment="1">
      <alignment horizontal="center" vertical="center" wrapText="1"/>
    </xf>
    <xf numFmtId="0" fontId="12" fillId="5" borderId="59" xfId="0" applyFont="1" applyFill="1" applyBorder="1" applyAlignment="1">
      <alignment vertical="center" wrapText="1"/>
    </xf>
    <xf numFmtId="0" fontId="12" fillId="5" borderId="107" xfId="0" applyFont="1" applyFill="1" applyBorder="1" applyAlignment="1">
      <alignment horizontal="justify" vertical="top"/>
    </xf>
    <xf numFmtId="0" fontId="11" fillId="0" borderId="114" xfId="0" applyFont="1" applyBorder="1" applyAlignment="1">
      <alignment horizontal="center" vertical="center"/>
    </xf>
    <xf numFmtId="0" fontId="11" fillId="0" borderId="114" xfId="0" applyFont="1" applyBorder="1" applyAlignment="1">
      <alignment vertical="top"/>
    </xf>
    <xf numFmtId="0" fontId="11" fillId="0" borderId="115" xfId="0" applyFont="1" applyBorder="1" applyAlignment="1">
      <alignment vertical="top"/>
    </xf>
    <xf numFmtId="0" fontId="12" fillId="2" borderId="66" xfId="0" applyFont="1" applyFill="1" applyBorder="1" applyAlignment="1">
      <alignment vertical="center"/>
    </xf>
    <xf numFmtId="0" fontId="11" fillId="0" borderId="28" xfId="0" applyFont="1" applyBorder="1" applyAlignment="1">
      <alignment horizontal="justify" vertical="top"/>
    </xf>
    <xf numFmtId="0" fontId="11" fillId="0" borderId="79" xfId="0" applyFont="1" applyBorder="1" applyAlignment="1">
      <alignment vertical="center"/>
    </xf>
    <xf numFmtId="0" fontId="11" fillId="0" borderId="97" xfId="0" applyFont="1" applyBorder="1" applyAlignment="1">
      <alignment vertical="center"/>
    </xf>
    <xf numFmtId="0" fontId="11" fillId="0" borderId="78" xfId="0" applyFont="1" applyBorder="1" applyAlignment="1">
      <alignment vertical="center"/>
    </xf>
    <xf numFmtId="0" fontId="11" fillId="0" borderId="119" xfId="0" applyFont="1" applyBorder="1" applyAlignment="1">
      <alignment vertical="top"/>
    </xf>
    <xf numFmtId="0" fontId="11" fillId="0" borderId="86" xfId="0" applyFont="1" applyBorder="1" applyAlignment="1">
      <alignment vertical="center"/>
    </xf>
    <xf numFmtId="0" fontId="11" fillId="0" borderId="124" xfId="0" applyFont="1" applyBorder="1" applyAlignment="1">
      <alignment vertical="center"/>
    </xf>
    <xf numFmtId="0" fontId="11" fillId="0" borderId="125" xfId="0" applyFont="1" applyBorder="1" applyAlignment="1">
      <alignment vertical="center"/>
    </xf>
    <xf numFmtId="0" fontId="11" fillId="0" borderId="128" xfId="0" applyFont="1" applyBorder="1" applyAlignment="1">
      <alignment vertical="top"/>
    </xf>
    <xf numFmtId="0" fontId="11" fillId="0" borderId="129" xfId="0" applyFont="1" applyBorder="1" applyAlignment="1">
      <alignment vertical="top"/>
    </xf>
    <xf numFmtId="0" fontId="11" fillId="0" borderId="130" xfId="0" applyFont="1" applyBorder="1" applyAlignment="1">
      <alignment vertical="top"/>
    </xf>
    <xf numFmtId="0" fontId="11" fillId="0" borderId="128" xfId="0" applyFont="1" applyBorder="1" applyAlignment="1">
      <alignment vertical="center"/>
    </xf>
    <xf numFmtId="0" fontId="11" fillId="0" borderId="131" xfId="0" applyFont="1" applyBorder="1" applyAlignment="1">
      <alignment vertical="top"/>
    </xf>
    <xf numFmtId="0" fontId="11" fillId="0" borderId="132" xfId="0" applyFont="1" applyBorder="1" applyAlignment="1">
      <alignment vertical="top"/>
    </xf>
    <xf numFmtId="0" fontId="11" fillId="0" borderId="83" xfId="0" applyFont="1" applyBorder="1" applyAlignment="1">
      <alignment vertical="center"/>
    </xf>
    <xf numFmtId="0" fontId="11" fillId="0" borderId="125" xfId="0" applyFont="1" applyBorder="1" applyAlignment="1">
      <alignment vertical="top"/>
    </xf>
    <xf numFmtId="0" fontId="11" fillId="0" borderId="124" xfId="0" applyFont="1" applyBorder="1" applyAlignment="1">
      <alignment vertical="top"/>
    </xf>
    <xf numFmtId="0" fontId="11" fillId="0" borderId="135" xfId="0" applyFont="1" applyBorder="1" applyAlignment="1">
      <alignment vertical="top"/>
    </xf>
    <xf numFmtId="0" fontId="11" fillId="0" borderId="131" xfId="0" applyFont="1" applyBorder="1" applyAlignment="1">
      <alignment vertical="center"/>
    </xf>
    <xf numFmtId="0" fontId="11" fillId="0" borderId="18" xfId="0" applyFont="1" applyBorder="1" applyAlignment="1">
      <alignment horizontal="justify" vertical="center"/>
    </xf>
    <xf numFmtId="0" fontId="11" fillId="0" borderId="15" xfId="0" applyFont="1" applyBorder="1" applyAlignment="1">
      <alignment horizontal="left" vertical="center" wrapText="1"/>
    </xf>
    <xf numFmtId="0" fontId="11" fillId="0" borderId="137" xfId="0" applyFont="1" applyBorder="1" applyAlignment="1">
      <alignment vertical="top"/>
    </xf>
    <xf numFmtId="0" fontId="11" fillId="0" borderId="141" xfId="0" applyFont="1" applyBorder="1" applyAlignment="1">
      <alignment vertical="top"/>
    </xf>
    <xf numFmtId="0" fontId="11" fillId="0" borderId="142" xfId="0" applyFont="1" applyBorder="1" applyAlignment="1">
      <alignment vertical="top"/>
    </xf>
    <xf numFmtId="0" fontId="11" fillId="0" borderId="145" xfId="0" applyFont="1" applyBorder="1" applyAlignment="1">
      <alignment vertical="top"/>
    </xf>
    <xf numFmtId="0" fontId="11" fillId="0" borderId="23" xfId="0" applyFont="1" applyBorder="1" applyAlignment="1">
      <alignment horizontal="center" vertical="center"/>
    </xf>
    <xf numFmtId="164" fontId="11" fillId="0" borderId="16" xfId="0" applyNumberFormat="1" applyFont="1" applyBorder="1" applyAlignment="1">
      <alignment vertical="center"/>
    </xf>
    <xf numFmtId="0" fontId="11" fillId="0" borderId="11" xfId="0" applyFont="1" applyBorder="1" applyAlignment="1">
      <alignment horizontal="right" vertical="center"/>
    </xf>
    <xf numFmtId="166" fontId="11" fillId="3" borderId="92" xfId="0" applyNumberFormat="1" applyFont="1" applyFill="1" applyBorder="1" applyAlignment="1">
      <alignment horizontal="right" vertical="center"/>
    </xf>
    <xf numFmtId="166" fontId="11" fillId="3" borderId="6" xfId="0" applyNumberFormat="1" applyFont="1" applyFill="1" applyBorder="1" applyAlignment="1">
      <alignment horizontal="right" vertical="center"/>
    </xf>
    <xf numFmtId="166" fontId="11" fillId="3" borderId="91" xfId="0" applyNumberFormat="1" applyFont="1" applyFill="1" applyBorder="1" applyAlignment="1">
      <alignment horizontal="right" vertical="center"/>
    </xf>
    <xf numFmtId="166" fontId="11" fillId="0" borderId="0" xfId="0" applyNumberFormat="1" applyFont="1" applyAlignment="1">
      <alignment vertical="center"/>
    </xf>
    <xf numFmtId="0" fontId="11" fillId="0" borderId="96" xfId="0" applyFont="1" applyBorder="1" applyAlignment="1">
      <alignment horizontal="justify" vertical="top"/>
    </xf>
    <xf numFmtId="0" fontId="11" fillId="0" borderId="11" xfId="0" applyFont="1" applyBorder="1" applyAlignment="1">
      <alignment horizontal="justify" vertical="top" wrapText="1"/>
    </xf>
    <xf numFmtId="0" fontId="11" fillId="0" borderId="25" xfId="0" applyFont="1" applyBorder="1" applyAlignment="1">
      <alignment horizontal="justify" vertical="top" wrapText="1"/>
    </xf>
    <xf numFmtId="0" fontId="11" fillId="0" borderId="96" xfId="0" applyFont="1" applyBorder="1" applyAlignment="1">
      <alignment horizontal="justify" vertical="top" wrapText="1"/>
    </xf>
    <xf numFmtId="0" fontId="11" fillId="0" borderId="96" xfId="0" applyFont="1" applyBorder="1" applyAlignment="1">
      <alignment horizontal="justify" vertical="center" wrapText="1"/>
    </xf>
    <xf numFmtId="166" fontId="12" fillId="2" borderId="149" xfId="0" applyNumberFormat="1" applyFont="1" applyFill="1" applyBorder="1" applyAlignment="1">
      <alignment vertical="center"/>
    </xf>
    <xf numFmtId="0" fontId="12" fillId="2" borderId="149" xfId="0" applyFont="1" applyFill="1" applyBorder="1" applyAlignment="1">
      <alignment horizontal="left" vertical="center" wrapText="1"/>
    </xf>
    <xf numFmtId="0" fontId="12" fillId="2" borderId="149" xfId="0" applyFont="1" applyFill="1" applyBorder="1" applyAlignment="1">
      <alignment horizontal="justify" vertical="center"/>
    </xf>
    <xf numFmtId="0" fontId="12" fillId="2" borderId="149" xfId="0" applyFont="1" applyFill="1" applyBorder="1" applyAlignment="1">
      <alignment vertical="center"/>
    </xf>
    <xf numFmtId="0" fontId="12" fillId="2" borderId="149" xfId="0" applyFont="1" applyFill="1" applyBorder="1" applyAlignment="1">
      <alignment horizontal="center" vertical="center"/>
    </xf>
    <xf numFmtId="0" fontId="11" fillId="0" borderId="150" xfId="0" applyFont="1" applyBorder="1" applyAlignment="1">
      <alignment vertical="top"/>
    </xf>
    <xf numFmtId="0" fontId="11" fillId="0" borderId="119" xfId="0" applyFont="1" applyBorder="1" applyAlignment="1">
      <alignment vertical="center"/>
    </xf>
    <xf numFmtId="0" fontId="11" fillId="0" borderId="156" xfId="0" applyFont="1" applyBorder="1" applyAlignment="1">
      <alignment horizontal="left" vertical="center" wrapText="1"/>
    </xf>
    <xf numFmtId="166" fontId="11" fillId="3" borderId="149" xfId="0" applyNumberFormat="1" applyFont="1" applyFill="1" applyBorder="1" applyAlignment="1">
      <alignment vertical="center"/>
    </xf>
    <xf numFmtId="0" fontId="11" fillId="0" borderId="27" xfId="0" applyFont="1" applyBorder="1" applyAlignment="1">
      <alignment horizontal="left" vertical="center"/>
    </xf>
    <xf numFmtId="0" fontId="11" fillId="0" borderId="29" xfId="0" applyFont="1" applyBorder="1" applyAlignment="1">
      <alignment horizontal="left" vertical="center"/>
    </xf>
    <xf numFmtId="14" fontId="11" fillId="0" borderId="92" xfId="0" applyNumberFormat="1" applyFont="1" applyBorder="1" applyAlignment="1">
      <alignment horizontal="right" vertical="center"/>
    </xf>
    <xf numFmtId="14" fontId="11" fillId="0" borderId="5" xfId="0" applyNumberFormat="1" applyFont="1" applyBorder="1" applyAlignment="1">
      <alignment horizontal="right" vertical="center"/>
    </xf>
    <xf numFmtId="14" fontId="21" fillId="0" borderId="91" xfId="0" applyNumberFormat="1" applyFont="1" applyBorder="1" applyAlignment="1">
      <alignment horizontal="right" vertical="center"/>
    </xf>
    <xf numFmtId="14" fontId="21" fillId="0" borderId="5" xfId="0" applyNumberFormat="1" applyFont="1" applyBorder="1" applyAlignment="1">
      <alignment horizontal="right" vertical="center"/>
    </xf>
    <xf numFmtId="14" fontId="11" fillId="0" borderId="8" xfId="0" applyNumberFormat="1" applyFont="1" applyBorder="1" applyAlignment="1">
      <alignment horizontal="right" vertical="center"/>
    </xf>
    <xf numFmtId="14" fontId="11" fillId="0" borderId="1" xfId="0" applyNumberFormat="1" applyFont="1" applyBorder="1" applyAlignment="1">
      <alignment horizontal="right" vertical="center"/>
    </xf>
    <xf numFmtId="14" fontId="11" fillId="0" borderId="29" xfId="0" applyNumberFormat="1" applyFont="1" applyBorder="1" applyAlignment="1">
      <alignment horizontal="right" vertical="center"/>
    </xf>
    <xf numFmtId="14" fontId="11" fillId="0" borderId="27" xfId="0" applyNumberFormat="1" applyFont="1" applyBorder="1" applyAlignment="1">
      <alignment horizontal="right" vertical="center"/>
    </xf>
    <xf numFmtId="14" fontId="11" fillId="0" borderId="6" xfId="0" applyNumberFormat="1" applyFont="1" applyBorder="1" applyAlignment="1">
      <alignment horizontal="right" vertical="center"/>
    </xf>
    <xf numFmtId="14" fontId="21" fillId="0" borderId="96" xfId="0" applyNumberFormat="1" applyFont="1" applyBorder="1" applyAlignment="1">
      <alignment horizontal="right" vertical="center"/>
    </xf>
    <xf numFmtId="14" fontId="21" fillId="0" borderId="25" xfId="0" applyNumberFormat="1" applyFont="1" applyBorder="1" applyAlignment="1">
      <alignment horizontal="right" vertical="center"/>
    </xf>
    <xf numFmtId="14" fontId="21" fillId="0" borderId="24" xfId="0" applyNumberFormat="1" applyFont="1" applyBorder="1" applyAlignment="1">
      <alignment horizontal="right" vertical="center"/>
    </xf>
    <xf numFmtId="14" fontId="21" fillId="0" borderId="11" xfId="0" applyNumberFormat="1" applyFont="1" applyBorder="1" applyAlignment="1">
      <alignment horizontal="right" vertical="center"/>
    </xf>
    <xf numFmtId="14" fontId="11" fillId="0" borderId="11" xfId="0" applyNumberFormat="1" applyFont="1" applyBorder="1" applyAlignment="1">
      <alignment horizontal="right" vertical="center"/>
    </xf>
    <xf numFmtId="14" fontId="11" fillId="0" borderId="25" xfId="0" applyNumberFormat="1" applyFont="1" applyBorder="1" applyAlignment="1">
      <alignment horizontal="right" vertical="center"/>
    </xf>
    <xf numFmtId="0" fontId="11" fillId="0" borderId="7" xfId="0" applyFont="1" applyBorder="1" applyAlignment="1">
      <alignment horizontal="right" vertical="top"/>
    </xf>
    <xf numFmtId="0" fontId="11" fillId="0" borderId="31" xfId="0" applyFont="1" applyBorder="1" applyAlignment="1">
      <alignment horizontal="right" vertical="top"/>
    </xf>
    <xf numFmtId="14" fontId="11" fillId="0" borderId="31" xfId="0" applyNumberFormat="1" applyFont="1" applyBorder="1" applyAlignment="1">
      <alignment horizontal="right" vertical="center"/>
    </xf>
    <xf numFmtId="14" fontId="11" fillId="0" borderId="26" xfId="0" applyNumberFormat="1" applyFont="1" applyBorder="1" applyAlignment="1">
      <alignment horizontal="right" vertical="center"/>
    </xf>
    <xf numFmtId="14" fontId="11" fillId="0" borderId="28" xfId="0" applyNumberFormat="1" applyFont="1" applyBorder="1" applyAlignment="1">
      <alignment horizontal="right" vertical="center"/>
    </xf>
    <xf numFmtId="14" fontId="11" fillId="0" borderId="89" xfId="0" applyNumberFormat="1" applyFont="1" applyBorder="1" applyAlignment="1">
      <alignment horizontal="right" vertical="center"/>
    </xf>
    <xf numFmtId="14" fontId="11" fillId="0" borderId="22" xfId="0" applyNumberFormat="1" applyFont="1" applyBorder="1" applyAlignment="1">
      <alignment horizontal="right" vertical="center"/>
    </xf>
    <xf numFmtId="14" fontId="11" fillId="0" borderId="90" xfId="0" applyNumberFormat="1" applyFont="1" applyBorder="1" applyAlignment="1">
      <alignment horizontal="right" vertical="center"/>
    </xf>
    <xf numFmtId="14" fontId="11" fillId="0" borderId="96" xfId="0" applyNumberFormat="1" applyFont="1" applyBorder="1" applyAlignment="1">
      <alignment horizontal="right" vertical="center"/>
    </xf>
    <xf numFmtId="0" fontId="11" fillId="0" borderId="1" xfId="0" applyFont="1" applyBorder="1" applyAlignment="1">
      <alignment horizontal="right" vertical="top"/>
    </xf>
    <xf numFmtId="0" fontId="11" fillId="0" borderId="6" xfId="0" applyFont="1" applyBorder="1" applyAlignment="1">
      <alignment horizontal="right" vertical="top"/>
    </xf>
    <xf numFmtId="14" fontId="11" fillId="0" borderId="19" xfId="0" applyNumberFormat="1" applyFont="1" applyBorder="1" applyAlignment="1">
      <alignment horizontal="right" vertical="center"/>
    </xf>
    <xf numFmtId="14" fontId="11" fillId="0" borderId="30" xfId="0" applyNumberFormat="1" applyFont="1" applyBorder="1" applyAlignment="1">
      <alignment horizontal="right" vertical="center"/>
    </xf>
    <xf numFmtId="14" fontId="21" fillId="0" borderId="39" xfId="0" applyNumberFormat="1" applyFont="1" applyBorder="1" applyAlignment="1">
      <alignment horizontal="right" vertical="center"/>
    </xf>
    <xf numFmtId="14" fontId="21" fillId="0" borderId="40" xfId="0" applyNumberFormat="1" applyFont="1" applyBorder="1" applyAlignment="1">
      <alignment horizontal="right" vertical="center"/>
    </xf>
    <xf numFmtId="0" fontId="12" fillId="0" borderId="59" xfId="0" applyFont="1" applyBorder="1" applyAlignment="1">
      <alignment horizontal="right" vertical="center" wrapText="1"/>
    </xf>
    <xf numFmtId="0" fontId="12" fillId="0" borderId="72" xfId="0" applyFont="1" applyBorder="1" applyAlignment="1">
      <alignment horizontal="right" vertical="center" wrapText="1"/>
    </xf>
    <xf numFmtId="0" fontId="11" fillId="0" borderId="114" xfId="0" applyFont="1" applyBorder="1" applyAlignment="1">
      <alignment horizontal="right" vertical="top"/>
    </xf>
    <xf numFmtId="14" fontId="11" fillId="0" borderId="93" xfId="0" applyNumberFormat="1" applyFont="1" applyBorder="1" applyAlignment="1">
      <alignment horizontal="right" vertical="center"/>
    </xf>
    <xf numFmtId="14" fontId="21" fillId="0" borderId="92" xfId="0" applyNumberFormat="1" applyFont="1" applyBorder="1" applyAlignment="1">
      <alignment horizontal="right" vertical="center"/>
    </xf>
    <xf numFmtId="0" fontId="11" fillId="0" borderId="62" xfId="0" applyFont="1" applyBorder="1" applyAlignment="1">
      <alignment horizontal="right" vertical="top"/>
    </xf>
    <xf numFmtId="14" fontId="21" fillId="0" borderId="47" xfId="0" applyNumberFormat="1" applyFont="1" applyBorder="1" applyAlignment="1">
      <alignment horizontal="right" vertical="center"/>
    </xf>
    <xf numFmtId="14" fontId="11" fillId="0" borderId="62" xfId="0" applyNumberFormat="1" applyFont="1" applyBorder="1" applyAlignment="1">
      <alignment horizontal="right" vertical="center"/>
    </xf>
    <xf numFmtId="14" fontId="11" fillId="0" borderId="72" xfId="0" applyNumberFormat="1" applyFont="1" applyBorder="1" applyAlignment="1">
      <alignment horizontal="right" vertical="center"/>
    </xf>
    <xf numFmtId="14" fontId="11" fillId="0" borderId="63" xfId="0" applyNumberFormat="1" applyFont="1" applyBorder="1" applyAlignment="1">
      <alignment horizontal="right" vertical="center"/>
    </xf>
    <xf numFmtId="0" fontId="11" fillId="0" borderId="26" xfId="0" applyFont="1" applyBorder="1" applyAlignment="1">
      <alignment horizontal="right" vertical="top"/>
    </xf>
    <xf numFmtId="14" fontId="11" fillId="0" borderId="59" xfId="0" applyNumberFormat="1" applyFont="1" applyBorder="1" applyAlignment="1">
      <alignment horizontal="right" vertical="center"/>
    </xf>
    <xf numFmtId="14" fontId="11" fillId="0" borderId="60" xfId="0" applyNumberFormat="1" applyFont="1" applyBorder="1" applyAlignment="1">
      <alignment horizontal="right" vertical="center"/>
    </xf>
    <xf numFmtId="14" fontId="11" fillId="0" borderId="7" xfId="0" applyNumberFormat="1" applyFont="1" applyBorder="1" applyAlignment="1">
      <alignment horizontal="right" vertical="center"/>
    </xf>
    <xf numFmtId="0" fontId="11" fillId="5" borderId="59" xfId="0" applyFont="1" applyFill="1" applyBorder="1" applyAlignment="1">
      <alignment vertical="center" wrapText="1"/>
    </xf>
    <xf numFmtId="0" fontId="11" fillId="5" borderId="59" xfId="0" applyFont="1" applyFill="1" applyBorder="1" applyAlignment="1">
      <alignment horizontal="justify" vertical="top"/>
    </xf>
    <xf numFmtId="0" fontId="11" fillId="5" borderId="72" xfId="0" applyFont="1" applyFill="1" applyBorder="1" applyAlignment="1">
      <alignment vertical="center" wrapText="1"/>
    </xf>
    <xf numFmtId="0" fontId="11" fillId="5" borderId="72" xfId="0" applyFont="1" applyFill="1" applyBorder="1" applyAlignment="1">
      <alignment horizontal="justify" vertical="top"/>
    </xf>
    <xf numFmtId="0" fontId="11" fillId="0" borderId="15" xfId="0" applyFont="1" applyBorder="1" applyAlignment="1">
      <alignment horizontal="center" vertical="center"/>
    </xf>
    <xf numFmtId="0" fontId="11" fillId="0" borderId="161" xfId="0" applyFont="1" applyBorder="1" applyAlignment="1">
      <alignment horizontal="center" vertical="center"/>
    </xf>
    <xf numFmtId="0" fontId="12" fillId="2" borderId="17" xfId="0" applyFont="1" applyFill="1" applyBorder="1" applyAlignment="1">
      <alignment horizontal="center" vertical="center"/>
    </xf>
    <xf numFmtId="0" fontId="12" fillId="2" borderId="18" xfId="0" applyFont="1" applyFill="1" applyBorder="1" applyAlignment="1">
      <alignment horizontal="center" vertical="center"/>
    </xf>
    <xf numFmtId="0" fontId="11" fillId="0" borderId="137" xfId="0" applyFont="1" applyBorder="1" applyAlignment="1">
      <alignment vertical="center"/>
    </xf>
    <xf numFmtId="0" fontId="16" fillId="0" borderId="157" xfId="0" applyFont="1" applyBorder="1" applyAlignment="1">
      <alignment vertical="center" wrapText="1"/>
    </xf>
    <xf numFmtId="0" fontId="11" fillId="0" borderId="168" xfId="0" applyFont="1" applyBorder="1" applyAlignment="1">
      <alignment horizontal="center" vertical="center"/>
    </xf>
    <xf numFmtId="164" fontId="11" fillId="0" borderId="169" xfId="1" applyFont="1" applyBorder="1" applyAlignment="1">
      <alignment vertical="center"/>
    </xf>
    <xf numFmtId="0" fontId="12" fillId="2" borderId="16" xfId="0" applyFont="1" applyFill="1" applyBorder="1" applyAlignment="1">
      <alignment vertical="center"/>
    </xf>
    <xf numFmtId="166" fontId="12" fillId="2" borderId="147" xfId="0" applyNumberFormat="1" applyFont="1" applyFill="1" applyBorder="1" applyAlignment="1">
      <alignment horizontal="center" vertical="center"/>
    </xf>
    <xf numFmtId="166" fontId="12" fillId="2" borderId="147" xfId="0" applyNumberFormat="1" applyFont="1" applyFill="1" applyBorder="1" applyAlignment="1">
      <alignment vertical="center"/>
    </xf>
    <xf numFmtId="14" fontId="11" fillId="0" borderId="5" xfId="0" applyNumberFormat="1" applyFont="1" applyBorder="1" applyAlignment="1">
      <alignment horizontal="center" vertical="center"/>
    </xf>
    <xf numFmtId="0" fontId="11" fillId="0" borderId="58" xfId="0" applyFont="1" applyBorder="1" applyAlignment="1">
      <alignment horizontal="center" vertical="center"/>
    </xf>
    <xf numFmtId="0" fontId="11" fillId="0" borderId="123" xfId="0" applyFont="1" applyBorder="1" applyAlignment="1">
      <alignment horizontal="center" vertical="center"/>
    </xf>
    <xf numFmtId="0" fontId="11" fillId="0" borderId="154" xfId="0" applyFont="1" applyBorder="1" applyAlignment="1">
      <alignment horizontal="center" vertical="center"/>
    </xf>
    <xf numFmtId="0" fontId="12" fillId="2" borderId="61" xfId="0" applyFont="1" applyFill="1" applyBorder="1" applyAlignment="1">
      <alignment horizontal="justify" vertical="top"/>
    </xf>
    <xf numFmtId="0" fontId="12" fillId="2" borderId="98" xfId="0" applyFont="1" applyFill="1" applyBorder="1" applyAlignment="1">
      <alignment horizontal="justify" vertical="top"/>
    </xf>
    <xf numFmtId="0" fontId="11" fillId="0" borderId="0" xfId="0" applyFont="1" applyAlignment="1">
      <alignment horizontal="left" vertical="center"/>
    </xf>
    <xf numFmtId="0" fontId="11" fillId="0" borderId="53" xfId="0" applyFont="1" applyBorder="1" applyAlignment="1">
      <alignment horizontal="left" vertical="center" wrapText="1"/>
    </xf>
    <xf numFmtId="0" fontId="11" fillId="0" borderId="52" xfId="0" applyFont="1" applyBorder="1" applyAlignment="1">
      <alignment horizontal="left" vertical="center" wrapText="1"/>
    </xf>
    <xf numFmtId="0" fontId="11" fillId="0" borderId="85" xfId="0" applyFont="1" applyBorder="1" applyAlignment="1">
      <alignment horizontal="left" vertical="center" wrapText="1"/>
    </xf>
    <xf numFmtId="0" fontId="11" fillId="0" borderId="92"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16" xfId="0" applyFont="1" applyBorder="1" applyAlignment="1">
      <alignment horizontal="center" vertical="center"/>
    </xf>
    <xf numFmtId="0" fontId="11" fillId="0" borderId="136" xfId="0" applyFont="1" applyBorder="1" applyAlignment="1">
      <alignment horizontal="center" vertical="center"/>
    </xf>
    <xf numFmtId="0" fontId="11" fillId="0" borderId="111" xfId="0" applyFont="1" applyBorder="1" applyAlignment="1">
      <alignment horizontal="center" vertical="center"/>
    </xf>
    <xf numFmtId="166" fontId="11" fillId="3" borderId="92" xfId="0" applyNumberFormat="1" applyFont="1" applyFill="1" applyBorder="1" applyAlignment="1">
      <alignment horizontal="center" vertical="center"/>
    </xf>
    <xf numFmtId="166" fontId="11" fillId="3" borderId="5" xfId="0" applyNumberFormat="1" applyFont="1" applyFill="1" applyBorder="1" applyAlignment="1">
      <alignment horizontal="center" vertical="center"/>
    </xf>
    <xf numFmtId="166" fontId="11" fillId="3" borderId="47" xfId="0" applyNumberFormat="1" applyFont="1" applyFill="1" applyBorder="1" applyAlignment="1">
      <alignment horizontal="center" vertical="center"/>
    </xf>
    <xf numFmtId="0" fontId="11" fillId="0" borderId="123" xfId="0" applyFont="1" applyBorder="1" applyAlignment="1">
      <alignment horizontal="center" vertical="center" wrapText="1"/>
    </xf>
    <xf numFmtId="166" fontId="11" fillId="3" borderId="26" xfId="0" applyNumberFormat="1" applyFont="1" applyFill="1" applyBorder="1" applyAlignment="1">
      <alignment horizontal="right" vertical="center"/>
    </xf>
    <xf numFmtId="166" fontId="11" fillId="3" borderId="28" xfId="0" applyNumberFormat="1" applyFont="1" applyFill="1" applyBorder="1" applyAlignment="1">
      <alignment horizontal="right" vertical="center"/>
    </xf>
    <xf numFmtId="166" fontId="11" fillId="3" borderId="53" xfId="0" applyNumberFormat="1" applyFont="1" applyFill="1" applyBorder="1" applyAlignment="1">
      <alignment horizontal="center" vertical="center"/>
    </xf>
    <xf numFmtId="166" fontId="11" fillId="3" borderId="52" xfId="0" applyNumberFormat="1" applyFont="1" applyFill="1" applyBorder="1" applyAlignment="1">
      <alignment horizontal="center" vertical="center"/>
    </xf>
    <xf numFmtId="166" fontId="11" fillId="3" borderId="104" xfId="0" applyNumberFormat="1" applyFont="1" applyFill="1" applyBorder="1" applyAlignment="1">
      <alignment horizontal="center" vertical="center"/>
    </xf>
    <xf numFmtId="0" fontId="11" fillId="0" borderId="121"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122" xfId="0" applyFont="1" applyBorder="1" applyAlignment="1">
      <alignment horizontal="center" vertical="center" wrapText="1"/>
    </xf>
    <xf numFmtId="166" fontId="11" fillId="3" borderId="105" xfId="0" applyNumberFormat="1" applyFont="1" applyFill="1" applyBorder="1" applyAlignment="1">
      <alignment horizontal="center" vertical="center"/>
    </xf>
    <xf numFmtId="166" fontId="11" fillId="3" borderId="106" xfId="0" applyNumberFormat="1" applyFont="1" applyFill="1" applyBorder="1" applyAlignment="1">
      <alignment horizontal="center" vertical="center"/>
    </xf>
    <xf numFmtId="0" fontId="11" fillId="0" borderId="126" xfId="0" applyFont="1" applyBorder="1" applyAlignment="1">
      <alignment horizontal="center" vertical="center" wrapText="1"/>
    </xf>
    <xf numFmtId="0" fontId="11" fillId="0" borderId="127" xfId="0" applyFont="1" applyBorder="1" applyAlignment="1">
      <alignment horizontal="center" vertical="center" wrapText="1"/>
    </xf>
    <xf numFmtId="166" fontId="11" fillId="3" borderId="7" xfId="0" applyNumberFormat="1" applyFont="1" applyFill="1" applyBorder="1" applyAlignment="1">
      <alignment horizontal="right" vertical="center"/>
    </xf>
    <xf numFmtId="0" fontId="11" fillId="0" borderId="133" xfId="0" applyFont="1" applyBorder="1" applyAlignment="1">
      <alignment horizontal="center" vertical="center" wrapText="1"/>
    </xf>
    <xf numFmtId="0" fontId="11" fillId="0" borderId="134" xfId="0" applyFont="1" applyBorder="1" applyAlignment="1">
      <alignment horizontal="center" vertical="center" wrapText="1"/>
    </xf>
    <xf numFmtId="166" fontId="11" fillId="3" borderId="92" xfId="0" applyNumberFormat="1" applyFont="1" applyFill="1" applyBorder="1" applyAlignment="1">
      <alignment vertical="center"/>
    </xf>
    <xf numFmtId="166" fontId="11" fillId="3" borderId="47" xfId="0" applyNumberFormat="1" applyFont="1" applyFill="1" applyBorder="1" applyAlignment="1">
      <alignment vertical="center"/>
    </xf>
    <xf numFmtId="0" fontId="14" fillId="5" borderId="58" xfId="0" applyFont="1" applyFill="1" applyBorder="1" applyAlignment="1">
      <alignment horizontal="center" vertical="center" wrapText="1"/>
    </xf>
    <xf numFmtId="0" fontId="14" fillId="5" borderId="120" xfId="0" applyFont="1" applyFill="1" applyBorder="1" applyAlignment="1">
      <alignment horizontal="center" vertical="center" wrapText="1"/>
    </xf>
    <xf numFmtId="0" fontId="14" fillId="5" borderId="76" xfId="0" applyFont="1" applyFill="1" applyBorder="1" applyAlignment="1">
      <alignment horizontal="center" vertical="center" wrapText="1"/>
    </xf>
    <xf numFmtId="166" fontId="11" fillId="3" borderId="5" xfId="0" applyNumberFormat="1" applyFont="1" applyFill="1" applyBorder="1" applyAlignment="1">
      <alignment vertical="center"/>
    </xf>
    <xf numFmtId="166" fontId="11" fillId="3" borderId="76" xfId="0" applyNumberFormat="1" applyFont="1" applyFill="1" applyBorder="1" applyAlignment="1">
      <alignment horizontal="right" vertical="center"/>
    </xf>
    <xf numFmtId="166" fontId="11" fillId="3" borderId="46" xfId="0" applyNumberFormat="1" applyFont="1" applyFill="1" applyBorder="1" applyAlignment="1">
      <alignment horizontal="right" vertical="center"/>
    </xf>
    <xf numFmtId="0" fontId="11" fillId="0" borderId="59" xfId="0" applyFont="1" applyBorder="1" applyAlignment="1">
      <alignment horizontal="left" vertical="center"/>
    </xf>
    <xf numFmtId="0" fontId="11" fillId="0" borderId="28" xfId="0" applyFont="1" applyBorder="1" applyAlignment="1">
      <alignment horizontal="left" vertical="center"/>
    </xf>
    <xf numFmtId="0" fontId="11" fillId="0" borderId="59" xfId="0" applyFont="1" applyBorder="1" applyAlignment="1">
      <alignment horizontal="right" vertical="center"/>
    </xf>
    <xf numFmtId="0" fontId="11" fillId="0" borderId="28" xfId="0" applyFont="1" applyBorder="1" applyAlignment="1">
      <alignment horizontal="right" vertical="center"/>
    </xf>
    <xf numFmtId="0" fontId="11" fillId="0" borderId="123" xfId="0" applyFont="1" applyBorder="1" applyAlignment="1">
      <alignment horizontal="left" vertical="center" wrapText="1"/>
    </xf>
    <xf numFmtId="166" fontId="11" fillId="3" borderId="148" xfId="0" applyNumberFormat="1" applyFont="1" applyFill="1" applyBorder="1" applyAlignment="1">
      <alignment vertical="center"/>
    </xf>
    <xf numFmtId="0" fontId="11" fillId="0" borderId="96" xfId="0" applyFont="1" applyBorder="1" applyAlignment="1">
      <alignment horizontal="left" vertical="center" wrapText="1"/>
    </xf>
    <xf numFmtId="0" fontId="11" fillId="0" borderId="19" xfId="0" applyFont="1" applyBorder="1" applyAlignment="1">
      <alignment horizontal="left" vertical="center" wrapText="1"/>
    </xf>
    <xf numFmtId="0" fontId="11" fillId="0" borderId="25" xfId="0" applyFont="1" applyBorder="1" applyAlignment="1">
      <alignment horizontal="left" vertical="center" wrapText="1"/>
    </xf>
    <xf numFmtId="166" fontId="11" fillId="3" borderId="96" xfId="0" applyNumberFormat="1" applyFont="1" applyFill="1" applyBorder="1" applyAlignment="1">
      <alignment horizontal="right" vertical="center"/>
    </xf>
    <xf numFmtId="166" fontId="11" fillId="3" borderId="19" xfId="0" applyNumberFormat="1" applyFont="1" applyFill="1" applyBorder="1" applyAlignment="1">
      <alignment horizontal="right" vertical="center"/>
    </xf>
    <xf numFmtId="166" fontId="11" fillId="3" borderId="25" xfId="0" applyNumberFormat="1" applyFont="1" applyFill="1" applyBorder="1" applyAlignment="1">
      <alignment horizontal="right" vertical="center"/>
    </xf>
    <xf numFmtId="0" fontId="11" fillId="0" borderId="96" xfId="0" applyFont="1" applyBorder="1" applyAlignment="1">
      <alignment horizontal="right" vertical="center"/>
    </xf>
    <xf numFmtId="0" fontId="11" fillId="0" borderId="19" xfId="0" applyFont="1" applyBorder="1" applyAlignment="1">
      <alignment horizontal="right" vertical="center"/>
    </xf>
    <xf numFmtId="0" fontId="11" fillId="0" borderId="25" xfId="0" applyFont="1" applyBorder="1" applyAlignment="1">
      <alignment horizontal="right" vertical="center"/>
    </xf>
    <xf numFmtId="0" fontId="12" fillId="0" borderId="0" xfId="0" applyFont="1" applyAlignment="1">
      <alignment horizontal="left" vertical="top" wrapText="1"/>
    </xf>
    <xf numFmtId="0" fontId="11" fillId="0" borderId="2" xfId="0" applyFont="1" applyBorder="1" applyAlignment="1">
      <alignment horizontal="center" vertical="top"/>
    </xf>
    <xf numFmtId="0" fontId="10" fillId="0" borderId="2" xfId="0" applyFont="1" applyBorder="1" applyAlignment="1">
      <alignment horizontal="center" vertical="center"/>
    </xf>
    <xf numFmtId="0" fontId="12" fillId="0" borderId="2" xfId="0" applyFont="1" applyBorder="1" applyAlignment="1">
      <alignment horizontal="center" vertical="top"/>
    </xf>
    <xf numFmtId="165" fontId="11" fillId="0" borderId="2" xfId="0" applyNumberFormat="1" applyFont="1" applyBorder="1" applyAlignment="1">
      <alignment horizontal="center" vertical="top"/>
    </xf>
    <xf numFmtId="0" fontId="12" fillId="0" borderId="0" xfId="0" applyFont="1" applyAlignment="1">
      <alignment horizontal="left" vertical="center" wrapText="1"/>
    </xf>
    <xf numFmtId="0" fontId="11" fillId="0" borderId="11" xfId="0" applyFont="1" applyBorder="1" applyAlignment="1">
      <alignment horizontal="left" vertical="center" wrapText="1"/>
    </xf>
    <xf numFmtId="0" fontId="11" fillId="0" borderId="11" xfId="0" applyFont="1" applyBorder="1" applyAlignment="1">
      <alignment horizontal="right" vertical="center"/>
    </xf>
    <xf numFmtId="0" fontId="11" fillId="0" borderId="23" xfId="0" applyFont="1" applyBorder="1" applyAlignment="1">
      <alignment horizontal="left" vertical="center" wrapText="1"/>
    </xf>
    <xf numFmtId="0" fontId="11" fillId="0" borderId="46" xfId="0" applyFont="1" applyBorder="1" applyAlignment="1">
      <alignment horizontal="left" vertical="center" wrapText="1"/>
    </xf>
    <xf numFmtId="166" fontId="11" fillId="3" borderId="92" xfId="0" applyNumberFormat="1" applyFont="1" applyFill="1" applyBorder="1" applyAlignment="1">
      <alignment horizontal="right" vertical="center"/>
    </xf>
    <xf numFmtId="166" fontId="11" fillId="3" borderId="5" xfId="0" applyNumberFormat="1" applyFont="1" applyFill="1" applyBorder="1" applyAlignment="1">
      <alignment horizontal="right" vertical="center"/>
    </xf>
    <xf numFmtId="166" fontId="11" fillId="3" borderId="91" xfId="0" applyNumberFormat="1" applyFont="1" applyFill="1" applyBorder="1" applyAlignment="1">
      <alignment horizontal="right" vertical="center"/>
    </xf>
    <xf numFmtId="166" fontId="11" fillId="3" borderId="7" xfId="0" applyNumberFormat="1" applyFont="1" applyFill="1" applyBorder="1" applyAlignment="1">
      <alignment horizontal="center" vertical="center"/>
    </xf>
    <xf numFmtId="166" fontId="11" fillId="3" borderId="62" xfId="0" applyNumberFormat="1" applyFont="1" applyFill="1" applyBorder="1" applyAlignment="1">
      <alignment horizontal="center" vertical="center"/>
    </xf>
    <xf numFmtId="14" fontId="11" fillId="0" borderId="92" xfId="0" applyNumberFormat="1" applyFont="1" applyBorder="1" applyAlignment="1">
      <alignment horizontal="right" vertical="center"/>
    </xf>
    <xf numFmtId="14" fontId="11" fillId="0" borderId="5" xfId="0" applyNumberFormat="1" applyFont="1" applyBorder="1" applyAlignment="1">
      <alignment horizontal="right" vertical="center"/>
    </xf>
    <xf numFmtId="0" fontId="11" fillId="0" borderId="92" xfId="0" applyFont="1" applyBorder="1" applyAlignment="1">
      <alignment horizontal="center" vertical="center"/>
    </xf>
    <xf numFmtId="0" fontId="11" fillId="0" borderId="5" xfId="0" applyFont="1" applyBorder="1" applyAlignment="1">
      <alignment horizontal="center" vertical="center"/>
    </xf>
    <xf numFmtId="0" fontId="11" fillId="0" borderId="26" xfId="0" applyFont="1" applyBorder="1" applyAlignment="1">
      <alignment horizontal="left" vertical="center" wrapText="1"/>
    </xf>
    <xf numFmtId="0" fontId="11" fillId="0" borderId="7" xfId="0" applyFont="1" applyBorder="1" applyAlignment="1">
      <alignment horizontal="left" vertical="center" wrapText="1"/>
    </xf>
    <xf numFmtId="0" fontId="11" fillId="0" borderId="28" xfId="0" applyFont="1" applyBorder="1" applyAlignment="1">
      <alignment horizontal="left" vertical="center" wrapText="1"/>
    </xf>
    <xf numFmtId="0" fontId="11" fillId="0" borderId="151" xfId="0" applyFont="1" applyBorder="1" applyAlignment="1">
      <alignment horizontal="right" vertical="center"/>
    </xf>
    <xf numFmtId="0" fontId="11" fillId="0" borderId="152" xfId="0" applyFont="1" applyBorder="1" applyAlignment="1">
      <alignment horizontal="right" vertical="center"/>
    </xf>
    <xf numFmtId="0" fontId="11" fillId="0" borderId="153" xfId="0" applyFont="1" applyBorder="1" applyAlignment="1">
      <alignment horizontal="right" vertical="center"/>
    </xf>
    <xf numFmtId="0" fontId="11" fillId="0" borderId="24" xfId="0" applyFont="1" applyBorder="1" applyAlignment="1">
      <alignment horizontal="left" vertical="center" wrapText="1"/>
    </xf>
    <xf numFmtId="166" fontId="11" fillId="3" borderId="24" xfId="0" applyNumberFormat="1" applyFont="1" applyFill="1" applyBorder="1" applyAlignment="1">
      <alignment horizontal="right" vertical="center"/>
    </xf>
    <xf numFmtId="166" fontId="11" fillId="3" borderId="11" xfId="0" applyNumberFormat="1" applyFont="1" applyFill="1" applyBorder="1" applyAlignment="1">
      <alignment horizontal="right" vertical="center"/>
    </xf>
    <xf numFmtId="0" fontId="11" fillId="0" borderId="49" xfId="0" applyFont="1" applyBorder="1" applyAlignment="1">
      <alignment horizontal="left" vertical="center" wrapText="1"/>
    </xf>
    <xf numFmtId="0" fontId="11" fillId="0" borderId="95" xfId="0" applyFont="1" applyBorder="1" applyAlignment="1">
      <alignment horizontal="left" vertical="center" wrapText="1"/>
    </xf>
    <xf numFmtId="0" fontId="11" fillId="0" borderId="65" xfId="0" applyFont="1" applyBorder="1" applyAlignment="1">
      <alignment horizontal="left" vertical="center" wrapText="1"/>
    </xf>
    <xf numFmtId="0" fontId="11" fillId="0" borderId="24" xfId="0" applyFont="1" applyBorder="1" applyAlignment="1">
      <alignment horizontal="right" vertical="center"/>
    </xf>
    <xf numFmtId="0" fontId="11" fillId="0" borderId="45" xfId="0" applyFont="1" applyBorder="1" applyAlignment="1">
      <alignment horizontal="left" vertical="center" wrapText="1"/>
    </xf>
    <xf numFmtId="0" fontId="11" fillId="0" borderId="26" xfId="0" applyFont="1" applyBorder="1" applyAlignment="1">
      <alignment horizontal="left" vertical="center"/>
    </xf>
    <xf numFmtId="0" fontId="11" fillId="0" borderId="26" xfId="0" applyFont="1" applyBorder="1" applyAlignment="1">
      <alignment horizontal="right" vertical="center"/>
    </xf>
    <xf numFmtId="0" fontId="12" fillId="0" borderId="0" xfId="0" applyFont="1" applyAlignment="1">
      <alignment vertical="center"/>
    </xf>
    <xf numFmtId="0" fontId="12" fillId="2" borderId="68" xfId="0" applyFont="1" applyFill="1" applyBorder="1" applyAlignment="1">
      <alignment horizontal="center" vertical="top"/>
    </xf>
    <xf numFmtId="0" fontId="12" fillId="2" borderId="60" xfId="0" applyFont="1" applyFill="1" applyBorder="1" applyAlignment="1">
      <alignment horizontal="center" vertical="top"/>
    </xf>
    <xf numFmtId="0" fontId="12" fillId="2" borderId="60" xfId="0" applyFont="1" applyFill="1" applyBorder="1" applyAlignment="1">
      <alignment horizontal="justify" vertical="top"/>
    </xf>
    <xf numFmtId="0" fontId="12" fillId="2" borderId="6" xfId="0" applyFont="1" applyFill="1" applyBorder="1" applyAlignment="1">
      <alignment horizontal="justify" vertical="top"/>
    </xf>
    <xf numFmtId="0" fontId="14" fillId="5" borderId="113" xfId="0" applyFont="1" applyFill="1" applyBorder="1" applyAlignment="1">
      <alignment horizontal="center" vertical="center" wrapText="1"/>
    </xf>
    <xf numFmtId="0" fontId="14" fillId="5" borderId="114" xfId="0" applyFont="1" applyFill="1" applyBorder="1" applyAlignment="1">
      <alignment horizontal="center" vertical="center" wrapText="1"/>
    </xf>
    <xf numFmtId="0" fontId="11" fillId="0" borderId="84" xfId="0" applyFont="1" applyBorder="1" applyAlignment="1">
      <alignment horizontal="left" vertical="center" wrapText="1"/>
    </xf>
    <xf numFmtId="0" fontId="11" fillId="0" borderId="92" xfId="0" applyFont="1" applyBorder="1" applyAlignment="1">
      <alignment horizontal="left" vertical="center" wrapText="1"/>
    </xf>
    <xf numFmtId="0" fontId="11" fillId="0" borderId="91" xfId="0" applyFont="1" applyBorder="1" applyAlignment="1">
      <alignment horizontal="left" vertical="center" wrapText="1"/>
    </xf>
    <xf numFmtId="0" fontId="11" fillId="0" borderId="92" xfId="0" applyFont="1" applyBorder="1" applyAlignment="1">
      <alignment horizontal="right" vertical="center"/>
    </xf>
    <xf numFmtId="0" fontId="11" fillId="0" borderId="91" xfId="0" applyFont="1" applyBorder="1" applyAlignment="1">
      <alignment horizontal="right" vertical="center"/>
    </xf>
    <xf numFmtId="0" fontId="11" fillId="0" borderId="5" xfId="0" applyFont="1" applyBorder="1" applyAlignment="1">
      <alignment horizontal="left" vertical="center" wrapText="1"/>
    </xf>
    <xf numFmtId="0" fontId="11" fillId="0" borderId="7" xfId="0" applyFont="1" applyBorder="1" applyAlignment="1">
      <alignment horizontal="left" vertical="center"/>
    </xf>
    <xf numFmtId="0" fontId="11" fillId="0" borderId="7" xfId="0" applyFont="1" applyBorder="1" applyAlignment="1">
      <alignment horizontal="right" vertical="center"/>
    </xf>
    <xf numFmtId="0" fontId="12" fillId="2" borderId="110"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2" borderId="13" xfId="0" applyFont="1" applyFill="1" applyBorder="1" applyAlignment="1">
      <alignment horizontal="center" vertical="center" wrapText="1"/>
    </xf>
    <xf numFmtId="0" fontId="16" fillId="6" borderId="0" xfId="0" applyFont="1" applyFill="1" applyAlignment="1">
      <alignment horizontal="left" vertical="justify" wrapText="1"/>
    </xf>
    <xf numFmtId="0" fontId="17" fillId="6" borderId="0" xfId="0" applyFont="1" applyFill="1" applyAlignment="1">
      <alignment horizontal="left" vertical="top" wrapText="1"/>
    </xf>
    <xf numFmtId="0" fontId="11" fillId="0" borderId="3" xfId="0" applyFont="1" applyBorder="1" applyAlignment="1">
      <alignment vertical="top"/>
    </xf>
    <xf numFmtId="0" fontId="12" fillId="2" borderId="80" xfId="0" applyFont="1" applyFill="1" applyBorder="1" applyAlignment="1">
      <alignment horizontal="center" vertical="center" wrapText="1"/>
    </xf>
    <xf numFmtId="0" fontId="12" fillId="2" borderId="91" xfId="0" applyFont="1" applyFill="1" applyBorder="1" applyAlignment="1">
      <alignment horizontal="center" vertical="center" wrapText="1"/>
    </xf>
    <xf numFmtId="0" fontId="11" fillId="0" borderId="55" xfId="0" applyFont="1" applyBorder="1" applyAlignment="1">
      <alignment horizontal="center" vertical="center"/>
    </xf>
    <xf numFmtId="0" fontId="11" fillId="0" borderId="162" xfId="0" applyFont="1" applyBorder="1" applyAlignment="1">
      <alignment horizontal="center" vertical="center"/>
    </xf>
    <xf numFmtId="166" fontId="11" fillId="3" borderId="163" xfId="0" applyNumberFormat="1" applyFont="1" applyFill="1" applyBorder="1" applyAlignment="1">
      <alignment horizontal="right" vertical="center"/>
    </xf>
    <xf numFmtId="166" fontId="11" fillId="3" borderId="162" xfId="0" applyNumberFormat="1" applyFont="1" applyFill="1" applyBorder="1" applyAlignment="1">
      <alignment horizontal="right" vertical="center"/>
    </xf>
    <xf numFmtId="0" fontId="11" fillId="0" borderId="16" xfId="0" applyFont="1" applyBorder="1" applyAlignment="1">
      <alignment horizontal="left" vertical="center" wrapText="1"/>
    </xf>
    <xf numFmtId="0" fontId="11" fillId="0" borderId="164" xfId="0" applyFont="1" applyBorder="1" applyAlignment="1">
      <alignment horizontal="left" vertical="center" wrapText="1"/>
    </xf>
    <xf numFmtId="0" fontId="11" fillId="0" borderId="165" xfId="0" applyFont="1" applyBorder="1" applyAlignment="1">
      <alignment horizontal="right" vertical="center"/>
    </xf>
    <xf numFmtId="0" fontId="11" fillId="0" borderId="166" xfId="0" applyFont="1" applyBorder="1" applyAlignment="1">
      <alignment horizontal="right" vertical="center"/>
    </xf>
    <xf numFmtId="166" fontId="11" fillId="0" borderId="167" xfId="0" applyNumberFormat="1" applyFont="1" applyBorder="1" applyAlignment="1">
      <alignment horizontal="right" vertical="center"/>
    </xf>
    <xf numFmtId="166" fontId="11" fillId="0" borderId="164" xfId="0" applyNumberFormat="1" applyFont="1" applyBorder="1" applyAlignment="1">
      <alignment horizontal="right" vertical="center"/>
    </xf>
    <xf numFmtId="0" fontId="12" fillId="2" borderId="108" xfId="0" applyFont="1" applyFill="1" applyBorder="1" applyAlignment="1">
      <alignment horizontal="center" vertical="center" wrapText="1"/>
    </xf>
    <xf numFmtId="0" fontId="12" fillId="2" borderId="109" xfId="0" applyFont="1" applyFill="1" applyBorder="1" applyAlignment="1">
      <alignment horizontal="center" vertical="center" wrapText="1"/>
    </xf>
    <xf numFmtId="0" fontId="12" fillId="2" borderId="69" xfId="0" applyFont="1" applyFill="1" applyBorder="1" applyAlignment="1">
      <alignment horizontal="center" vertical="center" wrapText="1"/>
    </xf>
    <xf numFmtId="0" fontId="14" fillId="5" borderId="75" xfId="0" applyFont="1" applyFill="1" applyBorder="1" applyAlignment="1">
      <alignment horizontal="center" vertical="center" wrapText="1"/>
    </xf>
    <xf numFmtId="0" fontId="11" fillId="0" borderId="54" xfId="0" applyFont="1" applyBorder="1" applyAlignment="1">
      <alignment horizontal="left" vertical="center"/>
    </xf>
    <xf numFmtId="0" fontId="11" fillId="0" borderId="57" xfId="0" applyFont="1" applyBorder="1" applyAlignment="1">
      <alignment horizontal="left" vertical="center"/>
    </xf>
    <xf numFmtId="0" fontId="11" fillId="0" borderId="51" xfId="0" applyFont="1" applyBorder="1" applyAlignment="1">
      <alignment horizontal="left" vertical="center"/>
    </xf>
    <xf numFmtId="166" fontId="11" fillId="3" borderId="40" xfId="0" applyNumberFormat="1" applyFont="1" applyFill="1" applyBorder="1" applyAlignment="1">
      <alignment horizontal="right" vertical="center"/>
    </xf>
    <xf numFmtId="166" fontId="11" fillId="3" borderId="43" xfId="0" applyNumberFormat="1" applyFont="1" applyFill="1" applyBorder="1" applyAlignment="1">
      <alignment horizontal="right" vertical="center"/>
    </xf>
    <xf numFmtId="0" fontId="11" fillId="0" borderId="40" xfId="0" applyFont="1" applyBorder="1" applyAlignment="1">
      <alignment horizontal="left" vertical="center" wrapText="1"/>
    </xf>
    <xf numFmtId="0" fontId="11" fillId="0" borderId="43" xfId="0" applyFont="1" applyBorder="1" applyAlignment="1">
      <alignment horizontal="left" vertical="center" wrapText="1"/>
    </xf>
    <xf numFmtId="3" fontId="0" fillId="0" borderId="40" xfId="0" applyNumberFormat="1" applyBorder="1" applyAlignment="1">
      <alignment horizontal="right" vertical="center"/>
    </xf>
    <xf numFmtId="3" fontId="0" fillId="0" borderId="19" xfId="0" applyNumberFormat="1" applyBorder="1" applyAlignment="1">
      <alignment horizontal="right" vertical="center"/>
    </xf>
    <xf numFmtId="3" fontId="0" fillId="0" borderId="43" xfId="0" applyNumberFormat="1" applyBorder="1" applyAlignment="1">
      <alignment horizontal="right" vertical="center"/>
    </xf>
    <xf numFmtId="0" fontId="11" fillId="0" borderId="22" xfId="0" applyFont="1" applyBorder="1" applyAlignment="1">
      <alignment horizontal="left" vertical="center"/>
    </xf>
    <xf numFmtId="166" fontId="11" fillId="3" borderId="106" xfId="0" applyNumberFormat="1" applyFont="1" applyFill="1" applyBorder="1" applyAlignment="1">
      <alignment horizontal="right" vertical="center"/>
    </xf>
    <xf numFmtId="166" fontId="11" fillId="3" borderId="47" xfId="0" applyNumberFormat="1" applyFont="1" applyFill="1" applyBorder="1" applyAlignment="1">
      <alignment horizontal="right" vertical="center"/>
    </xf>
    <xf numFmtId="166" fontId="11" fillId="3" borderId="22" xfId="0" applyNumberFormat="1" applyFont="1" applyFill="1" applyBorder="1" applyAlignment="1">
      <alignment horizontal="right" vertical="center"/>
    </xf>
    <xf numFmtId="0" fontId="11" fillId="0" borderId="94" xfId="0" applyFont="1" applyBorder="1" applyAlignment="1">
      <alignment horizontal="left" vertical="center"/>
    </xf>
    <xf numFmtId="0" fontId="11" fillId="0" borderId="23" xfId="0" applyFont="1" applyBorder="1" applyAlignment="1">
      <alignment vertical="center" wrapText="1"/>
    </xf>
    <xf numFmtId="0" fontId="11" fillId="0" borderId="81" xfId="0" applyFont="1" applyBorder="1" applyAlignment="1">
      <alignment vertical="center" wrapText="1"/>
    </xf>
    <xf numFmtId="166" fontId="11" fillId="3" borderId="62" xfId="0" applyNumberFormat="1" applyFont="1" applyFill="1" applyBorder="1" applyAlignment="1">
      <alignment horizontal="right" vertical="center"/>
    </xf>
    <xf numFmtId="0" fontId="11" fillId="0" borderId="26" xfId="0" applyFont="1" applyBorder="1" applyAlignment="1">
      <alignment horizontal="center" vertical="center"/>
    </xf>
    <xf numFmtId="0" fontId="11" fillId="0" borderId="28" xfId="0" applyFont="1" applyBorder="1" applyAlignment="1">
      <alignment horizontal="center" vertical="center"/>
    </xf>
    <xf numFmtId="0" fontId="11" fillId="0" borderId="62" xfId="0" applyFont="1" applyBorder="1" applyAlignment="1">
      <alignment horizontal="left" vertical="center" wrapText="1"/>
    </xf>
    <xf numFmtId="0" fontId="11" fillId="0" borderId="62" xfId="0" applyFont="1" applyBorder="1" applyAlignment="1">
      <alignment horizontal="right" vertical="center"/>
    </xf>
    <xf numFmtId="166" fontId="11" fillId="3" borderId="45" xfId="0" applyNumberFormat="1" applyFont="1" applyFill="1" applyBorder="1" applyAlignment="1">
      <alignment horizontal="right" vertical="center"/>
    </xf>
    <xf numFmtId="166" fontId="11" fillId="3" borderId="81" xfId="0" applyNumberFormat="1" applyFont="1" applyFill="1" applyBorder="1" applyAlignment="1">
      <alignment horizontal="right" vertical="center"/>
    </xf>
    <xf numFmtId="0" fontId="11" fillId="0" borderId="62" xfId="0" applyFont="1" applyBorder="1" applyAlignment="1">
      <alignment horizontal="left" vertical="center"/>
    </xf>
    <xf numFmtId="0" fontId="11" fillId="0" borderId="92" xfId="0" applyFont="1" applyBorder="1" applyAlignment="1">
      <alignment horizontal="left" vertical="center"/>
    </xf>
    <xf numFmtId="0" fontId="11" fillId="0" borderId="91" xfId="0" applyFont="1" applyBorder="1" applyAlignment="1">
      <alignment horizontal="left" vertical="center"/>
    </xf>
    <xf numFmtId="0" fontId="11" fillId="0" borderId="138" xfId="0" applyFont="1" applyBorder="1" applyAlignment="1">
      <alignment horizontal="left" vertical="center" wrapText="1"/>
    </xf>
    <xf numFmtId="0" fontId="11" fillId="0" borderId="140" xfId="0" applyFont="1" applyBorder="1" applyAlignment="1">
      <alignment horizontal="left" vertical="center" wrapText="1"/>
    </xf>
    <xf numFmtId="0" fontId="11" fillId="0" borderId="45" xfId="0" applyFont="1" applyBorder="1" applyAlignment="1">
      <alignment horizontal="left" vertical="center"/>
    </xf>
    <xf numFmtId="0" fontId="11" fillId="0" borderId="46" xfId="0" applyFont="1" applyBorder="1" applyAlignment="1">
      <alignment horizontal="left" vertical="center"/>
    </xf>
    <xf numFmtId="0" fontId="11" fillId="0" borderId="138" xfId="0" applyFont="1" applyBorder="1" applyAlignment="1">
      <alignment horizontal="center" vertical="center" wrapText="1"/>
    </xf>
    <xf numFmtId="0" fontId="11" fillId="0" borderId="139" xfId="0" applyFont="1" applyBorder="1" applyAlignment="1">
      <alignment horizontal="center" vertical="center" wrapText="1"/>
    </xf>
    <xf numFmtId="0" fontId="11" fillId="0" borderId="140" xfId="0" applyFont="1" applyBorder="1" applyAlignment="1">
      <alignment horizontal="center" vertical="center" wrapText="1"/>
    </xf>
    <xf numFmtId="166" fontId="11" fillId="3" borderId="147" xfId="0" applyNumberFormat="1" applyFont="1" applyFill="1" applyBorder="1" applyAlignment="1">
      <alignment horizontal="center" vertical="center"/>
    </xf>
    <xf numFmtId="166" fontId="11" fillId="3" borderId="21" xfId="0" applyNumberFormat="1" applyFont="1" applyFill="1" applyBorder="1" applyAlignment="1">
      <alignment horizontal="right" vertical="center"/>
    </xf>
    <xf numFmtId="166" fontId="11" fillId="3" borderId="33" xfId="0" applyNumberFormat="1" applyFont="1" applyFill="1" applyBorder="1" applyAlignment="1">
      <alignment horizontal="right" vertical="center"/>
    </xf>
    <xf numFmtId="166" fontId="11" fillId="3" borderId="32" xfId="0" applyNumberFormat="1" applyFont="1" applyFill="1" applyBorder="1" applyAlignment="1">
      <alignment horizontal="right" vertical="center"/>
    </xf>
    <xf numFmtId="166" fontId="11" fillId="3" borderId="59" xfId="0" applyNumberFormat="1" applyFont="1" applyFill="1" applyBorder="1" applyAlignment="1">
      <alignment horizontal="right" vertical="center"/>
    </xf>
    <xf numFmtId="166" fontId="11" fillId="3" borderId="26" xfId="0" applyNumberFormat="1" applyFont="1" applyFill="1" applyBorder="1" applyAlignment="1">
      <alignment horizontal="center" vertical="center"/>
    </xf>
    <xf numFmtId="0" fontId="13" fillId="0" borderId="23" xfId="0" applyFont="1" applyBorder="1" applyAlignment="1">
      <alignment horizontal="left" vertical="center" wrapText="1"/>
    </xf>
    <xf numFmtId="166" fontId="11" fillId="3" borderId="6" xfId="0" applyNumberFormat="1" applyFont="1" applyFill="1" applyBorder="1" applyAlignment="1">
      <alignment horizontal="right" vertical="center"/>
    </xf>
    <xf numFmtId="166" fontId="11" fillId="3" borderId="105" xfId="0" applyNumberFormat="1" applyFont="1" applyFill="1" applyBorder="1" applyAlignment="1">
      <alignment horizontal="right" vertical="center"/>
    </xf>
    <xf numFmtId="166" fontId="11" fillId="3" borderId="147" xfId="0" applyNumberFormat="1" applyFont="1" applyFill="1" applyBorder="1" applyAlignment="1">
      <alignment horizontal="right" vertical="center"/>
    </xf>
    <xf numFmtId="0" fontId="22" fillId="0" borderId="45" xfId="0" applyFont="1" applyBorder="1" applyAlignment="1">
      <alignment horizontal="left" vertical="center"/>
    </xf>
    <xf numFmtId="0" fontId="22" fillId="0" borderId="23" xfId="0" applyFont="1" applyBorder="1" applyAlignment="1">
      <alignment horizontal="left" vertical="center"/>
    </xf>
    <xf numFmtId="0" fontId="11" fillId="0" borderId="59" xfId="0" applyFont="1" applyBorder="1" applyAlignment="1">
      <alignment horizontal="left" vertical="center" wrapText="1"/>
    </xf>
    <xf numFmtId="3" fontId="11" fillId="0" borderId="32" xfId="0" applyNumberFormat="1" applyFont="1" applyBorder="1" applyAlignment="1">
      <alignment horizontal="right" vertical="center"/>
    </xf>
    <xf numFmtId="3" fontId="11" fillId="0" borderId="21" xfId="0" applyNumberFormat="1" applyFont="1" applyBorder="1" applyAlignment="1">
      <alignment horizontal="right" vertical="center"/>
    </xf>
    <xf numFmtId="3" fontId="11" fillId="0" borderId="33" xfId="0" applyNumberFormat="1" applyFont="1" applyBorder="1" applyAlignment="1">
      <alignment horizontal="right" vertical="center"/>
    </xf>
    <xf numFmtId="3" fontId="11" fillId="0" borderId="40" xfId="0" applyNumberFormat="1" applyFont="1" applyBorder="1" applyAlignment="1">
      <alignment horizontal="right" vertical="center"/>
    </xf>
    <xf numFmtId="3" fontId="11" fillId="0" borderId="19" xfId="0" applyNumberFormat="1" applyFont="1" applyBorder="1" applyAlignment="1">
      <alignment horizontal="right" vertical="center"/>
    </xf>
    <xf numFmtId="3" fontId="11" fillId="0" borderId="43" xfId="0" applyNumberFormat="1" applyFont="1" applyBorder="1" applyAlignment="1">
      <alignment horizontal="right" vertical="center"/>
    </xf>
    <xf numFmtId="3" fontId="0" fillId="0" borderId="42" xfId="0" applyNumberFormat="1" applyBorder="1" applyAlignment="1">
      <alignment horizontal="right" vertical="center"/>
    </xf>
    <xf numFmtId="3" fontId="0" fillId="0" borderId="20" xfId="0" applyNumberFormat="1" applyBorder="1" applyAlignment="1">
      <alignment horizontal="right" vertical="center"/>
    </xf>
    <xf numFmtId="3" fontId="0" fillId="0" borderId="44" xfId="0" applyNumberFormat="1" applyBorder="1" applyAlignment="1">
      <alignment horizontal="right" vertical="center"/>
    </xf>
    <xf numFmtId="0" fontId="11" fillId="0" borderId="143" xfId="0" applyFont="1" applyBorder="1" applyAlignment="1">
      <alignment horizontal="left" vertical="center"/>
    </xf>
    <xf numFmtId="0" fontId="11" fillId="0" borderId="146" xfId="0" applyFont="1" applyBorder="1" applyAlignment="1">
      <alignment horizontal="left" vertical="center"/>
    </xf>
    <xf numFmtId="0" fontId="11" fillId="0" borderId="144" xfId="0" applyFont="1" applyBorder="1" applyAlignment="1">
      <alignment horizontal="left" vertical="center"/>
    </xf>
    <xf numFmtId="0" fontId="22" fillId="0" borderId="143" xfId="0" applyFont="1" applyBorder="1" applyAlignment="1">
      <alignment horizontal="left" vertical="center" wrapText="1"/>
    </xf>
    <xf numFmtId="0" fontId="22" fillId="0" borderId="144" xfId="0" applyFont="1" applyBorder="1" applyAlignment="1">
      <alignment horizontal="left" vertical="center" wrapText="1"/>
    </xf>
    <xf numFmtId="0" fontId="22" fillId="0" borderId="146" xfId="0" applyFont="1" applyBorder="1" applyAlignment="1">
      <alignment horizontal="left" vertical="center" wrapText="1"/>
    </xf>
    <xf numFmtId="0" fontId="13" fillId="0" borderId="84" xfId="0" applyFont="1" applyBorder="1" applyAlignment="1">
      <alignment horizontal="center" vertical="center" wrapText="1"/>
    </xf>
    <xf numFmtId="0" fontId="13" fillId="0" borderId="52" xfId="0" applyFont="1" applyBorder="1" applyAlignment="1">
      <alignment horizontal="center" vertical="center" wrapText="1"/>
    </xf>
    <xf numFmtId="0" fontId="13" fillId="0" borderId="85" xfId="0" applyFont="1" applyBorder="1" applyAlignment="1">
      <alignment horizontal="center" vertical="center" wrapText="1"/>
    </xf>
    <xf numFmtId="166" fontId="11" fillId="3" borderId="26" xfId="0" applyNumberFormat="1" applyFont="1" applyFill="1" applyBorder="1" applyAlignment="1">
      <alignment horizontal="left" vertical="center"/>
    </xf>
    <xf numFmtId="166" fontId="11" fillId="3" borderId="7" xfId="0" applyNumberFormat="1" applyFont="1" applyFill="1" applyBorder="1" applyAlignment="1">
      <alignment horizontal="left" vertical="center"/>
    </xf>
    <xf numFmtId="0" fontId="11" fillId="0" borderId="47" xfId="0" applyFont="1" applyBorder="1" applyAlignment="1">
      <alignment horizontal="left" vertical="center" wrapText="1"/>
    </xf>
    <xf numFmtId="0" fontId="11" fillId="0" borderId="106" xfId="0" applyFont="1" applyBorder="1" applyAlignment="1">
      <alignment horizontal="left" vertical="center" wrapText="1"/>
    </xf>
    <xf numFmtId="0" fontId="11" fillId="0" borderId="147" xfId="0" applyFont="1" applyBorder="1" applyAlignment="1">
      <alignment horizontal="left" vertical="center" wrapText="1"/>
    </xf>
    <xf numFmtId="14" fontId="11" fillId="0" borderId="47" xfId="0" applyNumberFormat="1" applyFont="1" applyBorder="1" applyAlignment="1">
      <alignment horizontal="right" vertical="center"/>
    </xf>
    <xf numFmtId="14" fontId="11" fillId="0" borderId="106" xfId="0" applyNumberFormat="1" applyFont="1" applyBorder="1" applyAlignment="1">
      <alignment horizontal="right" vertical="center"/>
    </xf>
    <xf numFmtId="14" fontId="11" fillId="0" borderId="147" xfId="0" applyNumberFormat="1" applyFont="1" applyBorder="1" applyAlignment="1">
      <alignment horizontal="right" vertical="center"/>
    </xf>
    <xf numFmtId="0" fontId="11" fillId="0" borderId="47" xfId="0" applyFont="1" applyBorder="1" applyAlignment="1">
      <alignment horizontal="center" vertical="center"/>
    </xf>
    <xf numFmtId="0" fontId="11" fillId="0" borderId="106" xfId="0" applyFont="1" applyBorder="1" applyAlignment="1">
      <alignment horizontal="center" vertical="center"/>
    </xf>
    <xf numFmtId="0" fontId="11" fillId="0" borderId="147" xfId="0" applyFont="1" applyBorder="1" applyAlignment="1">
      <alignment horizontal="center" vertical="center"/>
    </xf>
    <xf numFmtId="3" fontId="11" fillId="0" borderId="42" xfId="0" applyNumberFormat="1" applyFont="1" applyBorder="1" applyAlignment="1">
      <alignment horizontal="right" vertical="center"/>
    </xf>
    <xf numFmtId="3" fontId="11" fillId="0" borderId="20" xfId="0" applyNumberFormat="1" applyFont="1" applyBorder="1" applyAlignment="1">
      <alignment horizontal="right" vertical="center"/>
    </xf>
    <xf numFmtId="3" fontId="11" fillId="0" borderId="44" xfId="0" applyNumberFormat="1" applyFont="1" applyBorder="1" applyAlignment="1">
      <alignment horizontal="right" vertical="center"/>
    </xf>
    <xf numFmtId="3" fontId="0" fillId="0" borderId="24" xfId="0" applyNumberFormat="1" applyBorder="1" applyAlignment="1">
      <alignment horizontal="right" vertical="center"/>
    </xf>
    <xf numFmtId="3" fontId="0" fillId="0" borderId="25" xfId="0" applyNumberFormat="1" applyBorder="1" applyAlignment="1">
      <alignment horizontal="right" vertical="center"/>
    </xf>
    <xf numFmtId="166" fontId="11" fillId="3" borderId="54" xfId="0" applyNumberFormat="1" applyFont="1" applyFill="1" applyBorder="1" applyAlignment="1">
      <alignment horizontal="right" vertical="center"/>
    </xf>
    <xf numFmtId="166" fontId="11" fillId="3" borderId="51" xfId="0" applyNumberFormat="1" applyFont="1" applyFill="1" applyBorder="1" applyAlignment="1">
      <alignment horizontal="right" vertical="center"/>
    </xf>
    <xf numFmtId="0" fontId="11" fillId="0" borderId="23"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50" xfId="0" applyFont="1" applyBorder="1" applyAlignment="1">
      <alignment horizontal="left" vertical="center" wrapText="1"/>
    </xf>
    <xf numFmtId="0" fontId="11" fillId="0" borderId="50" xfId="0" applyFont="1" applyBorder="1" applyAlignment="1">
      <alignment horizontal="left" vertical="center"/>
    </xf>
    <xf numFmtId="0" fontId="11" fillId="0" borderId="65" xfId="0" applyFont="1" applyBorder="1" applyAlignment="1">
      <alignment horizontal="left" vertical="center"/>
    </xf>
    <xf numFmtId="0" fontId="12" fillId="2" borderId="158" xfId="0" applyFont="1" applyFill="1" applyBorder="1" applyAlignment="1">
      <alignment horizontal="center" vertical="top"/>
    </xf>
    <xf numFmtId="0" fontId="12" fillId="2" borderId="109" xfId="0" applyFont="1" applyFill="1" applyBorder="1" applyAlignment="1">
      <alignment horizontal="center" vertical="top"/>
    </xf>
    <xf numFmtId="0" fontId="12" fillId="2" borderId="69" xfId="0" applyFont="1" applyFill="1" applyBorder="1" applyAlignment="1">
      <alignment horizontal="center" vertical="top"/>
    </xf>
    <xf numFmtId="0" fontId="11" fillId="0" borderId="159" xfId="0" applyFont="1" applyBorder="1" applyAlignment="1">
      <alignment horizontal="left" vertical="center"/>
    </xf>
    <xf numFmtId="0" fontId="11" fillId="0" borderId="139" xfId="0" applyFont="1" applyBorder="1" applyAlignment="1">
      <alignment horizontal="left" vertical="center"/>
    </xf>
    <xf numFmtId="0" fontId="11" fillId="0" borderId="160" xfId="0" applyFont="1" applyBorder="1" applyAlignment="1">
      <alignment horizontal="left" vertical="center"/>
    </xf>
    <xf numFmtId="166" fontId="11" fillId="3" borderId="170" xfId="0" applyNumberFormat="1" applyFont="1" applyFill="1" applyBorder="1" applyAlignment="1">
      <alignment horizontal="center" vertical="center"/>
    </xf>
    <xf numFmtId="166" fontId="11" fillId="3" borderId="171" xfId="0" applyNumberFormat="1" applyFont="1" applyFill="1" applyBorder="1" applyAlignment="1">
      <alignment horizontal="center" vertical="center"/>
    </xf>
    <xf numFmtId="166" fontId="11" fillId="3" borderId="172" xfId="0" applyNumberFormat="1" applyFont="1" applyFill="1" applyBorder="1" applyAlignment="1">
      <alignment horizontal="center" vertical="center"/>
    </xf>
    <xf numFmtId="0" fontId="11" fillId="0" borderId="173" xfId="0" applyFont="1" applyBorder="1" applyAlignment="1">
      <alignment horizontal="left" vertical="top" wrapText="1"/>
    </xf>
    <xf numFmtId="0" fontId="11" fillId="0" borderId="172" xfId="0" applyFont="1" applyBorder="1" applyAlignment="1">
      <alignment horizontal="left" vertical="top" wrapText="1"/>
    </xf>
    <xf numFmtId="166" fontId="11" fillId="3" borderId="173" xfId="0" applyNumberFormat="1" applyFont="1" applyFill="1" applyBorder="1" applyAlignment="1">
      <alignment horizontal="right" vertical="center"/>
    </xf>
    <xf numFmtId="166" fontId="11" fillId="3" borderId="172" xfId="0" applyNumberFormat="1" applyFont="1" applyFill="1" applyBorder="1" applyAlignment="1">
      <alignment horizontal="right" vertical="center"/>
    </xf>
    <xf numFmtId="0" fontId="11" fillId="0" borderId="143" xfId="0" applyFont="1" applyBorder="1" applyAlignment="1">
      <alignment horizontal="left" vertical="center" wrapText="1"/>
    </xf>
    <xf numFmtId="0" fontId="11" fillId="0" borderId="144" xfId="0" applyFont="1" applyBorder="1" applyAlignment="1">
      <alignment horizontal="left" vertical="center" wrapText="1"/>
    </xf>
    <xf numFmtId="166" fontId="11" fillId="3" borderId="42" xfId="0" applyNumberFormat="1" applyFont="1" applyFill="1" applyBorder="1" applyAlignment="1">
      <alignment horizontal="right" vertical="center"/>
    </xf>
    <xf numFmtId="166" fontId="11" fillId="3" borderId="20" xfId="0" applyNumberFormat="1" applyFont="1" applyFill="1" applyBorder="1" applyAlignment="1">
      <alignment horizontal="right" vertical="center"/>
    </xf>
    <xf numFmtId="166" fontId="11" fillId="3" borderId="155" xfId="0" applyNumberFormat="1" applyFont="1" applyFill="1" applyBorder="1" applyAlignment="1">
      <alignment horizontal="right" vertical="center"/>
    </xf>
    <xf numFmtId="0" fontId="2" fillId="0" borderId="0" xfId="0" applyFont="1" applyAlignment="1">
      <alignment horizontal="center"/>
    </xf>
    <xf numFmtId="0" fontId="6" fillId="0" borderId="0" xfId="0" applyFont="1" applyAlignment="1">
      <alignment horizontal="center"/>
    </xf>
    <xf numFmtId="0" fontId="1" fillId="0" borderId="0" xfId="0" applyFont="1" applyAlignment="1">
      <alignment horizontal="justify"/>
    </xf>
    <xf numFmtId="0" fontId="3" fillId="2" borderId="1" xfId="0" applyFont="1" applyFill="1" applyBorder="1" applyAlignment="1">
      <alignment horizontal="center"/>
    </xf>
    <xf numFmtId="0" fontId="3" fillId="2" borderId="1" xfId="0" applyFont="1" applyFill="1" applyBorder="1" applyAlignment="1">
      <alignment horizontal="justify" vertical="center"/>
    </xf>
    <xf numFmtId="0" fontId="4" fillId="0" borderId="0" xfId="0" applyFont="1" applyAlignment="1">
      <alignment horizontal="justify" wrapText="1"/>
    </xf>
    <xf numFmtId="0" fontId="1" fillId="0" borderId="1" xfId="0" applyFont="1" applyBorder="1" applyAlignment="1">
      <alignment horizontal="justify" vertical="center"/>
    </xf>
    <xf numFmtId="166" fontId="1" fillId="3" borderId="1" xfId="0" applyNumberFormat="1" applyFont="1" applyFill="1" applyBorder="1" applyAlignment="1">
      <alignment vertical="center"/>
    </xf>
    <xf numFmtId="0" fontId="7" fillId="0" borderId="4" xfId="0" applyFont="1" applyBorder="1" applyAlignment="1">
      <alignment horizontal="justify" vertical="top" wrapText="1"/>
    </xf>
    <xf numFmtId="0" fontId="3" fillId="0" borderId="0" xfId="0" applyFont="1" applyAlignment="1"/>
    <xf numFmtId="0" fontId="1" fillId="0" borderId="3" xfId="0" applyFont="1" applyBorder="1" applyAlignment="1"/>
  </cellXfs>
  <cellStyles count="3">
    <cellStyle name="Moneda [0]" xfId="1" builtinId="7"/>
    <cellStyle name="Normal" xfId="0" builtinId="0"/>
    <cellStyle name="Porcentaje" xfId="2" builtinId="5"/>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CCCCC"/>
      <rgbColor rgb="00808080"/>
      <rgbColor rgb="009999FF"/>
      <rgbColor rgb="00993366"/>
      <rgbColor rgb="00E6E6E6"/>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927100</xdr:colOff>
      <xdr:row>0</xdr:row>
      <xdr:rowOff>146050</xdr:rowOff>
    </xdr:from>
    <xdr:to>
      <xdr:col>1</xdr:col>
      <xdr:colOff>292100</xdr:colOff>
      <xdr:row>2</xdr:row>
      <xdr:rowOff>571500</xdr:rowOff>
    </xdr:to>
    <xdr:pic>
      <xdr:nvPicPr>
        <xdr:cNvPr id="1052" name="Imagen 1">
          <a:extLst>
            <a:ext uri="{FF2B5EF4-FFF2-40B4-BE49-F238E27FC236}">
              <a16:creationId xmlns:a16="http://schemas.microsoft.com/office/drawing/2014/main" id="{22EEF7D6-5AB8-4C7B-8D35-34D97B9C78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7100" y="146050"/>
          <a:ext cx="800100" cy="72390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80808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U404"/>
  <sheetViews>
    <sheetView tabSelected="1" topLeftCell="A381" zoomScale="80" zoomScaleNormal="80" workbookViewId="0">
      <selection activeCell="A393" sqref="A393:D403"/>
    </sheetView>
  </sheetViews>
  <sheetFormatPr defaultColWidth="11.42578125" defaultRowHeight="14.1"/>
  <cols>
    <col min="1" max="1" width="20.42578125" style="20" customWidth="1"/>
    <col min="2" max="2" width="22" style="20" customWidth="1"/>
    <col min="3" max="3" width="29.28515625" style="20" customWidth="1"/>
    <col min="4" max="4" width="24.140625" style="20" customWidth="1"/>
    <col min="5" max="5" width="21.85546875" style="20" customWidth="1"/>
    <col min="6" max="6" width="22.42578125" style="20" bestFit="1" customWidth="1"/>
    <col min="7" max="7" width="29.140625" style="20" customWidth="1"/>
    <col min="8" max="8" width="12.42578125" style="56" customWidth="1"/>
    <col min="9" max="9" width="11.85546875" style="20" bestFit="1" customWidth="1"/>
    <col min="10" max="10" width="12.42578125" style="20" customWidth="1"/>
    <col min="11" max="11" width="11.85546875" style="20" bestFit="1" customWidth="1"/>
    <col min="12" max="12" width="17.140625" style="56" customWidth="1"/>
    <col min="13" max="13" width="19.28515625" style="20" customWidth="1"/>
    <col min="14" max="14" width="20" style="20" customWidth="1"/>
    <col min="15" max="15" width="14.7109375" style="20" customWidth="1"/>
    <col min="16" max="16" width="16.7109375" style="20" customWidth="1"/>
    <col min="17" max="17" width="18" style="20" customWidth="1"/>
    <col min="18" max="18" width="15" style="20" customWidth="1"/>
    <col min="19" max="19" width="11.42578125" style="20"/>
    <col min="20" max="20" width="15" style="20" bestFit="1" customWidth="1"/>
    <col min="21" max="21" width="14.7109375" style="20" customWidth="1"/>
    <col min="22" max="22" width="15.28515625" style="20" customWidth="1"/>
    <col min="23" max="16384" width="11.42578125" style="20"/>
  </cols>
  <sheetData>
    <row r="1" spans="1:255" s="18" customFormat="1" ht="14.25" customHeight="1">
      <c r="A1" s="497"/>
      <c r="B1" s="497"/>
      <c r="C1" s="498" t="s">
        <v>0</v>
      </c>
      <c r="D1" s="498"/>
      <c r="E1" s="498"/>
      <c r="F1" s="498"/>
      <c r="G1" s="498"/>
      <c r="H1" s="498"/>
      <c r="I1" s="498"/>
      <c r="J1" s="498"/>
      <c r="K1" s="498"/>
      <c r="L1" s="498"/>
      <c r="M1" s="498"/>
      <c r="N1" s="498"/>
      <c r="O1" s="498"/>
      <c r="P1" s="17" t="s">
        <v>1</v>
      </c>
      <c r="Q1" s="497" t="s">
        <v>2</v>
      </c>
      <c r="R1" s="497"/>
      <c r="IE1" s="19"/>
      <c r="IF1" s="19"/>
      <c r="IG1" s="19"/>
      <c r="IH1" s="19"/>
      <c r="II1" s="19"/>
      <c r="IJ1" s="19"/>
      <c r="IK1" s="19"/>
      <c r="IL1" s="19"/>
      <c r="IM1" s="19"/>
      <c r="IN1" s="19"/>
      <c r="IO1" s="19"/>
      <c r="IP1" s="19"/>
      <c r="IQ1" s="19"/>
      <c r="IR1" s="19"/>
      <c r="IS1" s="19"/>
      <c r="IT1" s="19"/>
      <c r="IU1" s="19"/>
    </row>
    <row r="2" spans="1:255" s="18" customFormat="1" ht="14.25" customHeight="1">
      <c r="A2" s="497"/>
      <c r="B2" s="497"/>
      <c r="C2" s="498"/>
      <c r="D2" s="498"/>
      <c r="E2" s="498"/>
      <c r="F2" s="498"/>
      <c r="G2" s="498"/>
      <c r="H2" s="498"/>
      <c r="I2" s="498"/>
      <c r="J2" s="498"/>
      <c r="K2" s="498"/>
      <c r="L2" s="498"/>
      <c r="M2" s="498"/>
      <c r="N2" s="498"/>
      <c r="O2" s="498"/>
      <c r="P2" s="17" t="s">
        <v>3</v>
      </c>
      <c r="Q2" s="499">
        <v>3</v>
      </c>
      <c r="R2" s="499"/>
      <c r="IE2" s="19"/>
      <c r="IF2" s="19"/>
      <c r="IG2" s="19"/>
      <c r="IH2" s="19"/>
      <c r="II2" s="19"/>
      <c r="IJ2" s="19"/>
      <c r="IK2" s="19"/>
      <c r="IL2" s="19"/>
      <c r="IM2" s="19"/>
      <c r="IN2" s="19"/>
      <c r="IO2" s="19"/>
      <c r="IP2" s="19"/>
      <c r="IQ2" s="19"/>
      <c r="IR2" s="19"/>
      <c r="IS2" s="19"/>
      <c r="IT2" s="19"/>
      <c r="IU2" s="19"/>
    </row>
    <row r="3" spans="1:255" s="18" customFormat="1" ht="40.5" customHeight="1">
      <c r="A3" s="497"/>
      <c r="B3" s="497"/>
      <c r="C3" s="498"/>
      <c r="D3" s="498"/>
      <c r="E3" s="498"/>
      <c r="F3" s="498"/>
      <c r="G3" s="498"/>
      <c r="H3" s="498"/>
      <c r="I3" s="498"/>
      <c r="J3" s="498"/>
      <c r="K3" s="498"/>
      <c r="L3" s="498"/>
      <c r="M3" s="498"/>
      <c r="N3" s="498"/>
      <c r="O3" s="498"/>
      <c r="P3" s="17" t="s">
        <v>4</v>
      </c>
      <c r="Q3" s="500">
        <v>45484</v>
      </c>
      <c r="R3" s="500"/>
      <c r="IE3" s="19"/>
      <c r="IF3" s="19"/>
      <c r="IG3" s="19"/>
      <c r="IH3" s="19"/>
      <c r="II3" s="19"/>
      <c r="IJ3" s="19"/>
      <c r="IK3" s="19"/>
      <c r="IL3" s="19"/>
      <c r="IM3" s="19"/>
      <c r="IN3" s="19"/>
      <c r="IO3" s="19"/>
      <c r="IP3" s="19"/>
      <c r="IQ3" s="19"/>
      <c r="IR3" s="19"/>
      <c r="IS3" s="19"/>
      <c r="IT3" s="19"/>
      <c r="IU3" s="19"/>
    </row>
    <row r="4" spans="1:255" ht="23.25" customHeight="1">
      <c r="A4" s="496" t="s">
        <v>5</v>
      </c>
      <c r="B4" s="496"/>
      <c r="C4" s="496"/>
      <c r="D4" s="496"/>
      <c r="E4" s="496"/>
      <c r="F4" s="496"/>
      <c r="G4" s="496"/>
      <c r="H4" s="496"/>
      <c r="I4" s="496"/>
      <c r="J4" s="496"/>
      <c r="K4" s="496"/>
      <c r="L4" s="496"/>
      <c r="M4" s="496"/>
      <c r="N4" s="496"/>
      <c r="O4" s="496"/>
      <c r="P4" s="496"/>
      <c r="Q4" s="496"/>
      <c r="R4" s="496"/>
    </row>
    <row r="5" spans="1:255" ht="7.5" customHeight="1">
      <c r="A5" s="21"/>
      <c r="D5" s="22"/>
    </row>
    <row r="6" spans="1:255">
      <c r="A6" s="21" t="s">
        <v>6</v>
      </c>
      <c r="B6" s="21"/>
      <c r="C6" s="21" t="s">
        <v>7</v>
      </c>
    </row>
    <row r="7" spans="1:255" ht="7.5" customHeight="1">
      <c r="A7" s="21"/>
      <c r="D7" s="22"/>
    </row>
    <row r="8" spans="1:255" ht="72.95" customHeight="1">
      <c r="A8" s="29" t="s">
        <v>8</v>
      </c>
      <c r="B8" s="21"/>
      <c r="C8" s="501" t="s">
        <v>9</v>
      </c>
      <c r="D8" s="501"/>
      <c r="E8" s="501"/>
      <c r="F8" s="501"/>
      <c r="G8" s="501"/>
      <c r="H8" s="501"/>
      <c r="I8" s="501"/>
      <c r="J8" s="501"/>
      <c r="K8" s="501"/>
      <c r="L8" s="501"/>
      <c r="M8" s="501"/>
      <c r="N8" s="501"/>
      <c r="O8" s="501"/>
      <c r="P8" s="501"/>
      <c r="Q8" s="501"/>
      <c r="R8" s="501"/>
    </row>
    <row r="9" spans="1:255">
      <c r="A9" s="21" t="s">
        <v>10</v>
      </c>
      <c r="B9" s="21"/>
      <c r="C9" s="21" t="s">
        <v>11</v>
      </c>
      <c r="D9" s="21"/>
      <c r="E9" s="21"/>
      <c r="F9" s="21"/>
      <c r="G9" s="21"/>
      <c r="H9" s="63"/>
      <c r="I9" s="21"/>
      <c r="J9" s="21"/>
      <c r="K9" s="21"/>
      <c r="L9" s="63"/>
      <c r="M9" s="21"/>
      <c r="N9" s="21"/>
      <c r="O9" s="21"/>
      <c r="P9" s="21"/>
      <c r="Q9" s="21"/>
      <c r="R9" s="21"/>
    </row>
    <row r="10" spans="1:255">
      <c r="A10" s="21" t="s">
        <v>12</v>
      </c>
      <c r="B10" s="21"/>
      <c r="C10" s="21" t="s">
        <v>11</v>
      </c>
      <c r="D10" s="21"/>
      <c r="E10" s="21"/>
      <c r="F10" s="21"/>
      <c r="G10" s="21"/>
      <c r="H10" s="63"/>
      <c r="I10" s="21"/>
      <c r="J10" s="21"/>
      <c r="K10" s="21"/>
      <c r="L10" s="63"/>
      <c r="M10" s="21"/>
      <c r="N10" s="21"/>
      <c r="O10" s="21"/>
      <c r="P10" s="21"/>
      <c r="Q10" s="21"/>
      <c r="R10" s="21"/>
    </row>
    <row r="11" spans="1:255">
      <c r="A11" s="21" t="s">
        <v>13</v>
      </c>
      <c r="B11" s="21"/>
      <c r="C11" s="21" t="s">
        <v>14</v>
      </c>
      <c r="D11" s="21"/>
      <c r="E11" s="21"/>
      <c r="F11" s="21"/>
      <c r="G11" s="21"/>
      <c r="H11" s="63"/>
      <c r="I11" s="21"/>
      <c r="J11" s="21"/>
      <c r="K11" s="21"/>
      <c r="L11" s="63"/>
      <c r="M11" s="21"/>
      <c r="N11" s="21"/>
      <c r="O11" s="21"/>
      <c r="P11" s="21"/>
      <c r="Q11" s="21"/>
      <c r="R11" s="21"/>
    </row>
    <row r="12" spans="1:255">
      <c r="A12" s="21" t="s">
        <v>15</v>
      </c>
      <c r="B12" s="21"/>
      <c r="C12" s="21"/>
      <c r="D12" s="21"/>
      <c r="E12" s="21"/>
      <c r="F12" s="21"/>
      <c r="G12" s="21"/>
      <c r="H12" s="63"/>
      <c r="I12" s="21"/>
      <c r="J12" s="21"/>
      <c r="K12" s="21"/>
      <c r="L12" s="63"/>
      <c r="M12" s="21"/>
      <c r="N12" s="21"/>
      <c r="O12" s="21"/>
      <c r="P12" s="21"/>
      <c r="Q12" s="21"/>
      <c r="R12" s="21"/>
    </row>
    <row r="13" spans="1:255">
      <c r="A13" s="21" t="s">
        <v>16</v>
      </c>
      <c r="B13" s="21"/>
      <c r="C13" s="21"/>
      <c r="D13" s="21"/>
      <c r="E13" s="21"/>
      <c r="F13" s="21"/>
      <c r="G13" s="21"/>
      <c r="H13" s="63"/>
      <c r="I13" s="21"/>
      <c r="J13" s="21"/>
      <c r="K13" s="21"/>
      <c r="L13" s="63"/>
      <c r="M13" s="21"/>
      <c r="N13" s="21"/>
      <c r="O13" s="21"/>
      <c r="P13" s="21"/>
      <c r="Q13" s="21"/>
      <c r="R13" s="21"/>
    </row>
    <row r="14" spans="1:255">
      <c r="A14" s="21" t="s">
        <v>17</v>
      </c>
      <c r="B14" s="21"/>
      <c r="C14" s="21" t="s">
        <v>18</v>
      </c>
      <c r="D14" s="21"/>
      <c r="E14" s="21"/>
      <c r="F14" s="21"/>
      <c r="G14" s="21"/>
      <c r="H14" s="63"/>
      <c r="I14" s="21"/>
      <c r="J14" s="21"/>
      <c r="K14" s="21"/>
      <c r="L14" s="63"/>
      <c r="M14" s="21"/>
      <c r="N14" s="21"/>
      <c r="O14" s="21"/>
      <c r="P14" s="21"/>
      <c r="Q14" s="21"/>
      <c r="R14" s="21"/>
    </row>
    <row r="15" spans="1:255">
      <c r="A15" s="21" t="s">
        <v>19</v>
      </c>
      <c r="B15" s="21"/>
      <c r="C15" s="21" t="s">
        <v>18</v>
      </c>
      <c r="D15" s="21"/>
      <c r="E15" s="21"/>
      <c r="F15" s="21"/>
      <c r="G15" s="21"/>
      <c r="H15" s="63"/>
      <c r="I15" s="21"/>
      <c r="J15" s="21"/>
      <c r="K15" s="21"/>
      <c r="L15" s="63"/>
      <c r="M15" s="21"/>
      <c r="N15" s="21"/>
      <c r="O15" s="21"/>
      <c r="P15" s="21"/>
      <c r="Q15" s="21"/>
      <c r="R15" s="21"/>
    </row>
    <row r="16" spans="1:255" ht="18.75" customHeight="1">
      <c r="A16" s="21" t="s">
        <v>20</v>
      </c>
      <c r="C16" s="20" t="s">
        <v>21</v>
      </c>
      <c r="D16" s="22"/>
    </row>
    <row r="17" spans="1:18" ht="18.75" customHeight="1">
      <c r="A17" s="21"/>
      <c r="D17" s="22"/>
    </row>
    <row r="18" spans="1:18">
      <c r="A18" s="531" t="s">
        <v>22</v>
      </c>
      <c r="B18" s="531"/>
      <c r="C18" s="531"/>
      <c r="D18" s="444" t="s">
        <v>23</v>
      </c>
      <c r="E18" s="444"/>
      <c r="F18" s="444"/>
      <c r="G18" s="444"/>
      <c r="H18" s="444"/>
      <c r="I18" s="444"/>
      <c r="J18" s="444"/>
      <c r="K18" s="444"/>
      <c r="L18" s="444"/>
      <c r="M18" s="444"/>
      <c r="N18" s="444"/>
      <c r="O18" s="444"/>
      <c r="P18" s="444"/>
      <c r="Q18" s="444"/>
      <c r="R18" s="444"/>
    </row>
    <row r="19" spans="1:18" ht="7.5" customHeight="1" thickBot="1"/>
    <row r="20" spans="1:18">
      <c r="A20" s="532" t="s">
        <v>24</v>
      </c>
      <c r="B20" s="533"/>
      <c r="C20" s="533"/>
      <c r="D20" s="533"/>
      <c r="E20" s="533" t="s">
        <v>25</v>
      </c>
      <c r="F20" s="533"/>
      <c r="G20" s="533"/>
      <c r="H20" s="533"/>
      <c r="I20" s="533"/>
      <c r="J20" s="533"/>
      <c r="K20" s="533"/>
      <c r="L20" s="533"/>
      <c r="M20" s="656" t="s">
        <v>26</v>
      </c>
      <c r="N20" s="657"/>
      <c r="O20" s="657"/>
      <c r="P20" s="658"/>
      <c r="Q20" s="534" t="s">
        <v>27</v>
      </c>
      <c r="R20" s="442" t="s">
        <v>28</v>
      </c>
    </row>
    <row r="21" spans="1:18" s="23" customFormat="1" ht="54.6" customHeight="1" thickBot="1">
      <c r="A21" s="312" t="s">
        <v>29</v>
      </c>
      <c r="B21" s="310" t="s">
        <v>30</v>
      </c>
      <c r="C21" s="310" t="s">
        <v>31</v>
      </c>
      <c r="D21" s="310" t="s">
        <v>32</v>
      </c>
      <c r="E21" s="310" t="s">
        <v>33</v>
      </c>
      <c r="F21" s="310" t="s">
        <v>34</v>
      </c>
      <c r="G21" s="310" t="s">
        <v>35</v>
      </c>
      <c r="H21" s="313" t="s">
        <v>36</v>
      </c>
      <c r="I21" s="310" t="s">
        <v>37</v>
      </c>
      <c r="J21" s="310" t="s">
        <v>38</v>
      </c>
      <c r="K21" s="310" t="s">
        <v>39</v>
      </c>
      <c r="L21" s="313" t="s">
        <v>40</v>
      </c>
      <c r="M21" s="310" t="s">
        <v>41</v>
      </c>
      <c r="N21" s="310" t="s">
        <v>42</v>
      </c>
      <c r="O21" s="310" t="s">
        <v>43</v>
      </c>
      <c r="P21" s="310" t="s">
        <v>44</v>
      </c>
      <c r="Q21" s="535"/>
      <c r="R21" s="443"/>
    </row>
    <row r="22" spans="1:18" s="23" customFormat="1" ht="27.6" customHeight="1" thickBot="1">
      <c r="A22" s="536" t="s">
        <v>45</v>
      </c>
      <c r="B22" s="537"/>
      <c r="C22" s="537"/>
      <c r="D22" s="537"/>
      <c r="E22" s="537"/>
      <c r="F22" s="537"/>
      <c r="G22" s="537"/>
      <c r="H22" s="315"/>
      <c r="I22" s="316"/>
      <c r="J22" s="316"/>
      <c r="K22" s="316"/>
      <c r="L22" s="315"/>
      <c r="M22" s="316"/>
      <c r="N22" s="316"/>
      <c r="O22" s="316"/>
      <c r="P22" s="316"/>
      <c r="Q22" s="317"/>
      <c r="R22" s="318"/>
    </row>
    <row r="23" spans="1:18" ht="30">
      <c r="A23" s="463" t="s">
        <v>46</v>
      </c>
      <c r="B23" s="460">
        <f>+D123</f>
        <v>1828089725.282176</v>
      </c>
      <c r="C23" s="311" t="s">
        <v>47</v>
      </c>
      <c r="D23" s="242">
        <v>60000000</v>
      </c>
      <c r="E23" s="445" t="s">
        <v>48</v>
      </c>
      <c r="F23" s="448" t="s">
        <v>49</v>
      </c>
      <c r="G23" s="539" t="s">
        <v>50</v>
      </c>
      <c r="H23" s="539" t="s">
        <v>51</v>
      </c>
      <c r="I23" s="511">
        <v>45603</v>
      </c>
      <c r="J23" s="513" t="s">
        <v>52</v>
      </c>
      <c r="K23" s="511">
        <v>45604</v>
      </c>
      <c r="L23" s="513" t="s">
        <v>53</v>
      </c>
      <c r="M23" s="506">
        <v>470572898</v>
      </c>
      <c r="N23" s="506"/>
      <c r="O23" s="506"/>
      <c r="P23" s="506">
        <f>+M23</f>
        <v>470572898</v>
      </c>
      <c r="Q23" s="506">
        <v>0</v>
      </c>
      <c r="R23" s="314"/>
    </row>
    <row r="24" spans="1:18" ht="15">
      <c r="A24" s="464"/>
      <c r="B24" s="461"/>
      <c r="C24" s="246" t="s">
        <v>54</v>
      </c>
      <c r="D24" s="191">
        <v>20000000</v>
      </c>
      <c r="E24" s="446"/>
      <c r="F24" s="449"/>
      <c r="G24" s="543"/>
      <c r="H24" s="543"/>
      <c r="I24" s="512"/>
      <c r="J24" s="514"/>
      <c r="K24" s="512"/>
      <c r="L24" s="514"/>
      <c r="M24" s="507"/>
      <c r="N24" s="507"/>
      <c r="O24" s="507"/>
      <c r="P24" s="507"/>
      <c r="Q24" s="507"/>
      <c r="R24" s="244"/>
    </row>
    <row r="25" spans="1:18" ht="105">
      <c r="A25" s="464"/>
      <c r="B25" s="461"/>
      <c r="C25" s="247" t="s">
        <v>55</v>
      </c>
      <c r="D25" s="191">
        <v>178500000</v>
      </c>
      <c r="E25" s="446"/>
      <c r="F25" s="449"/>
      <c r="G25" s="543"/>
      <c r="H25" s="543"/>
      <c r="I25" s="512"/>
      <c r="J25" s="514"/>
      <c r="K25" s="512"/>
      <c r="L25" s="514"/>
      <c r="M25" s="507"/>
      <c r="N25" s="507"/>
      <c r="O25" s="507"/>
      <c r="P25" s="507"/>
      <c r="Q25" s="507"/>
      <c r="R25" s="244"/>
    </row>
    <row r="26" spans="1:18" ht="180" customHeight="1">
      <c r="A26" s="464"/>
      <c r="B26" s="461"/>
      <c r="C26" s="247" t="s">
        <v>56</v>
      </c>
      <c r="D26" s="191">
        <v>155785073</v>
      </c>
      <c r="E26" s="446"/>
      <c r="F26" s="449"/>
      <c r="G26" s="635" t="s">
        <v>57</v>
      </c>
      <c r="H26" s="635" t="s">
        <v>58</v>
      </c>
      <c r="I26" s="638">
        <v>45635</v>
      </c>
      <c r="J26" s="641" t="s">
        <v>59</v>
      </c>
      <c r="K26" s="638">
        <v>45625</v>
      </c>
      <c r="L26" s="641" t="s">
        <v>53</v>
      </c>
      <c r="M26" s="580">
        <v>376458318</v>
      </c>
      <c r="N26" s="456"/>
      <c r="O26" s="456"/>
      <c r="P26" s="456">
        <f>+M26-N26-O23</f>
        <v>376458318</v>
      </c>
      <c r="Q26" s="507"/>
      <c r="R26" s="244"/>
    </row>
    <row r="27" spans="1:18" ht="15">
      <c r="A27" s="464"/>
      <c r="B27" s="461"/>
      <c r="C27" s="247" t="s">
        <v>60</v>
      </c>
      <c r="D27" s="191">
        <v>220000000</v>
      </c>
      <c r="E27" s="446"/>
      <c r="F27" s="449"/>
      <c r="G27" s="539"/>
      <c r="H27" s="539"/>
      <c r="I27" s="511"/>
      <c r="J27" s="513"/>
      <c r="K27" s="511"/>
      <c r="L27" s="513"/>
      <c r="M27" s="506"/>
      <c r="N27" s="454"/>
      <c r="O27" s="454"/>
      <c r="P27" s="454"/>
      <c r="Q27" s="507"/>
      <c r="R27" s="244"/>
    </row>
    <row r="28" spans="1:18" ht="45" customHeight="1">
      <c r="A28" s="464"/>
      <c r="B28" s="461"/>
      <c r="C28" s="247" t="s">
        <v>61</v>
      </c>
      <c r="D28" s="191">
        <v>50000000</v>
      </c>
      <c r="E28" s="446"/>
      <c r="F28" s="449"/>
      <c r="G28" s="635" t="s">
        <v>62</v>
      </c>
      <c r="H28" s="635" t="s">
        <v>63</v>
      </c>
      <c r="I28" s="638">
        <v>45645</v>
      </c>
      <c r="J28" s="641" t="s">
        <v>64</v>
      </c>
      <c r="K28" s="638">
        <v>45649</v>
      </c>
      <c r="L28" s="641" t="s">
        <v>53</v>
      </c>
      <c r="M28" s="580">
        <v>76211456</v>
      </c>
      <c r="N28" s="456"/>
      <c r="O28" s="456"/>
      <c r="P28" s="580">
        <f>+M28</f>
        <v>76211456</v>
      </c>
      <c r="Q28" s="507"/>
      <c r="R28" s="244"/>
    </row>
    <row r="29" spans="1:18" ht="60">
      <c r="A29" s="464"/>
      <c r="B29" s="461"/>
      <c r="C29" s="247" t="s">
        <v>65</v>
      </c>
      <c r="D29" s="191">
        <v>176214926.69440001</v>
      </c>
      <c r="E29" s="446"/>
      <c r="F29" s="449"/>
      <c r="G29" s="539"/>
      <c r="H29" s="539"/>
      <c r="I29" s="511"/>
      <c r="J29" s="513"/>
      <c r="K29" s="511"/>
      <c r="L29" s="513"/>
      <c r="M29" s="506"/>
      <c r="N29" s="454"/>
      <c r="O29" s="454"/>
      <c r="P29" s="506"/>
      <c r="Q29" s="507"/>
      <c r="R29" s="244"/>
    </row>
    <row r="30" spans="1:18" ht="30" customHeight="1">
      <c r="A30" s="464"/>
      <c r="B30" s="461"/>
      <c r="C30" s="247" t="s">
        <v>66</v>
      </c>
      <c r="D30" s="191">
        <v>30000000</v>
      </c>
      <c r="E30" s="446"/>
      <c r="F30" s="449"/>
      <c r="G30" s="635" t="s">
        <v>67</v>
      </c>
      <c r="H30" s="635" t="s">
        <v>68</v>
      </c>
      <c r="I30" s="638">
        <v>45709</v>
      </c>
      <c r="J30" s="641" t="s">
        <v>69</v>
      </c>
      <c r="K30" s="638">
        <v>45714</v>
      </c>
      <c r="L30" s="641" t="s">
        <v>70</v>
      </c>
      <c r="M30" s="580">
        <v>94114579</v>
      </c>
      <c r="N30" s="456"/>
      <c r="O30" s="456"/>
      <c r="P30" s="456">
        <f>+M30-N30-O30</f>
        <v>94114579</v>
      </c>
      <c r="Q30" s="507"/>
      <c r="R30" s="244"/>
    </row>
    <row r="31" spans="1:18" ht="45">
      <c r="A31" s="464"/>
      <c r="B31" s="461"/>
      <c r="C31" s="247" t="s">
        <v>71</v>
      </c>
      <c r="D31" s="191">
        <v>76211456</v>
      </c>
      <c r="E31" s="446"/>
      <c r="F31" s="449"/>
      <c r="G31" s="636"/>
      <c r="H31" s="636"/>
      <c r="I31" s="639"/>
      <c r="J31" s="642"/>
      <c r="K31" s="639"/>
      <c r="L31" s="642"/>
      <c r="M31" s="579"/>
      <c r="N31" s="467"/>
      <c r="O31" s="467"/>
      <c r="P31" s="467"/>
      <c r="Q31" s="507"/>
      <c r="R31" s="244"/>
    </row>
    <row r="32" spans="1:18" ht="15.95" thickBot="1">
      <c r="A32" s="464"/>
      <c r="B32" s="461"/>
      <c r="C32" s="248" t="s">
        <v>72</v>
      </c>
      <c r="D32" s="239">
        <v>50645795</v>
      </c>
      <c r="E32" s="447"/>
      <c r="F32" s="450"/>
      <c r="G32" s="637"/>
      <c r="H32" s="637"/>
      <c r="I32" s="640"/>
      <c r="J32" s="643"/>
      <c r="K32" s="640"/>
      <c r="L32" s="643"/>
      <c r="M32" s="611"/>
      <c r="N32" s="602"/>
      <c r="O32" s="602"/>
      <c r="P32" s="602"/>
      <c r="Q32" s="508"/>
      <c r="R32" s="245"/>
    </row>
    <row r="33" spans="1:18" s="32" customFormat="1" ht="30">
      <c r="A33" s="464"/>
      <c r="B33" s="461"/>
      <c r="C33" s="538" t="s">
        <v>73</v>
      </c>
      <c r="D33" s="506">
        <v>20000000</v>
      </c>
      <c r="E33" s="539" t="s">
        <v>74</v>
      </c>
      <c r="F33" s="541">
        <v>79895076</v>
      </c>
      <c r="G33" s="241" t="s">
        <v>75</v>
      </c>
      <c r="H33" s="215">
        <v>1</v>
      </c>
      <c r="I33" s="379">
        <v>45639</v>
      </c>
      <c r="J33" s="216" t="s">
        <v>76</v>
      </c>
      <c r="K33" s="379">
        <v>45652</v>
      </c>
      <c r="L33" s="215" t="s">
        <v>70</v>
      </c>
      <c r="M33" s="359">
        <v>10000000</v>
      </c>
      <c r="N33" s="359">
        <v>96600</v>
      </c>
      <c r="O33" s="359">
        <v>271000</v>
      </c>
      <c r="P33" s="242">
        <f>+M33-N33-O33</f>
        <v>9632400</v>
      </c>
      <c r="Q33" s="506">
        <f>+D33-M33-M34</f>
        <v>0</v>
      </c>
      <c r="R33" s="243"/>
    </row>
    <row r="34" spans="1:18" s="32" customFormat="1" ht="30.95" thickBot="1">
      <c r="A34" s="464"/>
      <c r="B34" s="461"/>
      <c r="C34" s="447"/>
      <c r="D34" s="508"/>
      <c r="E34" s="540"/>
      <c r="F34" s="542"/>
      <c r="G34" s="237" t="s">
        <v>77</v>
      </c>
      <c r="H34" s="232">
        <v>2</v>
      </c>
      <c r="I34" s="381">
        <v>45657</v>
      </c>
      <c r="J34" s="238" t="s">
        <v>78</v>
      </c>
      <c r="K34" s="381">
        <v>45667</v>
      </c>
      <c r="L34" s="232" t="s">
        <v>70</v>
      </c>
      <c r="M34" s="361">
        <v>10000000</v>
      </c>
      <c r="N34" s="361">
        <v>96600</v>
      </c>
      <c r="O34" s="361">
        <v>271000</v>
      </c>
      <c r="P34" s="239">
        <f>+M34-N34-O34</f>
        <v>9632400</v>
      </c>
      <c r="Q34" s="508"/>
      <c r="R34" s="240"/>
    </row>
    <row r="35" spans="1:18" ht="75">
      <c r="A35" s="464"/>
      <c r="B35" s="461"/>
      <c r="C35" s="651" t="s">
        <v>79</v>
      </c>
      <c r="D35" s="509">
        <v>720317457</v>
      </c>
      <c r="E35" s="181" t="s">
        <v>80</v>
      </c>
      <c r="F35" s="182">
        <v>1020835217</v>
      </c>
      <c r="G35" s="235" t="s">
        <v>81</v>
      </c>
      <c r="H35" s="215">
        <v>1</v>
      </c>
      <c r="I35" s="379">
        <v>45649</v>
      </c>
      <c r="J35" s="216" t="s">
        <v>82</v>
      </c>
      <c r="K35" s="379">
        <v>45652</v>
      </c>
      <c r="L35" s="215" t="s">
        <v>70</v>
      </c>
      <c r="M35" s="236">
        <v>8759874</v>
      </c>
      <c r="N35" s="148">
        <v>84620</v>
      </c>
      <c r="O35" s="148">
        <v>256000</v>
      </c>
      <c r="P35" s="52">
        <f>+M35-N35-O35</f>
        <v>8419254</v>
      </c>
      <c r="Q35" s="509">
        <f>+D35-700789920-P115-P116-P114</f>
        <v>17537</v>
      </c>
      <c r="R35" s="183"/>
    </row>
    <row r="36" spans="1:18" ht="60">
      <c r="A36" s="464"/>
      <c r="B36" s="461"/>
      <c r="C36" s="651"/>
      <c r="D36" s="509"/>
      <c r="E36" s="38" t="s">
        <v>83</v>
      </c>
      <c r="F36" s="39">
        <v>1032502044</v>
      </c>
      <c r="G36" s="224" t="s">
        <v>84</v>
      </c>
      <c r="H36" s="208">
        <v>1</v>
      </c>
      <c r="I36" s="380">
        <v>45649</v>
      </c>
      <c r="J36" s="209" t="s">
        <v>82</v>
      </c>
      <c r="K36" s="380">
        <v>45652</v>
      </c>
      <c r="L36" s="208" t="s">
        <v>70</v>
      </c>
      <c r="M36" s="227">
        <v>8759874</v>
      </c>
      <c r="N36" s="152"/>
      <c r="O36" s="152">
        <v>256000</v>
      </c>
      <c r="P36" s="26">
        <f t="shared" ref="P36:P98" si="0">+M36-N36-O36</f>
        <v>8503874</v>
      </c>
      <c r="Q36" s="509"/>
      <c r="R36" s="229"/>
    </row>
    <row r="37" spans="1:18" ht="75">
      <c r="A37" s="464"/>
      <c r="B37" s="461"/>
      <c r="C37" s="651"/>
      <c r="D37" s="509"/>
      <c r="E37" s="38" t="s">
        <v>85</v>
      </c>
      <c r="F37" s="39">
        <v>1107066415</v>
      </c>
      <c r="G37" s="224" t="s">
        <v>86</v>
      </c>
      <c r="H37" s="208">
        <v>1</v>
      </c>
      <c r="I37" s="380">
        <v>45649</v>
      </c>
      <c r="J37" s="209" t="s">
        <v>82</v>
      </c>
      <c r="K37" s="380">
        <v>45652</v>
      </c>
      <c r="L37" s="208" t="s">
        <v>70</v>
      </c>
      <c r="M37" s="227">
        <v>8759874</v>
      </c>
      <c r="N37" s="152"/>
      <c r="O37" s="152">
        <v>256000</v>
      </c>
      <c r="P37" s="26">
        <f t="shared" si="0"/>
        <v>8503874</v>
      </c>
      <c r="Q37" s="509"/>
      <c r="R37" s="229"/>
    </row>
    <row r="38" spans="1:18" ht="75">
      <c r="A38" s="464"/>
      <c r="B38" s="461"/>
      <c r="C38" s="651"/>
      <c r="D38" s="509"/>
      <c r="E38" s="38" t="s">
        <v>87</v>
      </c>
      <c r="F38" s="39">
        <v>52693031</v>
      </c>
      <c r="G38" s="225" t="s">
        <v>88</v>
      </c>
      <c r="H38" s="208">
        <v>1</v>
      </c>
      <c r="I38" s="380">
        <v>45649</v>
      </c>
      <c r="J38" s="209" t="s">
        <v>82</v>
      </c>
      <c r="K38" s="380">
        <v>45652</v>
      </c>
      <c r="L38" s="208" t="s">
        <v>70</v>
      </c>
      <c r="M38" s="227">
        <v>8759874</v>
      </c>
      <c r="N38" s="152"/>
      <c r="O38" s="152">
        <v>256000</v>
      </c>
      <c r="P38" s="26">
        <f t="shared" si="0"/>
        <v>8503874</v>
      </c>
      <c r="Q38" s="509"/>
      <c r="R38" s="229"/>
    </row>
    <row r="39" spans="1:18" ht="60">
      <c r="A39" s="464"/>
      <c r="B39" s="461"/>
      <c r="C39" s="651"/>
      <c r="D39" s="509"/>
      <c r="E39" s="38" t="s">
        <v>89</v>
      </c>
      <c r="F39" s="39">
        <v>79955353</v>
      </c>
      <c r="G39" s="224" t="s">
        <v>90</v>
      </c>
      <c r="H39" s="208">
        <v>1</v>
      </c>
      <c r="I39" s="380">
        <v>45649</v>
      </c>
      <c r="J39" s="209" t="s">
        <v>82</v>
      </c>
      <c r="K39" s="380">
        <v>45652</v>
      </c>
      <c r="L39" s="208" t="s">
        <v>70</v>
      </c>
      <c r="M39" s="227">
        <v>8759874</v>
      </c>
      <c r="N39" s="152"/>
      <c r="O39" s="152">
        <v>256000</v>
      </c>
      <c r="P39" s="26">
        <f t="shared" si="0"/>
        <v>8503874</v>
      </c>
      <c r="Q39" s="509"/>
      <c r="R39" s="229"/>
    </row>
    <row r="40" spans="1:18" ht="60">
      <c r="A40" s="464"/>
      <c r="B40" s="461"/>
      <c r="C40" s="651"/>
      <c r="D40" s="509"/>
      <c r="E40" s="38" t="s">
        <v>91</v>
      </c>
      <c r="F40" s="39">
        <v>79464043</v>
      </c>
      <c r="G40" s="224" t="s">
        <v>92</v>
      </c>
      <c r="H40" s="208">
        <v>1</v>
      </c>
      <c r="I40" s="380">
        <v>45649</v>
      </c>
      <c r="J40" s="209" t="s">
        <v>82</v>
      </c>
      <c r="K40" s="380">
        <v>45652</v>
      </c>
      <c r="L40" s="208" t="s">
        <v>70</v>
      </c>
      <c r="M40" s="227">
        <v>8759874</v>
      </c>
      <c r="N40" s="152"/>
      <c r="O40" s="152">
        <v>256000</v>
      </c>
      <c r="P40" s="26">
        <f t="shared" si="0"/>
        <v>8503874</v>
      </c>
      <c r="Q40" s="509"/>
      <c r="R40" s="229"/>
    </row>
    <row r="41" spans="1:18" ht="60">
      <c r="A41" s="464"/>
      <c r="B41" s="461"/>
      <c r="C41" s="651"/>
      <c r="D41" s="509"/>
      <c r="E41" s="38" t="s">
        <v>93</v>
      </c>
      <c r="F41" s="39">
        <v>1013657748</v>
      </c>
      <c r="G41" s="224" t="s">
        <v>94</v>
      </c>
      <c r="H41" s="208">
        <v>1</v>
      </c>
      <c r="I41" s="380">
        <v>45649</v>
      </c>
      <c r="J41" s="209" t="s">
        <v>82</v>
      </c>
      <c r="K41" s="380">
        <v>45652</v>
      </c>
      <c r="L41" s="208" t="s">
        <v>70</v>
      </c>
      <c r="M41" s="227">
        <v>8759874</v>
      </c>
      <c r="N41" s="152"/>
      <c r="O41" s="152">
        <v>256000</v>
      </c>
      <c r="P41" s="26">
        <f t="shared" si="0"/>
        <v>8503874</v>
      </c>
      <c r="Q41" s="509"/>
      <c r="R41" s="229"/>
    </row>
    <row r="42" spans="1:18" ht="60">
      <c r="A42" s="464"/>
      <c r="B42" s="461"/>
      <c r="C42" s="651"/>
      <c r="D42" s="509"/>
      <c r="E42" s="38" t="s">
        <v>95</v>
      </c>
      <c r="F42" s="39">
        <v>1152445531</v>
      </c>
      <c r="G42" s="224" t="s">
        <v>96</v>
      </c>
      <c r="H42" s="208">
        <v>1</v>
      </c>
      <c r="I42" s="380">
        <v>45649</v>
      </c>
      <c r="J42" s="209" t="s">
        <v>82</v>
      </c>
      <c r="K42" s="380">
        <v>45652</v>
      </c>
      <c r="L42" s="208" t="s">
        <v>70</v>
      </c>
      <c r="M42" s="227">
        <v>8759874</v>
      </c>
      <c r="N42" s="152"/>
      <c r="O42" s="152">
        <v>256000</v>
      </c>
      <c r="P42" s="26">
        <f t="shared" si="0"/>
        <v>8503874</v>
      </c>
      <c r="Q42" s="509"/>
      <c r="R42" s="229"/>
    </row>
    <row r="43" spans="1:18" ht="60">
      <c r="A43" s="464"/>
      <c r="B43" s="461"/>
      <c r="C43" s="651"/>
      <c r="D43" s="509"/>
      <c r="E43" s="38" t="s">
        <v>97</v>
      </c>
      <c r="F43" s="39">
        <v>1030641717</v>
      </c>
      <c r="G43" s="224" t="s">
        <v>98</v>
      </c>
      <c r="H43" s="208">
        <v>1</v>
      </c>
      <c r="I43" s="380">
        <v>45649</v>
      </c>
      <c r="J43" s="209" t="s">
        <v>82</v>
      </c>
      <c r="K43" s="380">
        <v>45652</v>
      </c>
      <c r="L43" s="208" t="s">
        <v>70</v>
      </c>
      <c r="M43" s="227">
        <v>8759874</v>
      </c>
      <c r="N43" s="152"/>
      <c r="O43" s="152">
        <v>256000</v>
      </c>
      <c r="P43" s="26">
        <f t="shared" si="0"/>
        <v>8503874</v>
      </c>
      <c r="Q43" s="509"/>
      <c r="R43" s="229"/>
    </row>
    <row r="44" spans="1:18" ht="75">
      <c r="A44" s="464"/>
      <c r="B44" s="461"/>
      <c r="C44" s="651"/>
      <c r="D44" s="509"/>
      <c r="E44" s="38" t="s">
        <v>99</v>
      </c>
      <c r="F44" s="39">
        <v>1032386501</v>
      </c>
      <c r="G44" s="225" t="s">
        <v>100</v>
      </c>
      <c r="H44" s="208">
        <v>1</v>
      </c>
      <c r="I44" s="380">
        <v>45649</v>
      </c>
      <c r="J44" s="209" t="s">
        <v>82</v>
      </c>
      <c r="K44" s="380">
        <v>45652</v>
      </c>
      <c r="L44" s="208" t="s">
        <v>70</v>
      </c>
      <c r="M44" s="227">
        <v>8759874</v>
      </c>
      <c r="N44" s="152"/>
      <c r="O44" s="152">
        <v>256000</v>
      </c>
      <c r="P44" s="26">
        <f t="shared" si="0"/>
        <v>8503874</v>
      </c>
      <c r="Q44" s="509"/>
      <c r="R44" s="229"/>
    </row>
    <row r="45" spans="1:18" ht="60">
      <c r="A45" s="464"/>
      <c r="B45" s="461"/>
      <c r="C45" s="651"/>
      <c r="D45" s="509"/>
      <c r="E45" s="38" t="s">
        <v>101</v>
      </c>
      <c r="F45" s="39">
        <v>1010049077</v>
      </c>
      <c r="G45" s="224" t="s">
        <v>102</v>
      </c>
      <c r="H45" s="208">
        <v>1</v>
      </c>
      <c r="I45" s="380">
        <v>45649</v>
      </c>
      <c r="J45" s="209" t="s">
        <v>82</v>
      </c>
      <c r="K45" s="380">
        <v>45652</v>
      </c>
      <c r="L45" s="208" t="s">
        <v>70</v>
      </c>
      <c r="M45" s="227">
        <v>8759874</v>
      </c>
      <c r="N45" s="152"/>
      <c r="O45" s="152">
        <v>256000</v>
      </c>
      <c r="P45" s="26">
        <f t="shared" si="0"/>
        <v>8503874</v>
      </c>
      <c r="Q45" s="509"/>
      <c r="R45" s="229"/>
    </row>
    <row r="46" spans="1:18" ht="60">
      <c r="A46" s="464"/>
      <c r="B46" s="461"/>
      <c r="C46" s="651"/>
      <c r="D46" s="509"/>
      <c r="E46" s="38" t="s">
        <v>103</v>
      </c>
      <c r="F46" s="39">
        <v>1000718722</v>
      </c>
      <c r="G46" s="224" t="s">
        <v>104</v>
      </c>
      <c r="H46" s="208">
        <v>1</v>
      </c>
      <c r="I46" s="380">
        <v>45649</v>
      </c>
      <c r="J46" s="209" t="s">
        <v>82</v>
      </c>
      <c r="K46" s="380">
        <v>45652</v>
      </c>
      <c r="L46" s="208" t="s">
        <v>70</v>
      </c>
      <c r="M46" s="227">
        <v>8759874</v>
      </c>
      <c r="N46" s="152"/>
      <c r="O46" s="152">
        <v>256000</v>
      </c>
      <c r="P46" s="26">
        <f t="shared" si="0"/>
        <v>8503874</v>
      </c>
      <c r="Q46" s="509"/>
      <c r="R46" s="229"/>
    </row>
    <row r="47" spans="1:18" ht="60">
      <c r="A47" s="464"/>
      <c r="B47" s="461"/>
      <c r="C47" s="651"/>
      <c r="D47" s="509"/>
      <c r="E47" s="38" t="s">
        <v>105</v>
      </c>
      <c r="F47" s="39">
        <v>1022346130</v>
      </c>
      <c r="G47" s="224" t="s">
        <v>106</v>
      </c>
      <c r="H47" s="208">
        <v>1</v>
      </c>
      <c r="I47" s="380">
        <v>45649</v>
      </c>
      <c r="J47" s="209" t="s">
        <v>82</v>
      </c>
      <c r="K47" s="380">
        <v>45652</v>
      </c>
      <c r="L47" s="208" t="s">
        <v>70</v>
      </c>
      <c r="M47" s="227">
        <v>8759874</v>
      </c>
      <c r="N47" s="152"/>
      <c r="O47" s="152">
        <v>256000</v>
      </c>
      <c r="P47" s="26">
        <f t="shared" si="0"/>
        <v>8503874</v>
      </c>
      <c r="Q47" s="509"/>
      <c r="R47" s="229"/>
    </row>
    <row r="48" spans="1:18" ht="60">
      <c r="A48" s="464"/>
      <c r="B48" s="461"/>
      <c r="C48" s="651"/>
      <c r="D48" s="509"/>
      <c r="E48" s="38" t="s">
        <v>107</v>
      </c>
      <c r="F48" s="39">
        <v>1110568612</v>
      </c>
      <c r="G48" s="224" t="s">
        <v>108</v>
      </c>
      <c r="H48" s="208">
        <v>1</v>
      </c>
      <c r="I48" s="380">
        <v>45649</v>
      </c>
      <c r="J48" s="209" t="s">
        <v>82</v>
      </c>
      <c r="K48" s="380">
        <v>45652</v>
      </c>
      <c r="L48" s="208" t="s">
        <v>70</v>
      </c>
      <c r="M48" s="227">
        <v>8759874</v>
      </c>
      <c r="N48" s="152"/>
      <c r="O48" s="152">
        <v>256000</v>
      </c>
      <c r="P48" s="26">
        <f t="shared" si="0"/>
        <v>8503874</v>
      </c>
      <c r="Q48" s="509"/>
      <c r="R48" s="229"/>
    </row>
    <row r="49" spans="1:18" ht="60">
      <c r="A49" s="464"/>
      <c r="B49" s="461"/>
      <c r="C49" s="651"/>
      <c r="D49" s="509"/>
      <c r="E49" s="38" t="s">
        <v>109</v>
      </c>
      <c r="F49" s="39">
        <v>1075876953</v>
      </c>
      <c r="G49" s="224" t="s">
        <v>110</v>
      </c>
      <c r="H49" s="208">
        <v>1</v>
      </c>
      <c r="I49" s="380">
        <v>45649</v>
      </c>
      <c r="J49" s="209" t="s">
        <v>82</v>
      </c>
      <c r="K49" s="380">
        <v>45652</v>
      </c>
      <c r="L49" s="208" t="s">
        <v>70</v>
      </c>
      <c r="M49" s="227">
        <v>8759874</v>
      </c>
      <c r="N49" s="152"/>
      <c r="O49" s="152">
        <v>256000</v>
      </c>
      <c r="P49" s="26">
        <f t="shared" si="0"/>
        <v>8503874</v>
      </c>
      <c r="Q49" s="509"/>
      <c r="R49" s="229"/>
    </row>
    <row r="50" spans="1:18" ht="60">
      <c r="A50" s="464"/>
      <c r="B50" s="461"/>
      <c r="C50" s="651"/>
      <c r="D50" s="509"/>
      <c r="E50" s="38" t="s">
        <v>111</v>
      </c>
      <c r="F50" s="39">
        <v>700299257</v>
      </c>
      <c r="G50" s="224" t="s">
        <v>112</v>
      </c>
      <c r="H50" s="208">
        <v>1</v>
      </c>
      <c r="I50" s="380">
        <v>45649</v>
      </c>
      <c r="J50" s="209" t="s">
        <v>82</v>
      </c>
      <c r="K50" s="380">
        <v>45652</v>
      </c>
      <c r="L50" s="208" t="s">
        <v>70</v>
      </c>
      <c r="M50" s="227">
        <v>8759874</v>
      </c>
      <c r="N50" s="152"/>
      <c r="O50" s="152">
        <v>256000</v>
      </c>
      <c r="P50" s="26">
        <f t="shared" si="0"/>
        <v>8503874</v>
      </c>
      <c r="Q50" s="509"/>
      <c r="R50" s="229"/>
    </row>
    <row r="51" spans="1:18" ht="60">
      <c r="A51" s="464"/>
      <c r="B51" s="461"/>
      <c r="C51" s="651"/>
      <c r="D51" s="509"/>
      <c r="E51" s="38" t="s">
        <v>113</v>
      </c>
      <c r="F51" s="39">
        <v>1022399340</v>
      </c>
      <c r="G51" s="224" t="s">
        <v>114</v>
      </c>
      <c r="H51" s="208">
        <v>1</v>
      </c>
      <c r="I51" s="380">
        <v>45649</v>
      </c>
      <c r="J51" s="209" t="s">
        <v>82</v>
      </c>
      <c r="K51" s="380">
        <v>45652</v>
      </c>
      <c r="L51" s="208" t="s">
        <v>70</v>
      </c>
      <c r="M51" s="227">
        <v>8759874</v>
      </c>
      <c r="N51" s="152"/>
      <c r="O51" s="152">
        <v>256000</v>
      </c>
      <c r="P51" s="26">
        <f t="shared" si="0"/>
        <v>8503874</v>
      </c>
      <c r="Q51" s="509"/>
      <c r="R51" s="229"/>
    </row>
    <row r="52" spans="1:18" ht="60">
      <c r="A52" s="464"/>
      <c r="B52" s="461"/>
      <c r="C52" s="651"/>
      <c r="D52" s="509"/>
      <c r="E52" s="38" t="s">
        <v>115</v>
      </c>
      <c r="F52" s="39">
        <v>1025322241</v>
      </c>
      <c r="G52" s="224" t="s">
        <v>116</v>
      </c>
      <c r="H52" s="208">
        <v>1</v>
      </c>
      <c r="I52" s="380">
        <v>45649</v>
      </c>
      <c r="J52" s="209" t="s">
        <v>82</v>
      </c>
      <c r="K52" s="380">
        <v>45652</v>
      </c>
      <c r="L52" s="208" t="s">
        <v>70</v>
      </c>
      <c r="M52" s="227">
        <v>8759874</v>
      </c>
      <c r="N52" s="152"/>
      <c r="O52" s="152">
        <v>256000</v>
      </c>
      <c r="P52" s="26">
        <f t="shared" si="0"/>
        <v>8503874</v>
      </c>
      <c r="Q52" s="509"/>
      <c r="R52" s="229"/>
    </row>
    <row r="53" spans="1:18" ht="60">
      <c r="A53" s="464"/>
      <c r="B53" s="461"/>
      <c r="C53" s="651"/>
      <c r="D53" s="509"/>
      <c r="E53" s="38" t="s">
        <v>117</v>
      </c>
      <c r="F53" s="39">
        <v>1024483530</v>
      </c>
      <c r="G53" s="224" t="s">
        <v>118</v>
      </c>
      <c r="H53" s="208">
        <v>1</v>
      </c>
      <c r="I53" s="380">
        <v>45649</v>
      </c>
      <c r="J53" s="209" t="s">
        <v>82</v>
      </c>
      <c r="K53" s="380">
        <v>45652</v>
      </c>
      <c r="L53" s="208" t="s">
        <v>70</v>
      </c>
      <c r="M53" s="227">
        <v>8759874</v>
      </c>
      <c r="N53" s="152"/>
      <c r="O53" s="152">
        <v>256000</v>
      </c>
      <c r="P53" s="26">
        <f t="shared" si="0"/>
        <v>8503874</v>
      </c>
      <c r="Q53" s="509"/>
      <c r="R53" s="229"/>
    </row>
    <row r="54" spans="1:18" ht="60">
      <c r="A54" s="464"/>
      <c r="B54" s="461"/>
      <c r="C54" s="651"/>
      <c r="D54" s="509"/>
      <c r="E54" s="38" t="s">
        <v>119</v>
      </c>
      <c r="F54" s="39">
        <v>1026298370</v>
      </c>
      <c r="G54" s="224" t="s">
        <v>120</v>
      </c>
      <c r="H54" s="208">
        <v>1</v>
      </c>
      <c r="I54" s="380">
        <v>45649</v>
      </c>
      <c r="J54" s="209" t="s">
        <v>82</v>
      </c>
      <c r="K54" s="380">
        <v>45652</v>
      </c>
      <c r="L54" s="208" t="s">
        <v>70</v>
      </c>
      <c r="M54" s="227">
        <v>8759874</v>
      </c>
      <c r="N54" s="152"/>
      <c r="O54" s="152">
        <v>256000</v>
      </c>
      <c r="P54" s="26">
        <f t="shared" si="0"/>
        <v>8503874</v>
      </c>
      <c r="Q54" s="509"/>
      <c r="R54" s="229"/>
    </row>
    <row r="55" spans="1:18" ht="60">
      <c r="A55" s="464"/>
      <c r="B55" s="461"/>
      <c r="C55" s="651"/>
      <c r="D55" s="509"/>
      <c r="E55" s="38" t="s">
        <v>121</v>
      </c>
      <c r="F55" s="39">
        <v>1010217209</v>
      </c>
      <c r="G55" s="224" t="s">
        <v>122</v>
      </c>
      <c r="H55" s="208">
        <v>1</v>
      </c>
      <c r="I55" s="380">
        <v>45649</v>
      </c>
      <c r="J55" s="209" t="s">
        <v>82</v>
      </c>
      <c r="K55" s="380">
        <v>45652</v>
      </c>
      <c r="L55" s="208" t="s">
        <v>70</v>
      </c>
      <c r="M55" s="227">
        <v>8759874</v>
      </c>
      <c r="N55" s="152"/>
      <c r="O55" s="152">
        <v>256000</v>
      </c>
      <c r="P55" s="26">
        <f t="shared" si="0"/>
        <v>8503874</v>
      </c>
      <c r="Q55" s="509"/>
      <c r="R55" s="229"/>
    </row>
    <row r="56" spans="1:18" ht="60">
      <c r="A56" s="464"/>
      <c r="B56" s="461"/>
      <c r="C56" s="651"/>
      <c r="D56" s="509"/>
      <c r="E56" s="38" t="s">
        <v>123</v>
      </c>
      <c r="F56" s="39">
        <v>1073682635</v>
      </c>
      <c r="G56" s="224" t="s">
        <v>124</v>
      </c>
      <c r="H56" s="208">
        <v>1</v>
      </c>
      <c r="I56" s="380">
        <v>45649</v>
      </c>
      <c r="J56" s="209" t="s">
        <v>82</v>
      </c>
      <c r="K56" s="380">
        <v>45652</v>
      </c>
      <c r="L56" s="208" t="s">
        <v>70</v>
      </c>
      <c r="M56" s="227">
        <v>8759874</v>
      </c>
      <c r="N56" s="152"/>
      <c r="O56" s="152">
        <v>256000</v>
      </c>
      <c r="P56" s="26">
        <f t="shared" si="0"/>
        <v>8503874</v>
      </c>
      <c r="Q56" s="509"/>
      <c r="R56" s="229"/>
    </row>
    <row r="57" spans="1:18" ht="60">
      <c r="A57" s="464"/>
      <c r="B57" s="461"/>
      <c r="C57" s="651"/>
      <c r="D57" s="509"/>
      <c r="E57" s="38" t="s">
        <v>125</v>
      </c>
      <c r="F57" s="39">
        <v>1032459188</v>
      </c>
      <c r="G57" s="224" t="s">
        <v>126</v>
      </c>
      <c r="H57" s="208">
        <v>1</v>
      </c>
      <c r="I57" s="380">
        <v>45649</v>
      </c>
      <c r="J57" s="209" t="s">
        <v>82</v>
      </c>
      <c r="K57" s="380">
        <v>45652</v>
      </c>
      <c r="L57" s="208" t="s">
        <v>70</v>
      </c>
      <c r="M57" s="227">
        <v>8759874</v>
      </c>
      <c r="N57" s="152"/>
      <c r="O57" s="152">
        <v>256000</v>
      </c>
      <c r="P57" s="26">
        <f t="shared" si="0"/>
        <v>8503874</v>
      </c>
      <c r="Q57" s="509"/>
      <c r="R57" s="229"/>
    </row>
    <row r="58" spans="1:18" ht="60">
      <c r="A58" s="464"/>
      <c r="B58" s="461"/>
      <c r="C58" s="651"/>
      <c r="D58" s="509"/>
      <c r="E58" s="38" t="s">
        <v>127</v>
      </c>
      <c r="F58" s="39">
        <v>80226887</v>
      </c>
      <c r="G58" s="224" t="s">
        <v>128</v>
      </c>
      <c r="H58" s="208">
        <v>1</v>
      </c>
      <c r="I58" s="380">
        <v>45649</v>
      </c>
      <c r="J58" s="209" t="s">
        <v>82</v>
      </c>
      <c r="K58" s="380">
        <v>45652</v>
      </c>
      <c r="L58" s="208" t="s">
        <v>70</v>
      </c>
      <c r="M58" s="227">
        <v>8759874</v>
      </c>
      <c r="N58" s="152"/>
      <c r="O58" s="152">
        <v>256000</v>
      </c>
      <c r="P58" s="26">
        <f t="shared" si="0"/>
        <v>8503874</v>
      </c>
      <c r="Q58" s="509"/>
      <c r="R58" s="229"/>
    </row>
    <row r="59" spans="1:18" ht="60">
      <c r="A59" s="464"/>
      <c r="B59" s="461"/>
      <c r="C59" s="651"/>
      <c r="D59" s="509"/>
      <c r="E59" s="38" t="s">
        <v>129</v>
      </c>
      <c r="F59" s="39">
        <v>1016004512</v>
      </c>
      <c r="G59" s="224" t="s">
        <v>130</v>
      </c>
      <c r="H59" s="208">
        <v>1</v>
      </c>
      <c r="I59" s="380">
        <v>45649</v>
      </c>
      <c r="J59" s="209" t="s">
        <v>82</v>
      </c>
      <c r="K59" s="380">
        <v>45652</v>
      </c>
      <c r="L59" s="208" t="s">
        <v>70</v>
      </c>
      <c r="M59" s="227">
        <v>8759874</v>
      </c>
      <c r="N59" s="152"/>
      <c r="O59" s="152">
        <v>256000</v>
      </c>
      <c r="P59" s="26">
        <f t="shared" si="0"/>
        <v>8503874</v>
      </c>
      <c r="Q59" s="509"/>
      <c r="R59" s="229"/>
    </row>
    <row r="60" spans="1:18" ht="60">
      <c r="A60" s="464"/>
      <c r="B60" s="461"/>
      <c r="C60" s="651"/>
      <c r="D60" s="509"/>
      <c r="E60" s="38" t="s">
        <v>131</v>
      </c>
      <c r="F60" s="39">
        <v>31565112</v>
      </c>
      <c r="G60" s="224" t="s">
        <v>132</v>
      </c>
      <c r="H60" s="208">
        <v>1</v>
      </c>
      <c r="I60" s="380">
        <v>45649</v>
      </c>
      <c r="J60" s="209" t="s">
        <v>133</v>
      </c>
      <c r="K60" s="380">
        <v>45653</v>
      </c>
      <c r="L60" s="208" t="s">
        <v>70</v>
      </c>
      <c r="M60" s="227">
        <v>8759874</v>
      </c>
      <c r="N60" s="152"/>
      <c r="O60" s="152">
        <v>132000</v>
      </c>
      <c r="P60" s="26">
        <f t="shared" si="0"/>
        <v>8627874</v>
      </c>
      <c r="Q60" s="509"/>
      <c r="R60" s="229"/>
    </row>
    <row r="61" spans="1:18" ht="60">
      <c r="A61" s="464"/>
      <c r="B61" s="461"/>
      <c r="C61" s="651"/>
      <c r="D61" s="509"/>
      <c r="E61" s="38" t="s">
        <v>134</v>
      </c>
      <c r="F61" s="39">
        <v>1013630215</v>
      </c>
      <c r="G61" s="224" t="s">
        <v>135</v>
      </c>
      <c r="H61" s="208">
        <v>1</v>
      </c>
      <c r="I61" s="380">
        <v>45649</v>
      </c>
      <c r="J61" s="209" t="s">
        <v>136</v>
      </c>
      <c r="K61" s="380">
        <v>45653</v>
      </c>
      <c r="L61" s="208" t="s">
        <v>70</v>
      </c>
      <c r="M61" s="227">
        <v>8759874</v>
      </c>
      <c r="N61" s="152"/>
      <c r="O61" s="152">
        <v>256000</v>
      </c>
      <c r="P61" s="26">
        <f t="shared" si="0"/>
        <v>8503874</v>
      </c>
      <c r="Q61" s="509"/>
      <c r="R61" s="229"/>
    </row>
    <row r="62" spans="1:18" ht="60">
      <c r="A62" s="464"/>
      <c r="B62" s="461"/>
      <c r="C62" s="651"/>
      <c r="D62" s="509"/>
      <c r="E62" s="38" t="s">
        <v>137</v>
      </c>
      <c r="F62" s="39">
        <v>80241563</v>
      </c>
      <c r="G62" s="224" t="s">
        <v>138</v>
      </c>
      <c r="H62" s="208">
        <v>1</v>
      </c>
      <c r="I62" s="382">
        <v>45649</v>
      </c>
      <c r="J62" s="209" t="s">
        <v>136</v>
      </c>
      <c r="K62" s="382">
        <v>45653</v>
      </c>
      <c r="L62" s="208" t="s">
        <v>70</v>
      </c>
      <c r="M62" s="227">
        <v>8759874</v>
      </c>
      <c r="N62" s="152"/>
      <c r="O62" s="152">
        <v>256000</v>
      </c>
      <c r="P62" s="26">
        <f t="shared" si="0"/>
        <v>8503874</v>
      </c>
      <c r="Q62" s="509"/>
      <c r="R62" s="229"/>
    </row>
    <row r="63" spans="1:18" ht="60">
      <c r="A63" s="464"/>
      <c r="B63" s="461"/>
      <c r="C63" s="651"/>
      <c r="D63" s="509"/>
      <c r="E63" s="38" t="s">
        <v>139</v>
      </c>
      <c r="F63" s="39">
        <v>1000855180</v>
      </c>
      <c r="G63" s="224" t="s">
        <v>140</v>
      </c>
      <c r="H63" s="208">
        <v>1</v>
      </c>
      <c r="I63" s="382">
        <v>45649</v>
      </c>
      <c r="J63" s="209" t="s">
        <v>133</v>
      </c>
      <c r="K63" s="382">
        <v>45653</v>
      </c>
      <c r="L63" s="208" t="s">
        <v>70</v>
      </c>
      <c r="M63" s="227">
        <v>8759874</v>
      </c>
      <c r="N63" s="152">
        <v>84620</v>
      </c>
      <c r="O63" s="152">
        <v>256000</v>
      </c>
      <c r="P63" s="26">
        <f t="shared" si="0"/>
        <v>8419254</v>
      </c>
      <c r="Q63" s="509"/>
      <c r="R63" s="229"/>
    </row>
    <row r="64" spans="1:18" ht="60">
      <c r="A64" s="464"/>
      <c r="B64" s="461"/>
      <c r="C64" s="651"/>
      <c r="D64" s="509"/>
      <c r="E64" s="38" t="s">
        <v>141</v>
      </c>
      <c r="F64" s="39">
        <v>80087530</v>
      </c>
      <c r="G64" s="224" t="s">
        <v>142</v>
      </c>
      <c r="H64" s="208">
        <v>1</v>
      </c>
      <c r="I64" s="382">
        <v>45649</v>
      </c>
      <c r="J64" s="209" t="s">
        <v>136</v>
      </c>
      <c r="K64" s="382">
        <v>45653</v>
      </c>
      <c r="L64" s="208" t="s">
        <v>70</v>
      </c>
      <c r="M64" s="227">
        <v>8759874</v>
      </c>
      <c r="N64" s="152">
        <v>84620</v>
      </c>
      <c r="O64" s="152">
        <v>256000</v>
      </c>
      <c r="P64" s="26">
        <f t="shared" si="0"/>
        <v>8419254</v>
      </c>
      <c r="Q64" s="509"/>
      <c r="R64" s="229"/>
    </row>
    <row r="65" spans="1:18" ht="60">
      <c r="A65" s="464"/>
      <c r="B65" s="461"/>
      <c r="C65" s="651"/>
      <c r="D65" s="509"/>
      <c r="E65" s="38" t="s">
        <v>143</v>
      </c>
      <c r="F65" s="39">
        <v>1022370364</v>
      </c>
      <c r="G65" s="224" t="s">
        <v>144</v>
      </c>
      <c r="H65" s="208">
        <v>1</v>
      </c>
      <c r="I65" s="382">
        <v>45649</v>
      </c>
      <c r="J65" s="209" t="s">
        <v>133</v>
      </c>
      <c r="K65" s="382">
        <v>45653</v>
      </c>
      <c r="L65" s="208" t="s">
        <v>70</v>
      </c>
      <c r="M65" s="227">
        <v>8759874</v>
      </c>
      <c r="N65" s="152"/>
      <c r="O65" s="152">
        <v>256000</v>
      </c>
      <c r="P65" s="26">
        <f t="shared" si="0"/>
        <v>8503874</v>
      </c>
      <c r="Q65" s="509"/>
      <c r="R65" s="229"/>
    </row>
    <row r="66" spans="1:18" ht="60">
      <c r="A66" s="464"/>
      <c r="B66" s="461"/>
      <c r="C66" s="651"/>
      <c r="D66" s="509"/>
      <c r="E66" s="38" t="s">
        <v>145</v>
      </c>
      <c r="F66" s="39">
        <v>1024511025</v>
      </c>
      <c r="G66" s="224" t="s">
        <v>146</v>
      </c>
      <c r="H66" s="208">
        <v>1</v>
      </c>
      <c r="I66" s="382">
        <v>45649</v>
      </c>
      <c r="J66" s="209" t="s">
        <v>133</v>
      </c>
      <c r="K66" s="382">
        <v>45653</v>
      </c>
      <c r="L66" s="208" t="s">
        <v>70</v>
      </c>
      <c r="M66" s="227">
        <v>8759874</v>
      </c>
      <c r="N66" s="152"/>
      <c r="O66" s="152">
        <v>256000</v>
      </c>
      <c r="P66" s="26">
        <f t="shared" si="0"/>
        <v>8503874</v>
      </c>
      <c r="Q66" s="509"/>
      <c r="R66" s="229"/>
    </row>
    <row r="67" spans="1:18" ht="60">
      <c r="A67" s="464"/>
      <c r="B67" s="461"/>
      <c r="C67" s="651"/>
      <c r="D67" s="509"/>
      <c r="E67" s="38" t="s">
        <v>147</v>
      </c>
      <c r="F67" s="39">
        <v>1020828113</v>
      </c>
      <c r="G67" s="224" t="s">
        <v>148</v>
      </c>
      <c r="H67" s="208">
        <v>1</v>
      </c>
      <c r="I67" s="382">
        <v>45649</v>
      </c>
      <c r="J67" s="209" t="s">
        <v>136</v>
      </c>
      <c r="K67" s="382">
        <v>45653</v>
      </c>
      <c r="L67" s="208" t="s">
        <v>70</v>
      </c>
      <c r="M67" s="227">
        <v>8759874</v>
      </c>
      <c r="N67" s="152"/>
      <c r="O67" s="152">
        <v>256000</v>
      </c>
      <c r="P67" s="26">
        <f t="shared" si="0"/>
        <v>8503874</v>
      </c>
      <c r="Q67" s="509"/>
      <c r="R67" s="229"/>
    </row>
    <row r="68" spans="1:18" ht="60">
      <c r="A68" s="464"/>
      <c r="B68" s="461"/>
      <c r="C68" s="651"/>
      <c r="D68" s="509"/>
      <c r="E68" s="38" t="s">
        <v>149</v>
      </c>
      <c r="F68" s="39">
        <v>1000257317</v>
      </c>
      <c r="G68" s="224" t="s">
        <v>150</v>
      </c>
      <c r="H68" s="208">
        <v>1</v>
      </c>
      <c r="I68" s="382">
        <v>45649</v>
      </c>
      <c r="J68" s="209" t="s">
        <v>136</v>
      </c>
      <c r="K68" s="382">
        <v>45653</v>
      </c>
      <c r="L68" s="208" t="s">
        <v>70</v>
      </c>
      <c r="M68" s="227">
        <v>8759874</v>
      </c>
      <c r="N68" s="152"/>
      <c r="O68" s="152">
        <v>256000</v>
      </c>
      <c r="P68" s="26">
        <f t="shared" si="0"/>
        <v>8503874</v>
      </c>
      <c r="Q68" s="509"/>
      <c r="R68" s="229"/>
    </row>
    <row r="69" spans="1:18" ht="60">
      <c r="A69" s="464"/>
      <c r="B69" s="461"/>
      <c r="C69" s="651"/>
      <c r="D69" s="509"/>
      <c r="E69" s="38" t="s">
        <v>151</v>
      </c>
      <c r="F69" s="39">
        <v>733688</v>
      </c>
      <c r="G69" s="224" t="s">
        <v>152</v>
      </c>
      <c r="H69" s="208">
        <v>1</v>
      </c>
      <c r="I69" s="382">
        <v>45649</v>
      </c>
      <c r="J69" s="209" t="s">
        <v>133</v>
      </c>
      <c r="K69" s="382">
        <v>45653</v>
      </c>
      <c r="L69" s="208" t="s">
        <v>70</v>
      </c>
      <c r="M69" s="227">
        <v>8759874</v>
      </c>
      <c r="N69" s="152"/>
      <c r="O69" s="152">
        <v>256000</v>
      </c>
      <c r="P69" s="26">
        <f t="shared" si="0"/>
        <v>8503874</v>
      </c>
      <c r="Q69" s="509"/>
      <c r="R69" s="229"/>
    </row>
    <row r="70" spans="1:18" ht="60">
      <c r="A70" s="464"/>
      <c r="B70" s="461"/>
      <c r="C70" s="651"/>
      <c r="D70" s="509"/>
      <c r="E70" s="38" t="s">
        <v>153</v>
      </c>
      <c r="F70" s="39">
        <v>1070969563</v>
      </c>
      <c r="G70" s="224" t="s">
        <v>154</v>
      </c>
      <c r="H70" s="208">
        <v>1</v>
      </c>
      <c r="I70" s="382">
        <v>45649</v>
      </c>
      <c r="J70" s="209" t="s">
        <v>133</v>
      </c>
      <c r="K70" s="382">
        <v>45653</v>
      </c>
      <c r="L70" s="208" t="s">
        <v>70</v>
      </c>
      <c r="M70" s="227">
        <v>8759874</v>
      </c>
      <c r="N70" s="152"/>
      <c r="O70" s="152">
        <v>256000</v>
      </c>
      <c r="P70" s="26">
        <f t="shared" si="0"/>
        <v>8503874</v>
      </c>
      <c r="Q70" s="509"/>
      <c r="R70" s="229"/>
    </row>
    <row r="71" spans="1:18" ht="60">
      <c r="A71" s="464"/>
      <c r="B71" s="461"/>
      <c r="C71" s="651"/>
      <c r="D71" s="509"/>
      <c r="E71" s="38" t="s">
        <v>155</v>
      </c>
      <c r="F71" s="39">
        <v>79921630</v>
      </c>
      <c r="G71" s="224" t="s">
        <v>156</v>
      </c>
      <c r="H71" s="208">
        <v>1</v>
      </c>
      <c r="I71" s="382">
        <v>45649</v>
      </c>
      <c r="J71" s="209" t="s">
        <v>136</v>
      </c>
      <c r="K71" s="382">
        <v>45653</v>
      </c>
      <c r="L71" s="208" t="s">
        <v>70</v>
      </c>
      <c r="M71" s="227">
        <v>8759874</v>
      </c>
      <c r="N71" s="152"/>
      <c r="O71" s="152">
        <v>132000</v>
      </c>
      <c r="P71" s="26">
        <f t="shared" si="0"/>
        <v>8627874</v>
      </c>
      <c r="Q71" s="509"/>
      <c r="R71" s="229"/>
    </row>
    <row r="72" spans="1:18" ht="60">
      <c r="A72" s="464"/>
      <c r="B72" s="461"/>
      <c r="C72" s="651"/>
      <c r="D72" s="509"/>
      <c r="E72" s="38" t="s">
        <v>157</v>
      </c>
      <c r="F72" s="39">
        <v>1020789573</v>
      </c>
      <c r="G72" s="224" t="s">
        <v>158</v>
      </c>
      <c r="H72" s="208">
        <v>1</v>
      </c>
      <c r="I72" s="382">
        <v>45649</v>
      </c>
      <c r="J72" s="209" t="s">
        <v>136</v>
      </c>
      <c r="K72" s="382">
        <v>45653</v>
      </c>
      <c r="L72" s="208" t="s">
        <v>70</v>
      </c>
      <c r="M72" s="227">
        <v>8759874</v>
      </c>
      <c r="N72" s="152"/>
      <c r="O72" s="152">
        <v>256000</v>
      </c>
      <c r="P72" s="26">
        <f t="shared" si="0"/>
        <v>8503874</v>
      </c>
      <c r="Q72" s="509"/>
      <c r="R72" s="229"/>
    </row>
    <row r="73" spans="1:18" ht="60">
      <c r="A73" s="464"/>
      <c r="B73" s="461"/>
      <c r="C73" s="651"/>
      <c r="D73" s="509"/>
      <c r="E73" s="38" t="s">
        <v>159</v>
      </c>
      <c r="F73" s="39">
        <v>1031646665</v>
      </c>
      <c r="G73" s="224" t="s">
        <v>160</v>
      </c>
      <c r="H73" s="208">
        <v>1</v>
      </c>
      <c r="I73" s="382">
        <v>45649</v>
      </c>
      <c r="J73" s="209" t="s">
        <v>133</v>
      </c>
      <c r="K73" s="382">
        <v>45653</v>
      </c>
      <c r="L73" s="208" t="s">
        <v>70</v>
      </c>
      <c r="M73" s="227">
        <v>8759874</v>
      </c>
      <c r="N73" s="152"/>
      <c r="O73" s="152">
        <v>256000</v>
      </c>
      <c r="P73" s="26">
        <f t="shared" si="0"/>
        <v>8503874</v>
      </c>
      <c r="Q73" s="509"/>
      <c r="R73" s="229"/>
    </row>
    <row r="74" spans="1:18" ht="60">
      <c r="A74" s="464"/>
      <c r="B74" s="461"/>
      <c r="C74" s="651"/>
      <c r="D74" s="509"/>
      <c r="E74" s="38" t="s">
        <v>161</v>
      </c>
      <c r="F74" s="39">
        <v>1022329650</v>
      </c>
      <c r="G74" s="224" t="s">
        <v>162</v>
      </c>
      <c r="H74" s="208">
        <v>1</v>
      </c>
      <c r="I74" s="382">
        <v>45649</v>
      </c>
      <c r="J74" s="209" t="s">
        <v>133</v>
      </c>
      <c r="K74" s="382">
        <v>45653</v>
      </c>
      <c r="L74" s="208" t="s">
        <v>70</v>
      </c>
      <c r="M74" s="227">
        <v>8759874</v>
      </c>
      <c r="N74" s="152"/>
      <c r="O74" s="152">
        <v>256000</v>
      </c>
      <c r="P74" s="26">
        <f t="shared" si="0"/>
        <v>8503874</v>
      </c>
      <c r="Q74" s="509"/>
      <c r="R74" s="229"/>
    </row>
    <row r="75" spans="1:18" ht="60">
      <c r="A75" s="464"/>
      <c r="B75" s="461"/>
      <c r="C75" s="651"/>
      <c r="D75" s="509"/>
      <c r="E75" s="38" t="s">
        <v>163</v>
      </c>
      <c r="F75" s="39">
        <v>53003627</v>
      </c>
      <c r="G75" s="224" t="s">
        <v>164</v>
      </c>
      <c r="H75" s="208">
        <v>1</v>
      </c>
      <c r="I75" s="382">
        <v>45649</v>
      </c>
      <c r="J75" s="209" t="s">
        <v>136</v>
      </c>
      <c r="K75" s="382">
        <v>45653</v>
      </c>
      <c r="L75" s="208" t="s">
        <v>70</v>
      </c>
      <c r="M75" s="227">
        <v>8759874</v>
      </c>
      <c r="N75" s="152"/>
      <c r="O75" s="152">
        <v>132000</v>
      </c>
      <c r="P75" s="26">
        <f t="shared" si="0"/>
        <v>8627874</v>
      </c>
      <c r="Q75" s="509"/>
      <c r="R75" s="229"/>
    </row>
    <row r="76" spans="1:18" ht="60">
      <c r="A76" s="464"/>
      <c r="B76" s="461"/>
      <c r="C76" s="651"/>
      <c r="D76" s="509"/>
      <c r="E76" s="38" t="s">
        <v>165</v>
      </c>
      <c r="F76" s="39">
        <v>1000268871</v>
      </c>
      <c r="G76" s="224" t="s">
        <v>166</v>
      </c>
      <c r="H76" s="208">
        <v>1</v>
      </c>
      <c r="I76" s="382">
        <v>45649</v>
      </c>
      <c r="J76" s="209" t="s">
        <v>136</v>
      </c>
      <c r="K76" s="382">
        <v>45653</v>
      </c>
      <c r="L76" s="208" t="s">
        <v>70</v>
      </c>
      <c r="M76" s="227">
        <v>8759874</v>
      </c>
      <c r="N76" s="152"/>
      <c r="O76" s="152">
        <v>256000</v>
      </c>
      <c r="P76" s="26">
        <f t="shared" si="0"/>
        <v>8503874</v>
      </c>
      <c r="Q76" s="509"/>
      <c r="R76" s="229"/>
    </row>
    <row r="77" spans="1:18" ht="60">
      <c r="A77" s="464"/>
      <c r="B77" s="461"/>
      <c r="C77" s="651"/>
      <c r="D77" s="509"/>
      <c r="E77" s="38" t="s">
        <v>167</v>
      </c>
      <c r="F77" s="39">
        <v>1026304308</v>
      </c>
      <c r="G77" s="224" t="s">
        <v>168</v>
      </c>
      <c r="H77" s="208">
        <v>1</v>
      </c>
      <c r="I77" s="382">
        <v>45649</v>
      </c>
      <c r="J77" s="209" t="s">
        <v>133</v>
      </c>
      <c r="K77" s="382">
        <v>45653</v>
      </c>
      <c r="L77" s="208" t="s">
        <v>70</v>
      </c>
      <c r="M77" s="227">
        <v>8759874</v>
      </c>
      <c r="N77" s="152"/>
      <c r="O77" s="152">
        <v>256000</v>
      </c>
      <c r="P77" s="26">
        <f t="shared" si="0"/>
        <v>8503874</v>
      </c>
      <c r="Q77" s="509"/>
      <c r="R77" s="229"/>
    </row>
    <row r="78" spans="1:18" ht="60">
      <c r="A78" s="464"/>
      <c r="B78" s="461"/>
      <c r="C78" s="651"/>
      <c r="D78" s="509"/>
      <c r="E78" s="38" t="s">
        <v>169</v>
      </c>
      <c r="F78" s="39">
        <v>1014289428</v>
      </c>
      <c r="G78" s="224" t="s">
        <v>170</v>
      </c>
      <c r="H78" s="208">
        <v>1</v>
      </c>
      <c r="I78" s="382">
        <v>45649</v>
      </c>
      <c r="J78" s="209" t="s">
        <v>133</v>
      </c>
      <c r="K78" s="382">
        <v>45653</v>
      </c>
      <c r="L78" s="208" t="s">
        <v>70</v>
      </c>
      <c r="M78" s="227">
        <v>8759874</v>
      </c>
      <c r="N78" s="152"/>
      <c r="O78" s="152">
        <v>256000</v>
      </c>
      <c r="P78" s="26">
        <f t="shared" si="0"/>
        <v>8503874</v>
      </c>
      <c r="Q78" s="509"/>
      <c r="R78" s="229"/>
    </row>
    <row r="79" spans="1:18" ht="60">
      <c r="A79" s="464"/>
      <c r="B79" s="461"/>
      <c r="C79" s="651"/>
      <c r="D79" s="509"/>
      <c r="E79" s="38" t="s">
        <v>171</v>
      </c>
      <c r="F79" s="39">
        <v>1121906801</v>
      </c>
      <c r="G79" s="224" t="s">
        <v>172</v>
      </c>
      <c r="H79" s="208">
        <v>1</v>
      </c>
      <c r="I79" s="382">
        <v>45649</v>
      </c>
      <c r="J79" s="209" t="s">
        <v>136</v>
      </c>
      <c r="K79" s="382">
        <v>45653</v>
      </c>
      <c r="L79" s="208" t="s">
        <v>70</v>
      </c>
      <c r="M79" s="227">
        <v>8759874</v>
      </c>
      <c r="N79" s="152"/>
      <c r="O79" s="152">
        <v>256000</v>
      </c>
      <c r="P79" s="26">
        <f t="shared" si="0"/>
        <v>8503874</v>
      </c>
      <c r="Q79" s="509"/>
      <c r="R79" s="229"/>
    </row>
    <row r="80" spans="1:18" ht="60">
      <c r="A80" s="464"/>
      <c r="B80" s="461"/>
      <c r="C80" s="651"/>
      <c r="D80" s="509"/>
      <c r="E80" s="38" t="s">
        <v>173</v>
      </c>
      <c r="F80" s="39">
        <v>52747026</v>
      </c>
      <c r="G80" s="224" t="s">
        <v>174</v>
      </c>
      <c r="H80" s="208">
        <v>1</v>
      </c>
      <c r="I80" s="382">
        <v>45649</v>
      </c>
      <c r="J80" s="209" t="s">
        <v>136</v>
      </c>
      <c r="K80" s="382">
        <v>45653</v>
      </c>
      <c r="L80" s="208" t="s">
        <v>70</v>
      </c>
      <c r="M80" s="227">
        <v>8759874</v>
      </c>
      <c r="N80" s="152"/>
      <c r="O80" s="152">
        <v>256000</v>
      </c>
      <c r="P80" s="26">
        <f t="shared" si="0"/>
        <v>8503874</v>
      </c>
      <c r="Q80" s="509"/>
      <c r="R80" s="229"/>
    </row>
    <row r="81" spans="1:18" ht="60">
      <c r="A81" s="464"/>
      <c r="B81" s="461"/>
      <c r="C81" s="651"/>
      <c r="D81" s="509"/>
      <c r="E81" s="38" t="s">
        <v>175</v>
      </c>
      <c r="F81" s="39">
        <v>1032424194</v>
      </c>
      <c r="G81" s="224" t="s">
        <v>176</v>
      </c>
      <c r="H81" s="208">
        <v>1</v>
      </c>
      <c r="I81" s="382">
        <v>45649</v>
      </c>
      <c r="J81" s="209" t="s">
        <v>133</v>
      </c>
      <c r="K81" s="382">
        <v>45653</v>
      </c>
      <c r="L81" s="208" t="s">
        <v>70</v>
      </c>
      <c r="M81" s="227">
        <v>8759874</v>
      </c>
      <c r="N81" s="152"/>
      <c r="O81" s="152">
        <v>256000</v>
      </c>
      <c r="P81" s="26">
        <f t="shared" si="0"/>
        <v>8503874</v>
      </c>
      <c r="Q81" s="509"/>
      <c r="R81" s="229"/>
    </row>
    <row r="82" spans="1:18" ht="60">
      <c r="A82" s="464"/>
      <c r="B82" s="461"/>
      <c r="C82" s="651"/>
      <c r="D82" s="509"/>
      <c r="E82" s="38" t="s">
        <v>177</v>
      </c>
      <c r="F82" s="39">
        <v>1013660926</v>
      </c>
      <c r="G82" s="224" t="s">
        <v>178</v>
      </c>
      <c r="H82" s="208">
        <v>1</v>
      </c>
      <c r="I82" s="382">
        <v>45649</v>
      </c>
      <c r="J82" s="209" t="s">
        <v>133</v>
      </c>
      <c r="K82" s="382">
        <v>45653</v>
      </c>
      <c r="L82" s="208" t="s">
        <v>70</v>
      </c>
      <c r="M82" s="227">
        <v>8759874</v>
      </c>
      <c r="N82" s="152"/>
      <c r="O82" s="152">
        <v>256000</v>
      </c>
      <c r="P82" s="26">
        <f t="shared" si="0"/>
        <v>8503874</v>
      </c>
      <c r="Q82" s="509"/>
      <c r="R82" s="229"/>
    </row>
    <row r="83" spans="1:18" ht="60">
      <c r="A83" s="464"/>
      <c r="B83" s="461"/>
      <c r="C83" s="651"/>
      <c r="D83" s="509"/>
      <c r="E83" s="38" t="s">
        <v>179</v>
      </c>
      <c r="F83" s="39">
        <v>1020803114</v>
      </c>
      <c r="G83" s="224" t="s">
        <v>180</v>
      </c>
      <c r="H83" s="208">
        <v>1</v>
      </c>
      <c r="I83" s="382">
        <v>45649</v>
      </c>
      <c r="J83" s="209" t="s">
        <v>136</v>
      </c>
      <c r="K83" s="382">
        <v>45653</v>
      </c>
      <c r="L83" s="208" t="s">
        <v>70</v>
      </c>
      <c r="M83" s="227">
        <v>8759874</v>
      </c>
      <c r="N83" s="152"/>
      <c r="O83" s="152">
        <v>256000</v>
      </c>
      <c r="P83" s="26">
        <f t="shared" si="0"/>
        <v>8503874</v>
      </c>
      <c r="Q83" s="509"/>
      <c r="R83" s="229"/>
    </row>
    <row r="84" spans="1:18" ht="60">
      <c r="A84" s="464"/>
      <c r="B84" s="461"/>
      <c r="C84" s="651"/>
      <c r="D84" s="509"/>
      <c r="E84" s="38" t="s">
        <v>181</v>
      </c>
      <c r="F84" s="39">
        <v>1014289233</v>
      </c>
      <c r="G84" s="224" t="s">
        <v>182</v>
      </c>
      <c r="H84" s="208">
        <v>1</v>
      </c>
      <c r="I84" s="382">
        <v>45649</v>
      </c>
      <c r="J84" s="209" t="s">
        <v>136</v>
      </c>
      <c r="K84" s="382">
        <v>45653</v>
      </c>
      <c r="L84" s="208" t="s">
        <v>70</v>
      </c>
      <c r="M84" s="227">
        <v>8759874</v>
      </c>
      <c r="N84" s="152"/>
      <c r="O84" s="152">
        <v>340620</v>
      </c>
      <c r="P84" s="26">
        <f t="shared" si="0"/>
        <v>8419254</v>
      </c>
      <c r="Q84" s="509"/>
      <c r="R84" s="229"/>
    </row>
    <row r="85" spans="1:18" ht="60">
      <c r="A85" s="464"/>
      <c r="B85" s="461"/>
      <c r="C85" s="651"/>
      <c r="D85" s="509"/>
      <c r="E85" s="38" t="s">
        <v>183</v>
      </c>
      <c r="F85" s="39">
        <v>52123788</v>
      </c>
      <c r="G85" s="224" t="s">
        <v>184</v>
      </c>
      <c r="H85" s="208">
        <v>1</v>
      </c>
      <c r="I85" s="382">
        <v>45649</v>
      </c>
      <c r="J85" s="209" t="s">
        <v>133</v>
      </c>
      <c r="K85" s="382">
        <v>45653</v>
      </c>
      <c r="L85" s="208" t="s">
        <v>70</v>
      </c>
      <c r="M85" s="227">
        <v>8759874</v>
      </c>
      <c r="N85" s="152"/>
      <c r="O85" s="152">
        <v>256000</v>
      </c>
      <c r="P85" s="26">
        <f t="shared" si="0"/>
        <v>8503874</v>
      </c>
      <c r="Q85" s="509"/>
      <c r="R85" s="229"/>
    </row>
    <row r="86" spans="1:18" ht="60">
      <c r="A86" s="464"/>
      <c r="B86" s="461"/>
      <c r="C86" s="651"/>
      <c r="D86" s="509"/>
      <c r="E86" s="38" t="s">
        <v>185</v>
      </c>
      <c r="F86" s="39">
        <v>1071163497</v>
      </c>
      <c r="G86" s="224" t="s">
        <v>186</v>
      </c>
      <c r="H86" s="208">
        <v>1</v>
      </c>
      <c r="I86" s="382">
        <v>45649</v>
      </c>
      <c r="J86" s="209" t="s">
        <v>133</v>
      </c>
      <c r="K86" s="382">
        <v>45653</v>
      </c>
      <c r="L86" s="208" t="s">
        <v>70</v>
      </c>
      <c r="M86" s="227">
        <v>8759874</v>
      </c>
      <c r="N86" s="152"/>
      <c r="O86" s="152">
        <v>256000</v>
      </c>
      <c r="P86" s="26">
        <f t="shared" si="0"/>
        <v>8503874</v>
      </c>
      <c r="Q86" s="509"/>
      <c r="R86" s="229"/>
    </row>
    <row r="87" spans="1:18" ht="60">
      <c r="A87" s="464"/>
      <c r="B87" s="461"/>
      <c r="C87" s="651"/>
      <c r="D87" s="509"/>
      <c r="E87" s="38" t="s">
        <v>187</v>
      </c>
      <c r="F87" s="39">
        <v>1030642238</v>
      </c>
      <c r="G87" s="224" t="s">
        <v>188</v>
      </c>
      <c r="H87" s="208">
        <v>1</v>
      </c>
      <c r="I87" s="382">
        <v>45649</v>
      </c>
      <c r="J87" s="209" t="s">
        <v>136</v>
      </c>
      <c r="K87" s="382">
        <v>45653</v>
      </c>
      <c r="L87" s="208" t="s">
        <v>70</v>
      </c>
      <c r="M87" s="227">
        <v>8759874</v>
      </c>
      <c r="N87" s="152"/>
      <c r="O87" s="152">
        <v>256000</v>
      </c>
      <c r="P87" s="26">
        <f t="shared" si="0"/>
        <v>8503874</v>
      </c>
      <c r="Q87" s="509"/>
      <c r="R87" s="229"/>
    </row>
    <row r="88" spans="1:18" ht="60">
      <c r="A88" s="464"/>
      <c r="B88" s="461"/>
      <c r="C88" s="651"/>
      <c r="D88" s="509"/>
      <c r="E88" s="38" t="s">
        <v>189</v>
      </c>
      <c r="F88" s="39">
        <v>1192906491</v>
      </c>
      <c r="G88" s="224" t="s">
        <v>190</v>
      </c>
      <c r="H88" s="208">
        <v>1</v>
      </c>
      <c r="I88" s="382">
        <v>45649</v>
      </c>
      <c r="J88" s="209" t="s">
        <v>133</v>
      </c>
      <c r="K88" s="382">
        <v>45653</v>
      </c>
      <c r="L88" s="208" t="s">
        <v>70</v>
      </c>
      <c r="M88" s="227">
        <v>8759874</v>
      </c>
      <c r="N88" s="152"/>
      <c r="O88" s="152">
        <v>340620</v>
      </c>
      <c r="P88" s="26">
        <f t="shared" si="0"/>
        <v>8419254</v>
      </c>
      <c r="Q88" s="509"/>
      <c r="R88" s="229"/>
    </row>
    <row r="89" spans="1:18" ht="60">
      <c r="A89" s="464"/>
      <c r="B89" s="461"/>
      <c r="C89" s="651"/>
      <c r="D89" s="509"/>
      <c r="E89" s="38" t="s">
        <v>191</v>
      </c>
      <c r="F89" s="39">
        <v>1019138213</v>
      </c>
      <c r="G89" s="224" t="s">
        <v>192</v>
      </c>
      <c r="H89" s="208">
        <v>1</v>
      </c>
      <c r="I89" s="382">
        <v>45649</v>
      </c>
      <c r="J89" s="209" t="s">
        <v>136</v>
      </c>
      <c r="K89" s="382">
        <v>45653</v>
      </c>
      <c r="L89" s="208" t="s">
        <v>70</v>
      </c>
      <c r="M89" s="227">
        <v>8759874</v>
      </c>
      <c r="N89" s="152"/>
      <c r="O89" s="152">
        <v>256000</v>
      </c>
      <c r="P89" s="26">
        <f t="shared" si="0"/>
        <v>8503874</v>
      </c>
      <c r="Q89" s="509"/>
      <c r="R89" s="229"/>
    </row>
    <row r="90" spans="1:18" ht="60">
      <c r="A90" s="464"/>
      <c r="B90" s="461"/>
      <c r="C90" s="651"/>
      <c r="D90" s="509"/>
      <c r="E90" s="38" t="s">
        <v>193</v>
      </c>
      <c r="F90" s="39">
        <v>1019133303</v>
      </c>
      <c r="G90" s="224" t="s">
        <v>194</v>
      </c>
      <c r="H90" s="208">
        <v>1</v>
      </c>
      <c r="I90" s="382">
        <v>45649</v>
      </c>
      <c r="J90" s="209" t="s">
        <v>136</v>
      </c>
      <c r="K90" s="382">
        <v>45653</v>
      </c>
      <c r="L90" s="208" t="s">
        <v>70</v>
      </c>
      <c r="M90" s="227">
        <v>8759874</v>
      </c>
      <c r="N90" s="152"/>
      <c r="O90" s="152">
        <v>256000</v>
      </c>
      <c r="P90" s="26">
        <f t="shared" si="0"/>
        <v>8503874</v>
      </c>
      <c r="Q90" s="509"/>
      <c r="R90" s="229"/>
    </row>
    <row r="91" spans="1:18" ht="30">
      <c r="A91" s="464"/>
      <c r="B91" s="461"/>
      <c r="C91" s="651"/>
      <c r="D91" s="509"/>
      <c r="E91" s="38" t="s">
        <v>195</v>
      </c>
      <c r="F91" s="39">
        <v>1010142607</v>
      </c>
      <c r="G91" s="224" t="s">
        <v>196</v>
      </c>
      <c r="H91" s="208">
        <v>1</v>
      </c>
      <c r="I91" s="382">
        <v>45649</v>
      </c>
      <c r="J91" s="209" t="s">
        <v>133</v>
      </c>
      <c r="K91" s="382">
        <v>45653</v>
      </c>
      <c r="L91" s="208" t="s">
        <v>70</v>
      </c>
      <c r="M91" s="227">
        <v>8759874</v>
      </c>
      <c r="N91" s="152"/>
      <c r="O91" s="152">
        <v>256000</v>
      </c>
      <c r="P91" s="26">
        <f t="shared" si="0"/>
        <v>8503874</v>
      </c>
      <c r="Q91" s="509"/>
      <c r="R91" s="229"/>
    </row>
    <row r="92" spans="1:18" ht="60">
      <c r="A92" s="464"/>
      <c r="B92" s="461"/>
      <c r="C92" s="651"/>
      <c r="D92" s="509"/>
      <c r="E92" s="38" t="s">
        <v>197</v>
      </c>
      <c r="F92" s="39">
        <v>1022418849</v>
      </c>
      <c r="G92" s="224" t="s">
        <v>198</v>
      </c>
      <c r="H92" s="208">
        <v>1</v>
      </c>
      <c r="I92" s="382">
        <v>45649</v>
      </c>
      <c r="J92" s="209" t="s">
        <v>133</v>
      </c>
      <c r="K92" s="382">
        <v>45653</v>
      </c>
      <c r="L92" s="208" t="s">
        <v>70</v>
      </c>
      <c r="M92" s="227">
        <v>8759874</v>
      </c>
      <c r="N92" s="152"/>
      <c r="O92" s="152">
        <v>256000</v>
      </c>
      <c r="P92" s="26">
        <f t="shared" si="0"/>
        <v>8503874</v>
      </c>
      <c r="Q92" s="509"/>
      <c r="R92" s="229"/>
    </row>
    <row r="93" spans="1:18" ht="60">
      <c r="A93" s="464"/>
      <c r="B93" s="461"/>
      <c r="C93" s="651"/>
      <c r="D93" s="509"/>
      <c r="E93" s="38" t="s">
        <v>199</v>
      </c>
      <c r="F93" s="39">
        <v>80896525</v>
      </c>
      <c r="G93" s="224" t="s">
        <v>200</v>
      </c>
      <c r="H93" s="208">
        <v>1</v>
      </c>
      <c r="I93" s="382">
        <v>45649</v>
      </c>
      <c r="J93" s="209" t="s">
        <v>136</v>
      </c>
      <c r="K93" s="382">
        <v>45653</v>
      </c>
      <c r="L93" s="208" t="s">
        <v>70</v>
      </c>
      <c r="M93" s="227">
        <v>8759874</v>
      </c>
      <c r="N93" s="152"/>
      <c r="O93" s="152">
        <v>256000</v>
      </c>
      <c r="P93" s="26">
        <f t="shared" si="0"/>
        <v>8503874</v>
      </c>
      <c r="Q93" s="509"/>
      <c r="R93" s="229"/>
    </row>
    <row r="94" spans="1:18" ht="60">
      <c r="A94" s="464"/>
      <c r="B94" s="461"/>
      <c r="C94" s="651"/>
      <c r="D94" s="509"/>
      <c r="E94" s="38" t="s">
        <v>201</v>
      </c>
      <c r="F94" s="39">
        <v>1020825807</v>
      </c>
      <c r="G94" s="224" t="s">
        <v>202</v>
      </c>
      <c r="H94" s="208">
        <v>1</v>
      </c>
      <c r="I94" s="382">
        <v>45649</v>
      </c>
      <c r="J94" s="209" t="s">
        <v>136</v>
      </c>
      <c r="K94" s="382">
        <v>45653</v>
      </c>
      <c r="L94" s="208" t="s">
        <v>70</v>
      </c>
      <c r="M94" s="227">
        <v>8759874</v>
      </c>
      <c r="N94" s="152"/>
      <c r="O94" s="152">
        <v>256000</v>
      </c>
      <c r="P94" s="26">
        <f t="shared" si="0"/>
        <v>8503874</v>
      </c>
      <c r="Q94" s="509"/>
      <c r="R94" s="229"/>
    </row>
    <row r="95" spans="1:18" ht="60">
      <c r="A95" s="464"/>
      <c r="B95" s="461"/>
      <c r="C95" s="651"/>
      <c r="D95" s="509"/>
      <c r="E95" s="38" t="s">
        <v>203</v>
      </c>
      <c r="F95" s="39">
        <v>37750961</v>
      </c>
      <c r="G95" s="224" t="s">
        <v>204</v>
      </c>
      <c r="H95" s="208">
        <v>1</v>
      </c>
      <c r="I95" s="382">
        <v>45649</v>
      </c>
      <c r="J95" s="209" t="s">
        <v>133</v>
      </c>
      <c r="K95" s="382">
        <v>45653</v>
      </c>
      <c r="L95" s="208" t="s">
        <v>70</v>
      </c>
      <c r="M95" s="227">
        <v>8759874</v>
      </c>
      <c r="N95" s="152"/>
      <c r="O95" s="152">
        <v>256000</v>
      </c>
      <c r="P95" s="26">
        <f t="shared" si="0"/>
        <v>8503874</v>
      </c>
      <c r="Q95" s="509"/>
      <c r="R95" s="229"/>
    </row>
    <row r="96" spans="1:18" ht="60">
      <c r="A96" s="464"/>
      <c r="B96" s="461"/>
      <c r="C96" s="651"/>
      <c r="D96" s="509"/>
      <c r="E96" s="38" t="s">
        <v>205</v>
      </c>
      <c r="F96" s="39">
        <v>1018435868</v>
      </c>
      <c r="G96" s="224" t="s">
        <v>206</v>
      </c>
      <c r="H96" s="208">
        <v>1</v>
      </c>
      <c r="I96" s="382">
        <v>45649</v>
      </c>
      <c r="J96" s="209" t="s">
        <v>133</v>
      </c>
      <c r="K96" s="382">
        <v>45653</v>
      </c>
      <c r="L96" s="208" t="s">
        <v>70</v>
      </c>
      <c r="M96" s="227">
        <v>8759874</v>
      </c>
      <c r="N96" s="152"/>
      <c r="O96" s="152">
        <v>256000</v>
      </c>
      <c r="P96" s="26">
        <f t="shared" si="0"/>
        <v>8503874</v>
      </c>
      <c r="Q96" s="509"/>
      <c r="R96" s="229"/>
    </row>
    <row r="97" spans="1:18" ht="60">
      <c r="A97" s="464"/>
      <c r="B97" s="461"/>
      <c r="C97" s="651"/>
      <c r="D97" s="509"/>
      <c r="E97" s="38" t="s">
        <v>207</v>
      </c>
      <c r="F97" s="39">
        <v>1010221106</v>
      </c>
      <c r="G97" s="224" t="s">
        <v>208</v>
      </c>
      <c r="H97" s="208">
        <v>1</v>
      </c>
      <c r="I97" s="382">
        <v>45649</v>
      </c>
      <c r="J97" s="209" t="s">
        <v>136</v>
      </c>
      <c r="K97" s="382">
        <v>45653</v>
      </c>
      <c r="L97" s="208" t="s">
        <v>70</v>
      </c>
      <c r="M97" s="227">
        <v>8759874</v>
      </c>
      <c r="N97" s="152"/>
      <c r="O97" s="152">
        <v>256000</v>
      </c>
      <c r="P97" s="26">
        <f t="shared" si="0"/>
        <v>8503874</v>
      </c>
      <c r="Q97" s="509"/>
      <c r="R97" s="229"/>
    </row>
    <row r="98" spans="1:18" ht="60">
      <c r="A98" s="464"/>
      <c r="B98" s="461"/>
      <c r="C98" s="651"/>
      <c r="D98" s="509"/>
      <c r="E98" s="38" t="s">
        <v>209</v>
      </c>
      <c r="F98" s="39">
        <v>80259877</v>
      </c>
      <c r="G98" s="224" t="s">
        <v>210</v>
      </c>
      <c r="H98" s="208">
        <v>1</v>
      </c>
      <c r="I98" s="382">
        <v>45649</v>
      </c>
      <c r="J98" s="209" t="s">
        <v>136</v>
      </c>
      <c r="K98" s="382">
        <v>45653</v>
      </c>
      <c r="L98" s="208" t="s">
        <v>70</v>
      </c>
      <c r="M98" s="227">
        <v>8759874</v>
      </c>
      <c r="N98" s="152"/>
      <c r="O98" s="152">
        <v>256000</v>
      </c>
      <c r="P98" s="26">
        <f t="shared" si="0"/>
        <v>8503874</v>
      </c>
      <c r="Q98" s="509"/>
      <c r="R98" s="229"/>
    </row>
    <row r="99" spans="1:18" ht="60">
      <c r="A99" s="464"/>
      <c r="B99" s="461"/>
      <c r="C99" s="651"/>
      <c r="D99" s="509"/>
      <c r="E99" s="38" t="s">
        <v>211</v>
      </c>
      <c r="F99" s="39">
        <v>1026284288</v>
      </c>
      <c r="G99" s="224" t="s">
        <v>212</v>
      </c>
      <c r="H99" s="208">
        <v>1</v>
      </c>
      <c r="I99" s="382">
        <v>45649</v>
      </c>
      <c r="J99" s="209" t="s">
        <v>136</v>
      </c>
      <c r="K99" s="382">
        <v>45653</v>
      </c>
      <c r="L99" s="208" t="s">
        <v>70</v>
      </c>
      <c r="M99" s="227">
        <v>8759874</v>
      </c>
      <c r="N99" s="152"/>
      <c r="O99" s="152">
        <v>256000</v>
      </c>
      <c r="P99" s="26">
        <f t="shared" ref="P99:P117" si="1">+M99-N99-O99</f>
        <v>8503874</v>
      </c>
      <c r="Q99" s="509"/>
      <c r="R99" s="229"/>
    </row>
    <row r="100" spans="1:18" ht="60">
      <c r="A100" s="464"/>
      <c r="B100" s="461"/>
      <c r="C100" s="651"/>
      <c r="D100" s="509"/>
      <c r="E100" s="38" t="s">
        <v>213</v>
      </c>
      <c r="F100" s="39">
        <v>1152199766</v>
      </c>
      <c r="G100" s="224" t="s">
        <v>214</v>
      </c>
      <c r="H100" s="208">
        <v>1</v>
      </c>
      <c r="I100" s="382">
        <v>45649</v>
      </c>
      <c r="J100" s="209" t="s">
        <v>136</v>
      </c>
      <c r="K100" s="382">
        <v>45653</v>
      </c>
      <c r="L100" s="208" t="s">
        <v>70</v>
      </c>
      <c r="M100" s="227">
        <v>8759874</v>
      </c>
      <c r="N100" s="152"/>
      <c r="O100" s="152">
        <v>256000</v>
      </c>
      <c r="P100" s="26">
        <f t="shared" si="1"/>
        <v>8503874</v>
      </c>
      <c r="Q100" s="509"/>
      <c r="R100" s="229"/>
    </row>
    <row r="101" spans="1:18" ht="60">
      <c r="A101" s="464"/>
      <c r="B101" s="461"/>
      <c r="C101" s="651"/>
      <c r="D101" s="509"/>
      <c r="E101" s="38" t="s">
        <v>215</v>
      </c>
      <c r="F101" s="39">
        <v>1026296764</v>
      </c>
      <c r="G101" s="224" t="s">
        <v>216</v>
      </c>
      <c r="H101" s="208">
        <v>1</v>
      </c>
      <c r="I101" s="382">
        <v>45649</v>
      </c>
      <c r="J101" s="209" t="s">
        <v>136</v>
      </c>
      <c r="K101" s="382">
        <v>45653</v>
      </c>
      <c r="L101" s="208" t="s">
        <v>70</v>
      </c>
      <c r="M101" s="227">
        <v>8759874</v>
      </c>
      <c r="N101" s="152"/>
      <c r="O101" s="152">
        <v>256000</v>
      </c>
      <c r="P101" s="26">
        <f t="shared" si="1"/>
        <v>8503874</v>
      </c>
      <c r="Q101" s="509"/>
      <c r="R101" s="229"/>
    </row>
    <row r="102" spans="1:18" ht="60">
      <c r="A102" s="464"/>
      <c r="B102" s="461"/>
      <c r="C102" s="651"/>
      <c r="D102" s="509"/>
      <c r="E102" s="38" t="s">
        <v>217</v>
      </c>
      <c r="F102" s="39">
        <v>1015440578</v>
      </c>
      <c r="G102" s="224" t="s">
        <v>218</v>
      </c>
      <c r="H102" s="208">
        <v>1</v>
      </c>
      <c r="I102" s="382">
        <v>45649</v>
      </c>
      <c r="J102" s="209" t="s">
        <v>136</v>
      </c>
      <c r="K102" s="382">
        <v>45653</v>
      </c>
      <c r="L102" s="208" t="s">
        <v>70</v>
      </c>
      <c r="M102" s="227">
        <v>8759874</v>
      </c>
      <c r="N102" s="152"/>
      <c r="O102" s="152">
        <v>256000</v>
      </c>
      <c r="P102" s="26">
        <f t="shared" si="1"/>
        <v>8503874</v>
      </c>
      <c r="Q102" s="509"/>
      <c r="R102" s="229"/>
    </row>
    <row r="103" spans="1:18" ht="60">
      <c r="A103" s="464"/>
      <c r="B103" s="461"/>
      <c r="C103" s="651"/>
      <c r="D103" s="509"/>
      <c r="E103" s="38" t="s">
        <v>219</v>
      </c>
      <c r="F103" s="39">
        <v>1013588643</v>
      </c>
      <c r="G103" s="224" t="s">
        <v>220</v>
      </c>
      <c r="H103" s="208">
        <v>1</v>
      </c>
      <c r="I103" s="382">
        <v>45649</v>
      </c>
      <c r="J103" s="209" t="s">
        <v>136</v>
      </c>
      <c r="K103" s="382">
        <v>45653</v>
      </c>
      <c r="L103" s="208" t="s">
        <v>70</v>
      </c>
      <c r="M103" s="227">
        <v>8759874</v>
      </c>
      <c r="N103" s="152"/>
      <c r="O103" s="152">
        <v>256000</v>
      </c>
      <c r="P103" s="26">
        <f t="shared" si="1"/>
        <v>8503874</v>
      </c>
      <c r="Q103" s="509"/>
      <c r="R103" s="229"/>
    </row>
    <row r="104" spans="1:18" ht="60">
      <c r="A104" s="464"/>
      <c r="B104" s="461"/>
      <c r="C104" s="651"/>
      <c r="D104" s="509"/>
      <c r="E104" s="72" t="s">
        <v>221</v>
      </c>
      <c r="F104" s="59">
        <v>79876759</v>
      </c>
      <c r="G104" s="224" t="s">
        <v>222</v>
      </c>
      <c r="H104" s="208">
        <v>1</v>
      </c>
      <c r="I104" s="382">
        <v>45657</v>
      </c>
      <c r="J104" s="209" t="s">
        <v>223</v>
      </c>
      <c r="K104" s="382">
        <v>45657</v>
      </c>
      <c r="L104" s="208" t="s">
        <v>70</v>
      </c>
      <c r="M104" s="227">
        <v>8759874</v>
      </c>
      <c r="N104" s="152"/>
      <c r="O104" s="152">
        <v>256000</v>
      </c>
      <c r="P104" s="26">
        <f t="shared" si="1"/>
        <v>8503874</v>
      </c>
      <c r="Q104" s="509"/>
      <c r="R104" s="229"/>
    </row>
    <row r="105" spans="1:18" ht="60">
      <c r="A105" s="464"/>
      <c r="B105" s="461"/>
      <c r="C105" s="651"/>
      <c r="D105" s="509"/>
      <c r="E105" s="72" t="s">
        <v>224</v>
      </c>
      <c r="F105" s="59">
        <v>1022431783</v>
      </c>
      <c r="G105" s="224" t="s">
        <v>225</v>
      </c>
      <c r="H105" s="208">
        <v>1</v>
      </c>
      <c r="I105" s="382">
        <v>45657</v>
      </c>
      <c r="J105" s="209" t="s">
        <v>223</v>
      </c>
      <c r="K105" s="382">
        <v>45657</v>
      </c>
      <c r="L105" s="208" t="s">
        <v>70</v>
      </c>
      <c r="M105" s="227">
        <v>8759874</v>
      </c>
      <c r="N105" s="152">
        <v>84620</v>
      </c>
      <c r="O105" s="152">
        <v>256000</v>
      </c>
      <c r="P105" s="26">
        <f t="shared" si="1"/>
        <v>8419254</v>
      </c>
      <c r="Q105" s="509"/>
      <c r="R105" s="229"/>
    </row>
    <row r="106" spans="1:18" ht="60">
      <c r="A106" s="464"/>
      <c r="B106" s="461"/>
      <c r="C106" s="651"/>
      <c r="D106" s="509"/>
      <c r="E106" s="72" t="s">
        <v>226</v>
      </c>
      <c r="F106" s="59">
        <v>1022359732</v>
      </c>
      <c r="G106" s="224" t="s">
        <v>227</v>
      </c>
      <c r="H106" s="208">
        <v>1</v>
      </c>
      <c r="I106" s="382">
        <v>45657</v>
      </c>
      <c r="J106" s="209" t="s">
        <v>223</v>
      </c>
      <c r="K106" s="382">
        <v>45657</v>
      </c>
      <c r="L106" s="208" t="s">
        <v>70</v>
      </c>
      <c r="M106" s="227">
        <v>8759874</v>
      </c>
      <c r="N106" s="152"/>
      <c r="O106" s="152">
        <v>256000</v>
      </c>
      <c r="P106" s="26">
        <f t="shared" si="1"/>
        <v>8503874</v>
      </c>
      <c r="Q106" s="509"/>
      <c r="R106" s="229"/>
    </row>
    <row r="107" spans="1:18" ht="60">
      <c r="A107" s="464"/>
      <c r="B107" s="461"/>
      <c r="C107" s="651"/>
      <c r="D107" s="509"/>
      <c r="E107" s="72" t="s">
        <v>228</v>
      </c>
      <c r="F107" s="59">
        <v>1001278105</v>
      </c>
      <c r="G107" s="224" t="s">
        <v>229</v>
      </c>
      <c r="H107" s="208">
        <v>1</v>
      </c>
      <c r="I107" s="382">
        <v>45657</v>
      </c>
      <c r="J107" s="209" t="s">
        <v>223</v>
      </c>
      <c r="K107" s="382">
        <v>45657</v>
      </c>
      <c r="L107" s="208" t="s">
        <v>70</v>
      </c>
      <c r="M107" s="227">
        <v>8759874</v>
      </c>
      <c r="N107" s="152"/>
      <c r="O107" s="152">
        <v>256000</v>
      </c>
      <c r="P107" s="26">
        <f t="shared" si="1"/>
        <v>8503874</v>
      </c>
      <c r="Q107" s="509"/>
      <c r="R107" s="229"/>
    </row>
    <row r="108" spans="1:18" ht="60">
      <c r="A108" s="464"/>
      <c r="B108" s="461"/>
      <c r="C108" s="651"/>
      <c r="D108" s="509"/>
      <c r="E108" s="72" t="s">
        <v>230</v>
      </c>
      <c r="F108" s="59" t="s">
        <v>231</v>
      </c>
      <c r="G108" s="224" t="s">
        <v>232</v>
      </c>
      <c r="H108" s="208">
        <v>1</v>
      </c>
      <c r="I108" s="382">
        <v>45657</v>
      </c>
      <c r="J108" s="209" t="s">
        <v>233</v>
      </c>
      <c r="K108" s="382">
        <v>45665</v>
      </c>
      <c r="L108" s="208" t="s">
        <v>70</v>
      </c>
      <c r="M108" s="227">
        <v>8759874</v>
      </c>
      <c r="N108" s="152"/>
      <c r="O108" s="152">
        <v>256000</v>
      </c>
      <c r="P108" s="26">
        <f>+M108-O108</f>
        <v>8503874</v>
      </c>
      <c r="Q108" s="509"/>
      <c r="R108" s="229"/>
    </row>
    <row r="109" spans="1:18" ht="75">
      <c r="A109" s="464"/>
      <c r="B109" s="461"/>
      <c r="C109" s="651"/>
      <c r="D109" s="509"/>
      <c r="E109" s="72" t="s">
        <v>234</v>
      </c>
      <c r="F109" s="59" t="s">
        <v>235</v>
      </c>
      <c r="G109" s="224" t="s">
        <v>236</v>
      </c>
      <c r="H109" s="208">
        <v>1</v>
      </c>
      <c r="I109" s="382">
        <v>45664</v>
      </c>
      <c r="J109" s="209" t="s">
        <v>237</v>
      </c>
      <c r="K109" s="382">
        <v>45667</v>
      </c>
      <c r="L109" s="208" t="s">
        <v>70</v>
      </c>
      <c r="M109" s="227">
        <v>8759874</v>
      </c>
      <c r="N109" s="152"/>
      <c r="O109" s="152">
        <v>207000</v>
      </c>
      <c r="P109" s="26">
        <f>+M109-O109</f>
        <v>8552874</v>
      </c>
      <c r="Q109" s="509"/>
      <c r="R109" s="229"/>
    </row>
    <row r="110" spans="1:18" ht="60">
      <c r="A110" s="464"/>
      <c r="B110" s="461"/>
      <c r="C110" s="651"/>
      <c r="D110" s="509"/>
      <c r="E110" s="72" t="s">
        <v>238</v>
      </c>
      <c r="F110" s="59" t="s">
        <v>239</v>
      </c>
      <c r="G110" s="224" t="s">
        <v>240</v>
      </c>
      <c r="H110" s="208">
        <v>1</v>
      </c>
      <c r="I110" s="382">
        <v>45664</v>
      </c>
      <c r="J110" s="209" t="s">
        <v>241</v>
      </c>
      <c r="K110" s="382">
        <v>45667</v>
      </c>
      <c r="L110" s="208" t="s">
        <v>70</v>
      </c>
      <c r="M110" s="227">
        <v>8759874</v>
      </c>
      <c r="N110" s="152"/>
      <c r="O110" s="152">
        <v>207000</v>
      </c>
      <c r="P110" s="26">
        <f t="shared" ref="P110:P111" si="2">+M110-O110</f>
        <v>8552874</v>
      </c>
      <c r="Q110" s="509"/>
      <c r="R110" s="229"/>
    </row>
    <row r="111" spans="1:18" ht="60">
      <c r="A111" s="464"/>
      <c r="B111" s="461"/>
      <c r="C111" s="651"/>
      <c r="D111" s="509"/>
      <c r="E111" s="72" t="s">
        <v>242</v>
      </c>
      <c r="F111" s="59" t="s">
        <v>243</v>
      </c>
      <c r="G111" s="224" t="s">
        <v>244</v>
      </c>
      <c r="H111" s="208">
        <v>1</v>
      </c>
      <c r="I111" s="382">
        <v>45664</v>
      </c>
      <c r="J111" s="209" t="s">
        <v>245</v>
      </c>
      <c r="K111" s="382">
        <v>45667</v>
      </c>
      <c r="L111" s="208" t="s">
        <v>70</v>
      </c>
      <c r="M111" s="227">
        <v>8759874</v>
      </c>
      <c r="N111" s="152"/>
      <c r="O111" s="152">
        <v>207000</v>
      </c>
      <c r="P111" s="26">
        <f t="shared" si="2"/>
        <v>8552874</v>
      </c>
      <c r="Q111" s="509"/>
      <c r="R111" s="229"/>
    </row>
    <row r="112" spans="1:18" ht="60">
      <c r="A112" s="464"/>
      <c r="B112" s="461"/>
      <c r="C112" s="651"/>
      <c r="D112" s="509"/>
      <c r="E112" s="72" t="s">
        <v>246</v>
      </c>
      <c r="F112" s="59" t="s">
        <v>247</v>
      </c>
      <c r="G112" s="224" t="s">
        <v>248</v>
      </c>
      <c r="H112" s="208">
        <v>1</v>
      </c>
      <c r="I112" s="382">
        <v>45664</v>
      </c>
      <c r="J112" s="209" t="s">
        <v>249</v>
      </c>
      <c r="K112" s="382">
        <v>45670</v>
      </c>
      <c r="L112" s="208" t="s">
        <v>70</v>
      </c>
      <c r="M112" s="227">
        <v>8759874</v>
      </c>
      <c r="N112" s="152"/>
      <c r="O112" s="152">
        <v>207000</v>
      </c>
      <c r="P112" s="26">
        <f>+M112-O112</f>
        <v>8552874</v>
      </c>
      <c r="Q112" s="509"/>
      <c r="R112" s="229"/>
    </row>
    <row r="113" spans="1:20" ht="75">
      <c r="A113" s="464"/>
      <c r="B113" s="461"/>
      <c r="C113" s="651"/>
      <c r="D113" s="509"/>
      <c r="E113" s="72" t="s">
        <v>250</v>
      </c>
      <c r="F113" s="59" t="s">
        <v>251</v>
      </c>
      <c r="G113" s="224" t="s">
        <v>252</v>
      </c>
      <c r="H113" s="208">
        <v>1</v>
      </c>
      <c r="I113" s="382">
        <v>45664</v>
      </c>
      <c r="J113" s="209" t="s">
        <v>253</v>
      </c>
      <c r="K113" s="382">
        <v>45670</v>
      </c>
      <c r="L113" s="208" t="s">
        <v>70</v>
      </c>
      <c r="M113" s="227">
        <v>8759874</v>
      </c>
      <c r="N113" s="152"/>
      <c r="O113" s="152">
        <v>207000</v>
      </c>
      <c r="P113" s="26">
        <f>+M113-O113</f>
        <v>8552874</v>
      </c>
      <c r="Q113" s="509"/>
      <c r="R113" s="229"/>
    </row>
    <row r="114" spans="1:20" ht="60">
      <c r="A114" s="464"/>
      <c r="B114" s="461"/>
      <c r="C114" s="651"/>
      <c r="D114" s="509"/>
      <c r="E114" s="72" t="s">
        <v>254</v>
      </c>
      <c r="F114" s="59" t="s">
        <v>255</v>
      </c>
      <c r="G114" s="226" t="s">
        <v>256</v>
      </c>
      <c r="H114" s="208"/>
      <c r="I114" s="382"/>
      <c r="J114" s="209" t="s">
        <v>257</v>
      </c>
      <c r="K114" s="382">
        <v>45635</v>
      </c>
      <c r="L114" s="208" t="s">
        <v>70</v>
      </c>
      <c r="M114" s="228">
        <v>364400</v>
      </c>
      <c r="N114" s="360"/>
      <c r="O114" s="360"/>
      <c r="P114" s="50">
        <f>+M114</f>
        <v>364400</v>
      </c>
      <c r="Q114" s="509"/>
      <c r="R114" s="230"/>
    </row>
    <row r="115" spans="1:20" ht="60">
      <c r="A115" s="464"/>
      <c r="B115" s="461"/>
      <c r="C115" s="651"/>
      <c r="D115" s="509"/>
      <c r="E115" s="72" t="s">
        <v>254</v>
      </c>
      <c r="F115" s="59" t="s">
        <v>255</v>
      </c>
      <c r="G115" s="226" t="s">
        <v>256</v>
      </c>
      <c r="H115" s="208"/>
      <c r="I115" s="382"/>
      <c r="J115" s="209" t="s">
        <v>258</v>
      </c>
      <c r="K115" s="382">
        <v>45667</v>
      </c>
      <c r="L115" s="208" t="s">
        <v>70</v>
      </c>
      <c r="M115" s="228">
        <v>16634200</v>
      </c>
      <c r="N115" s="360"/>
      <c r="O115" s="360"/>
      <c r="P115" s="50">
        <f>+M115-N115-O115</f>
        <v>16634200</v>
      </c>
      <c r="Q115" s="509"/>
      <c r="R115" s="230"/>
    </row>
    <row r="116" spans="1:20" ht="60">
      <c r="A116" s="464"/>
      <c r="B116" s="461"/>
      <c r="C116" s="651"/>
      <c r="D116" s="509"/>
      <c r="E116" s="72" t="s">
        <v>254</v>
      </c>
      <c r="F116" s="59" t="s">
        <v>255</v>
      </c>
      <c r="G116" s="226" t="s">
        <v>256</v>
      </c>
      <c r="H116" s="208"/>
      <c r="I116" s="382"/>
      <c r="J116" s="209" t="s">
        <v>259</v>
      </c>
      <c r="K116" s="382">
        <v>45635</v>
      </c>
      <c r="L116" s="208" t="s">
        <v>70</v>
      </c>
      <c r="M116" s="228">
        <v>2511400</v>
      </c>
      <c r="N116" s="360"/>
      <c r="O116" s="360"/>
      <c r="P116" s="50">
        <f>+M116</f>
        <v>2511400</v>
      </c>
      <c r="Q116" s="509"/>
      <c r="R116" s="230"/>
    </row>
    <row r="117" spans="1:20" ht="60.95" thickBot="1">
      <c r="A117" s="464"/>
      <c r="B117" s="461"/>
      <c r="C117" s="652"/>
      <c r="D117" s="510"/>
      <c r="E117" s="168" t="s">
        <v>260</v>
      </c>
      <c r="F117" s="169" t="s">
        <v>261</v>
      </c>
      <c r="G117" s="231" t="s">
        <v>262</v>
      </c>
      <c r="H117" s="232">
        <v>1</v>
      </c>
      <c r="I117" s="381">
        <v>45657</v>
      </c>
      <c r="J117" s="222" t="s">
        <v>263</v>
      </c>
      <c r="K117" s="381">
        <v>45660</v>
      </c>
      <c r="L117" s="232" t="s">
        <v>70</v>
      </c>
      <c r="M117" s="233">
        <v>8759874</v>
      </c>
      <c r="N117" s="234"/>
      <c r="O117" s="234">
        <v>256000</v>
      </c>
      <c r="P117" s="170">
        <f t="shared" si="1"/>
        <v>8503874</v>
      </c>
      <c r="Q117" s="510"/>
      <c r="R117" s="166"/>
    </row>
    <row r="118" spans="1:20" ht="41.1" customHeight="1">
      <c r="A118" s="464"/>
      <c r="B118" s="461"/>
      <c r="C118" s="504" t="s">
        <v>264</v>
      </c>
      <c r="D118" s="470">
        <v>12567200</v>
      </c>
      <c r="E118" s="181" t="s">
        <v>265</v>
      </c>
      <c r="F118" s="60">
        <v>79910812</v>
      </c>
      <c r="G118" s="62" t="s">
        <v>266</v>
      </c>
      <c r="H118" s="65">
        <v>1</v>
      </c>
      <c r="I118" s="383">
        <v>45636</v>
      </c>
      <c r="J118" s="182" t="s">
        <v>267</v>
      </c>
      <c r="K118" s="383">
        <v>45638</v>
      </c>
      <c r="L118" s="65" t="s">
        <v>53</v>
      </c>
      <c r="M118" s="148">
        <v>4189000</v>
      </c>
      <c r="N118" s="148">
        <v>40466</v>
      </c>
      <c r="O118" s="148"/>
      <c r="P118" s="52">
        <f>+M118-N118</f>
        <v>4148534</v>
      </c>
      <c r="Q118" s="470">
        <f>+D118-M118-M119-M120</f>
        <v>200</v>
      </c>
      <c r="R118" s="183"/>
    </row>
    <row r="119" spans="1:20" ht="41.1" customHeight="1">
      <c r="A119" s="464"/>
      <c r="B119" s="461"/>
      <c r="C119" s="504"/>
      <c r="D119" s="470"/>
      <c r="E119" s="72" t="s">
        <v>268</v>
      </c>
      <c r="F119" s="59">
        <v>52713641</v>
      </c>
      <c r="G119" s="24" t="s">
        <v>269</v>
      </c>
      <c r="H119" s="27">
        <v>1</v>
      </c>
      <c r="I119" s="384">
        <v>45636</v>
      </c>
      <c r="J119" s="39" t="s">
        <v>270</v>
      </c>
      <c r="K119" s="384">
        <v>45644</v>
      </c>
      <c r="L119" s="27" t="s">
        <v>53</v>
      </c>
      <c r="M119" s="152">
        <v>4189000</v>
      </c>
      <c r="N119" s="152">
        <v>40466</v>
      </c>
      <c r="O119" s="152"/>
      <c r="P119" s="26">
        <f>+M119-N119</f>
        <v>4148534</v>
      </c>
      <c r="Q119" s="470"/>
      <c r="R119" s="229"/>
    </row>
    <row r="120" spans="1:20" ht="41.1" customHeight="1" thickBot="1">
      <c r="A120" s="464"/>
      <c r="B120" s="461"/>
      <c r="C120" s="505"/>
      <c r="D120" s="459"/>
      <c r="E120" s="81" t="s">
        <v>271</v>
      </c>
      <c r="F120" s="86">
        <v>79859910</v>
      </c>
      <c r="G120" s="85" t="s">
        <v>272</v>
      </c>
      <c r="H120" s="82">
        <v>1</v>
      </c>
      <c r="I120" s="385">
        <v>45646</v>
      </c>
      <c r="J120" s="87" t="s">
        <v>273</v>
      </c>
      <c r="K120" s="385">
        <v>45649</v>
      </c>
      <c r="L120" s="82" t="s">
        <v>53</v>
      </c>
      <c r="M120" s="153">
        <v>4189000</v>
      </c>
      <c r="N120" s="153">
        <v>40466</v>
      </c>
      <c r="O120" s="153"/>
      <c r="P120" s="83">
        <f>+M120-N120</f>
        <v>4148534</v>
      </c>
      <c r="Q120" s="459"/>
      <c r="R120" s="179"/>
    </row>
    <row r="121" spans="1:20" s="32" customFormat="1" ht="117" customHeight="1">
      <c r="A121" s="464"/>
      <c r="B121" s="461"/>
      <c r="C121" s="528" t="s">
        <v>274</v>
      </c>
      <c r="D121" s="458">
        <v>57847817.587776005</v>
      </c>
      <c r="E121" s="529" t="s">
        <v>275</v>
      </c>
      <c r="F121" s="530" t="s">
        <v>276</v>
      </c>
      <c r="G121" s="77" t="s">
        <v>277</v>
      </c>
      <c r="H121" s="78" t="s">
        <v>278</v>
      </c>
      <c r="I121" s="386">
        <v>45602</v>
      </c>
      <c r="J121" s="79" t="s">
        <v>279</v>
      </c>
      <c r="K121" s="386">
        <v>45602</v>
      </c>
      <c r="L121" s="78" t="s">
        <v>53</v>
      </c>
      <c r="M121" s="151">
        <v>28923909</v>
      </c>
      <c r="N121" s="151"/>
      <c r="O121" s="151"/>
      <c r="P121" s="80">
        <f>+D121-M121</f>
        <v>28923908.587776005</v>
      </c>
      <c r="Q121" s="458">
        <f>+D121-M121-M122</f>
        <v>-0.41222399473190308</v>
      </c>
      <c r="R121" s="332"/>
    </row>
    <row r="122" spans="1:20" s="32" customFormat="1" ht="117" customHeight="1" thickBot="1">
      <c r="A122" s="465"/>
      <c r="B122" s="462"/>
      <c r="C122" s="504"/>
      <c r="D122" s="470"/>
      <c r="E122" s="544"/>
      <c r="F122" s="545"/>
      <c r="G122" s="72" t="s">
        <v>280</v>
      </c>
      <c r="H122" s="49" t="s">
        <v>281</v>
      </c>
      <c r="I122" s="387">
        <v>45617</v>
      </c>
      <c r="J122" s="47" t="s">
        <v>282</v>
      </c>
      <c r="K122" s="387">
        <v>45601</v>
      </c>
      <c r="L122" s="49" t="s">
        <v>53</v>
      </c>
      <c r="M122" s="360">
        <v>28923909</v>
      </c>
      <c r="N122" s="360">
        <v>500962</v>
      </c>
      <c r="O122" s="360">
        <v>2313913</v>
      </c>
      <c r="P122" s="50">
        <v>26109034</v>
      </c>
      <c r="Q122" s="470"/>
      <c r="R122" s="279"/>
    </row>
    <row r="123" spans="1:20" s="32" customFormat="1" ht="30.95" thickBot="1">
      <c r="A123" s="249"/>
      <c r="B123" s="250">
        <f>SUM(B23:B121)</f>
        <v>1828089725.282176</v>
      </c>
      <c r="C123" s="251" t="s">
        <v>283</v>
      </c>
      <c r="D123" s="250">
        <f>SUM(D23:D121)</f>
        <v>1828089725.282176</v>
      </c>
      <c r="E123" s="252"/>
      <c r="F123" s="253"/>
      <c r="G123" s="252"/>
      <c r="H123" s="254"/>
      <c r="I123" s="254"/>
      <c r="J123" s="254"/>
      <c r="K123" s="254"/>
      <c r="L123" s="254"/>
      <c r="M123" s="250">
        <f>SUM(M23:M122)</f>
        <v>1828071989</v>
      </c>
      <c r="N123" s="250">
        <f t="shared" ref="N123:Q123" si="3">SUM(N23:N122)</f>
        <v>1154040</v>
      </c>
      <c r="O123" s="250">
        <f t="shared" si="3"/>
        <v>22888153</v>
      </c>
      <c r="P123" s="250">
        <f t="shared" si="3"/>
        <v>1804029795.5877759</v>
      </c>
      <c r="Q123" s="250">
        <f t="shared" si="3"/>
        <v>17736.587776005268</v>
      </c>
      <c r="R123" s="255"/>
      <c r="T123" s="362"/>
    </row>
    <row r="124" spans="1:20" ht="30">
      <c r="A124" s="485" t="s">
        <v>284</v>
      </c>
      <c r="B124" s="454">
        <f>+D140</f>
        <v>893632429.73911905</v>
      </c>
      <c r="C124" s="653" t="s">
        <v>285</v>
      </c>
      <c r="D124" s="490">
        <v>177132656.0724521</v>
      </c>
      <c r="E124" s="256" t="s">
        <v>286</v>
      </c>
      <c r="F124" s="257">
        <v>901601098</v>
      </c>
      <c r="G124" s="256" t="s">
        <v>287</v>
      </c>
      <c r="H124" s="258" t="s">
        <v>288</v>
      </c>
      <c r="I124" s="388">
        <v>45667</v>
      </c>
      <c r="J124" s="259" t="s">
        <v>289</v>
      </c>
      <c r="K124" s="388">
        <v>45672</v>
      </c>
      <c r="L124" s="258" t="s">
        <v>70</v>
      </c>
      <c r="M124" s="260">
        <v>127302604.83281532</v>
      </c>
      <c r="N124" s="260">
        <v>1229743.3398879536</v>
      </c>
      <c r="O124" s="260">
        <v>5092104.1933126124</v>
      </c>
      <c r="P124" s="260">
        <f t="shared" ref="P124:P129" si="4">+M124-N124-O124</f>
        <v>120980757.29961476</v>
      </c>
      <c r="Q124" s="603">
        <f>+D124-M124-M125</f>
        <v>7.2452105581760406E-2</v>
      </c>
      <c r="R124" s="183"/>
    </row>
    <row r="125" spans="1:20" ht="39.950000000000003" customHeight="1" thickBot="1">
      <c r="A125" s="485"/>
      <c r="B125" s="455"/>
      <c r="C125" s="526"/>
      <c r="D125" s="492"/>
      <c r="E125" s="96" t="s">
        <v>286</v>
      </c>
      <c r="F125" s="97">
        <v>901601098</v>
      </c>
      <c r="G125" s="96" t="s">
        <v>287</v>
      </c>
      <c r="H125" s="98" t="s">
        <v>290</v>
      </c>
      <c r="I125" s="389">
        <v>45670</v>
      </c>
      <c r="J125" s="99" t="s">
        <v>291</v>
      </c>
      <c r="K125" s="389">
        <v>45672</v>
      </c>
      <c r="L125" s="98" t="s">
        <v>70</v>
      </c>
      <c r="M125" s="76">
        <v>49830051.167184673</v>
      </c>
      <c r="N125" s="76">
        <v>1229743.3398879536</v>
      </c>
      <c r="O125" s="76">
        <v>5092104.1933126124</v>
      </c>
      <c r="P125" s="76">
        <f t="shared" si="4"/>
        <v>43508203.633984104</v>
      </c>
      <c r="Q125" s="604"/>
      <c r="R125" s="179"/>
    </row>
    <row r="126" spans="1:20" ht="39.950000000000003" customHeight="1">
      <c r="A126" s="485"/>
      <c r="B126" s="455"/>
      <c r="C126" s="524" t="s">
        <v>292</v>
      </c>
      <c r="D126" s="522">
        <v>341986214</v>
      </c>
      <c r="E126" s="521" t="s">
        <v>286</v>
      </c>
      <c r="F126" s="527">
        <v>901601098</v>
      </c>
      <c r="G126" s="100" t="s">
        <v>287</v>
      </c>
      <c r="H126" s="94" t="s">
        <v>288</v>
      </c>
      <c r="I126" s="390">
        <v>45667</v>
      </c>
      <c r="J126" s="95" t="s">
        <v>289</v>
      </c>
      <c r="K126" s="390">
        <v>45672</v>
      </c>
      <c r="L126" s="94" t="s">
        <v>70</v>
      </c>
      <c r="M126" s="80">
        <v>160057395.16718468</v>
      </c>
      <c r="N126" s="80">
        <v>1546154.6601120464</v>
      </c>
      <c r="O126" s="80">
        <v>6402295.8066873876</v>
      </c>
      <c r="P126" s="80">
        <f t="shared" si="4"/>
        <v>152108944.70038524</v>
      </c>
      <c r="Q126" s="458">
        <f>+D126-M126-M127-M128-M129</f>
        <v>19277562</v>
      </c>
      <c r="R126" s="180"/>
    </row>
    <row r="127" spans="1:20" ht="39.950000000000003" customHeight="1">
      <c r="A127" s="485"/>
      <c r="B127" s="455"/>
      <c r="C127" s="525"/>
      <c r="D127" s="523"/>
      <c r="E127" s="502"/>
      <c r="F127" s="503"/>
      <c r="G127" s="35" t="s">
        <v>293</v>
      </c>
      <c r="H127" s="37" t="s">
        <v>290</v>
      </c>
      <c r="I127" s="391">
        <v>45670</v>
      </c>
      <c r="J127" s="70" t="s">
        <v>291</v>
      </c>
      <c r="K127" s="391">
        <v>45672</v>
      </c>
      <c r="L127" s="37" t="s">
        <v>70</v>
      </c>
      <c r="M127" s="26">
        <v>62651256.832815327</v>
      </c>
      <c r="N127" s="26">
        <v>1546154.6601120464</v>
      </c>
      <c r="O127" s="26">
        <v>6402295.8066873876</v>
      </c>
      <c r="P127" s="26">
        <f t="shared" si="4"/>
        <v>54702806.366015896</v>
      </c>
      <c r="Q127" s="470"/>
      <c r="R127" s="229"/>
    </row>
    <row r="128" spans="1:20" s="32" customFormat="1" ht="30">
      <c r="A128" s="485"/>
      <c r="B128" s="455"/>
      <c r="C128" s="525"/>
      <c r="D128" s="523"/>
      <c r="E128" s="502" t="s">
        <v>294</v>
      </c>
      <c r="F128" s="503">
        <v>901752017</v>
      </c>
      <c r="G128" s="33" t="s">
        <v>295</v>
      </c>
      <c r="H128" s="37" t="s">
        <v>296</v>
      </c>
      <c r="I128" s="392">
        <v>45643</v>
      </c>
      <c r="J128" s="36" t="s">
        <v>297</v>
      </c>
      <c r="K128" s="392">
        <v>45649</v>
      </c>
      <c r="L128" s="37" t="s">
        <v>70</v>
      </c>
      <c r="M128" s="26">
        <v>62690541.931673519</v>
      </c>
      <c r="N128" s="26">
        <v>0</v>
      </c>
      <c r="O128" s="26">
        <v>0</v>
      </c>
      <c r="P128" s="26">
        <f t="shared" si="4"/>
        <v>62690541.931673519</v>
      </c>
      <c r="Q128" s="470"/>
      <c r="R128" s="333"/>
    </row>
    <row r="129" spans="1:18" s="32" customFormat="1" ht="30.95" thickBot="1">
      <c r="A129" s="485"/>
      <c r="B129" s="455"/>
      <c r="C129" s="526"/>
      <c r="D129" s="492"/>
      <c r="E129" s="489"/>
      <c r="F129" s="495"/>
      <c r="G129" s="96" t="s">
        <v>298</v>
      </c>
      <c r="H129" s="98" t="s">
        <v>299</v>
      </c>
      <c r="I129" s="393">
        <v>45652</v>
      </c>
      <c r="J129" s="101" t="s">
        <v>300</v>
      </c>
      <c r="K129" s="393">
        <v>45666</v>
      </c>
      <c r="L129" s="98" t="s">
        <v>70</v>
      </c>
      <c r="M129" s="83">
        <v>37309458.068326481</v>
      </c>
      <c r="N129" s="83">
        <v>0</v>
      </c>
      <c r="O129" s="83">
        <v>0</v>
      </c>
      <c r="P129" s="83">
        <f t="shared" si="4"/>
        <v>37309458.068326481</v>
      </c>
      <c r="Q129" s="459"/>
      <c r="R129" s="334"/>
    </row>
    <row r="130" spans="1:18" s="32" customFormat="1" ht="48" customHeight="1">
      <c r="A130" s="485"/>
      <c r="B130" s="455"/>
      <c r="C130" s="597" t="s">
        <v>301</v>
      </c>
      <c r="D130" s="458">
        <v>228639962</v>
      </c>
      <c r="E130" s="515" t="s">
        <v>302</v>
      </c>
      <c r="F130" s="530">
        <v>830002782</v>
      </c>
      <c r="G130" s="102" t="s">
        <v>303</v>
      </c>
      <c r="H130" s="78" t="s">
        <v>304</v>
      </c>
      <c r="I130" s="386">
        <v>45643</v>
      </c>
      <c r="J130" s="79" t="s">
        <v>305</v>
      </c>
      <c r="K130" s="386">
        <v>45672</v>
      </c>
      <c r="L130" s="78" t="s">
        <v>70</v>
      </c>
      <c r="M130" s="80">
        <v>164620773</v>
      </c>
      <c r="N130" s="80">
        <v>1336333</v>
      </c>
      <c r="O130" s="80">
        <v>5533471</v>
      </c>
      <c r="P130" s="80">
        <v>157750969</v>
      </c>
      <c r="Q130" s="458">
        <f>+D130-M130-M131</f>
        <v>1933</v>
      </c>
      <c r="R130" s="332"/>
    </row>
    <row r="131" spans="1:18" s="32" customFormat="1" ht="48" customHeight="1" thickBot="1">
      <c r="A131" s="485"/>
      <c r="B131" s="455"/>
      <c r="C131" s="598"/>
      <c r="D131" s="459"/>
      <c r="E131" s="517"/>
      <c r="F131" s="484"/>
      <c r="G131" s="103" t="s">
        <v>306</v>
      </c>
      <c r="H131" s="82" t="s">
        <v>307</v>
      </c>
      <c r="I131" s="385">
        <v>45667</v>
      </c>
      <c r="J131" s="87" t="s">
        <v>308</v>
      </c>
      <c r="K131" s="385">
        <v>45672</v>
      </c>
      <c r="L131" s="82" t="s">
        <v>70</v>
      </c>
      <c r="M131" s="83">
        <v>64017256</v>
      </c>
      <c r="N131" s="83">
        <v>1336333</v>
      </c>
      <c r="O131" s="83">
        <v>5533471</v>
      </c>
      <c r="P131" s="83">
        <v>57147452</v>
      </c>
      <c r="Q131" s="459"/>
      <c r="R131" s="334"/>
    </row>
    <row r="132" spans="1:18" s="32" customFormat="1" ht="54.95" customHeight="1">
      <c r="A132" s="485"/>
      <c r="B132" s="455"/>
      <c r="C132" s="597" t="s">
        <v>309</v>
      </c>
      <c r="D132" s="458">
        <v>15334606.666666999</v>
      </c>
      <c r="E132" s="586" t="s">
        <v>310</v>
      </c>
      <c r="F132" s="530">
        <v>900089400</v>
      </c>
      <c r="G132" s="77" t="s">
        <v>311</v>
      </c>
      <c r="H132" s="78" t="s">
        <v>312</v>
      </c>
      <c r="I132" s="386">
        <v>45646</v>
      </c>
      <c r="J132" s="79" t="s">
        <v>313</v>
      </c>
      <c r="K132" s="386">
        <v>45652</v>
      </c>
      <c r="L132" s="78" t="s">
        <v>70</v>
      </c>
      <c r="M132" s="80">
        <v>3499682.5188973099</v>
      </c>
      <c r="N132" s="80">
        <v>0</v>
      </c>
      <c r="O132" s="80">
        <v>0</v>
      </c>
      <c r="P132" s="80">
        <f>+M132-N132-O132</f>
        <v>3499682.5188973099</v>
      </c>
      <c r="Q132" s="458">
        <f>+D132-M132-M133</f>
        <v>421332.00674439967</v>
      </c>
      <c r="R132" s="332"/>
    </row>
    <row r="133" spans="1:18" s="32" customFormat="1" ht="54.95" customHeight="1" thickBot="1">
      <c r="A133" s="485"/>
      <c r="B133" s="455"/>
      <c r="C133" s="598"/>
      <c r="D133" s="459"/>
      <c r="E133" s="587"/>
      <c r="F133" s="484"/>
      <c r="G133" s="81" t="s">
        <v>314</v>
      </c>
      <c r="H133" s="82" t="s">
        <v>315</v>
      </c>
      <c r="I133" s="385">
        <v>45311</v>
      </c>
      <c r="J133" s="87" t="s">
        <v>316</v>
      </c>
      <c r="K133" s="385">
        <v>45680</v>
      </c>
      <c r="L133" s="82" t="s">
        <v>70</v>
      </c>
      <c r="M133" s="83">
        <v>11413592.14102529</v>
      </c>
      <c r="N133" s="83">
        <v>92651.512674205296</v>
      </c>
      <c r="O133" s="83">
        <v>383650.15600085008</v>
      </c>
      <c r="P133" s="83">
        <f>+M133-N133-O133</f>
        <v>10937290.472350234</v>
      </c>
      <c r="Q133" s="459"/>
      <c r="R133" s="334"/>
    </row>
    <row r="134" spans="1:18" ht="30">
      <c r="A134" s="485"/>
      <c r="B134" s="455"/>
      <c r="C134" s="528" t="s">
        <v>317</v>
      </c>
      <c r="D134" s="458">
        <v>9983535</v>
      </c>
      <c r="E134" s="529" t="s">
        <v>318</v>
      </c>
      <c r="F134" s="530">
        <v>901632359</v>
      </c>
      <c r="G134" s="84" t="s">
        <v>319</v>
      </c>
      <c r="H134" s="78" t="s">
        <v>320</v>
      </c>
      <c r="I134" s="386">
        <v>45628</v>
      </c>
      <c r="J134" s="79" t="s">
        <v>321</v>
      </c>
      <c r="K134" s="386">
        <v>45639</v>
      </c>
      <c r="L134" s="78" t="s">
        <v>70</v>
      </c>
      <c r="M134" s="80">
        <v>7692749.2782362793</v>
      </c>
      <c r="N134" s="80">
        <v>62446.841163162797</v>
      </c>
      <c r="O134" s="80">
        <v>258579.56209934884</v>
      </c>
      <c r="P134" s="80">
        <f>14883133/2</f>
        <v>7441566.5</v>
      </c>
      <c r="Q134" s="458">
        <f>+D134-M134-M135</f>
        <v>0</v>
      </c>
      <c r="R134" s="180"/>
    </row>
    <row r="135" spans="1:18" ht="32.1" customHeight="1" thickBot="1">
      <c r="A135" s="485"/>
      <c r="B135" s="455"/>
      <c r="C135" s="505"/>
      <c r="D135" s="459"/>
      <c r="E135" s="482"/>
      <c r="F135" s="484"/>
      <c r="G135" s="85" t="s">
        <v>322</v>
      </c>
      <c r="H135" s="82" t="s">
        <v>323</v>
      </c>
      <c r="I135" s="385">
        <v>45298</v>
      </c>
      <c r="J135" s="87" t="s">
        <v>324</v>
      </c>
      <c r="K135" s="385">
        <v>45670</v>
      </c>
      <c r="L135" s="82" t="s">
        <v>70</v>
      </c>
      <c r="M135" s="83">
        <v>2290785.7217637212</v>
      </c>
      <c r="N135" s="83">
        <v>62446.841163162797</v>
      </c>
      <c r="O135" s="83">
        <v>258579.56209934884</v>
      </c>
      <c r="P135" s="83">
        <f>+M135-N135-O135</f>
        <v>1969759.3185012098</v>
      </c>
      <c r="Q135" s="459"/>
      <c r="R135" s="179"/>
    </row>
    <row r="136" spans="1:18" ht="30" customHeight="1" thickBot="1">
      <c r="A136" s="485"/>
      <c r="B136" s="455"/>
      <c r="C136" s="261" t="s">
        <v>325</v>
      </c>
      <c r="D136" s="51"/>
      <c r="E136" s="104"/>
      <c r="F136" s="48"/>
      <c r="G136" s="104"/>
      <c r="H136" s="64"/>
      <c r="I136" s="394"/>
      <c r="J136" s="55"/>
      <c r="K136" s="394"/>
      <c r="L136" s="64"/>
      <c r="M136" s="53"/>
      <c r="N136" s="53"/>
      <c r="O136" s="53"/>
      <c r="P136" s="53"/>
      <c r="Q136" s="51">
        <f t="shared" ref="Q136:Q139" si="5">+D136-M136</f>
        <v>0</v>
      </c>
      <c r="R136" s="335"/>
    </row>
    <row r="137" spans="1:18" ht="41.1" customHeight="1" thickBot="1">
      <c r="A137" s="485"/>
      <c r="B137" s="455"/>
      <c r="C137" s="262" t="s">
        <v>326</v>
      </c>
      <c r="D137" s="105">
        <v>113079085</v>
      </c>
      <c r="E137" s="106"/>
      <c r="F137" s="107"/>
      <c r="G137" s="106"/>
      <c r="H137" s="108"/>
      <c r="I137" s="395"/>
      <c r="J137" s="107"/>
      <c r="K137" s="395"/>
      <c r="L137" s="108"/>
      <c r="M137" s="109"/>
      <c r="N137" s="109"/>
      <c r="O137" s="109"/>
      <c r="P137" s="109"/>
      <c r="Q137" s="105">
        <f t="shared" si="5"/>
        <v>113079085</v>
      </c>
      <c r="R137" s="184"/>
    </row>
    <row r="138" spans="1:18" s="32" customFormat="1" ht="54.95" customHeight="1" thickBot="1">
      <c r="A138" s="485"/>
      <c r="B138" s="455"/>
      <c r="C138" s="263" t="s">
        <v>327</v>
      </c>
      <c r="D138" s="105">
        <v>2642240</v>
      </c>
      <c r="E138" s="110" t="s">
        <v>328</v>
      </c>
      <c r="F138" s="111">
        <v>900814916</v>
      </c>
      <c r="G138" s="110" t="s">
        <v>329</v>
      </c>
      <c r="H138" s="108">
        <v>24345</v>
      </c>
      <c r="I138" s="396">
        <v>45643</v>
      </c>
      <c r="J138" s="111" t="s">
        <v>330</v>
      </c>
      <c r="K138" s="396">
        <v>45643</v>
      </c>
      <c r="L138" s="108" t="s">
        <v>70</v>
      </c>
      <c r="M138" s="105">
        <v>2642240</v>
      </c>
      <c r="N138" s="105"/>
      <c r="O138" s="105"/>
      <c r="P138" s="105">
        <f>+M138-N138-O138</f>
        <v>2642240</v>
      </c>
      <c r="Q138" s="105">
        <f t="shared" si="5"/>
        <v>0</v>
      </c>
      <c r="R138" s="336"/>
    </row>
    <row r="139" spans="1:18" s="32" customFormat="1" ht="60.95" thickBot="1">
      <c r="A139" s="485"/>
      <c r="B139" s="456"/>
      <c r="C139" s="265" t="s">
        <v>331</v>
      </c>
      <c r="D139" s="132">
        <v>4834131</v>
      </c>
      <c r="E139" s="175" t="s">
        <v>328</v>
      </c>
      <c r="F139" s="131">
        <v>900814916</v>
      </c>
      <c r="G139" s="175" t="s">
        <v>332</v>
      </c>
      <c r="H139" s="130">
        <v>24344</v>
      </c>
      <c r="I139" s="397">
        <v>45643</v>
      </c>
      <c r="J139" s="131" t="s">
        <v>330</v>
      </c>
      <c r="K139" s="397">
        <v>45643</v>
      </c>
      <c r="L139" s="130" t="s">
        <v>70</v>
      </c>
      <c r="M139" s="132">
        <v>4834131</v>
      </c>
      <c r="N139" s="132"/>
      <c r="O139" s="132"/>
      <c r="P139" s="132">
        <f>+M139-N139-O139</f>
        <v>4834131</v>
      </c>
      <c r="Q139" s="132">
        <f t="shared" si="5"/>
        <v>0</v>
      </c>
      <c r="R139" s="337"/>
    </row>
    <row r="140" spans="1:18" s="32" customFormat="1" ht="30.95" thickBot="1">
      <c r="A140" s="249"/>
      <c r="B140" s="250">
        <f>SUM(B124:B137)</f>
        <v>893632429.73911905</v>
      </c>
      <c r="C140" s="251" t="s">
        <v>333</v>
      </c>
      <c r="D140" s="250">
        <f>SUM(D124:D139)</f>
        <v>893632429.73911905</v>
      </c>
      <c r="E140" s="252"/>
      <c r="F140" s="253"/>
      <c r="G140" s="252"/>
      <c r="H140" s="254"/>
      <c r="I140" s="254"/>
      <c r="J140" s="254"/>
      <c r="K140" s="254"/>
      <c r="L140" s="254"/>
      <c r="M140" s="250">
        <f t="shared" ref="M140:Q140" si="6">SUM(M124:M139)</f>
        <v>760852517.6599226</v>
      </c>
      <c r="N140" s="250">
        <f t="shared" si="6"/>
        <v>8442007.1950005312</v>
      </c>
      <c r="O140" s="250">
        <f t="shared" si="6"/>
        <v>34956551.280199558</v>
      </c>
      <c r="P140" s="250">
        <f t="shared" si="6"/>
        <v>717523802.80974877</v>
      </c>
      <c r="Q140" s="250">
        <f t="shared" si="6"/>
        <v>132779912.07919651</v>
      </c>
      <c r="R140" s="255"/>
    </row>
    <row r="141" spans="1:18" ht="30.95" customHeight="1" thickBot="1">
      <c r="A141" s="485" t="s">
        <v>334</v>
      </c>
      <c r="B141" s="473">
        <f>+D162</f>
        <v>338100786.74944031</v>
      </c>
      <c r="C141" s="147" t="s">
        <v>335</v>
      </c>
      <c r="D141" s="137">
        <v>11630568.444444403</v>
      </c>
      <c r="E141" s="266" t="s">
        <v>336</v>
      </c>
      <c r="F141" s="267">
        <v>830500339</v>
      </c>
      <c r="G141" s="266" t="s">
        <v>337</v>
      </c>
      <c r="H141" s="134" t="s">
        <v>338</v>
      </c>
      <c r="I141" s="398">
        <v>45719</v>
      </c>
      <c r="J141" s="267" t="s">
        <v>339</v>
      </c>
      <c r="K141" s="398">
        <v>45722</v>
      </c>
      <c r="L141" s="108" t="s">
        <v>70</v>
      </c>
      <c r="M141" s="137">
        <v>11043239.234039024</v>
      </c>
      <c r="N141" s="137">
        <v>22908.216585050493</v>
      </c>
      <c r="O141" s="137">
        <v>33200.229083533348</v>
      </c>
      <c r="P141" s="137">
        <f t="shared" ref="P141" si="7">+M141-N141-O141</f>
        <v>10987130.78837044</v>
      </c>
      <c r="Q141" s="137">
        <f>+D141-M141</f>
        <v>587329.21040537953</v>
      </c>
      <c r="R141" s="338"/>
    </row>
    <row r="142" spans="1:18" ht="31.5" customHeight="1" thickBot="1">
      <c r="A142" s="485"/>
      <c r="B142" s="478"/>
      <c r="C142" s="192" t="s">
        <v>340</v>
      </c>
      <c r="D142" s="105">
        <v>60186456.888889015</v>
      </c>
      <c r="E142" s="110" t="s">
        <v>341</v>
      </c>
      <c r="F142" s="111">
        <v>901213703</v>
      </c>
      <c r="G142" s="110" t="s">
        <v>342</v>
      </c>
      <c r="H142" s="108" t="s">
        <v>343</v>
      </c>
      <c r="I142" s="396">
        <v>45688</v>
      </c>
      <c r="J142" s="111" t="s">
        <v>344</v>
      </c>
      <c r="K142" s="396">
        <v>45692</v>
      </c>
      <c r="L142" s="108" t="s">
        <v>70</v>
      </c>
      <c r="M142" s="105">
        <v>58768321.693372622</v>
      </c>
      <c r="N142" s="105"/>
      <c r="O142" s="105"/>
      <c r="P142" s="105">
        <f>+M142-N142-O142</f>
        <v>58768321.693372622</v>
      </c>
      <c r="Q142" s="105">
        <f>+D142-M142</f>
        <v>1418135.1955163926</v>
      </c>
      <c r="R142" s="336"/>
    </row>
    <row r="143" spans="1:18" s="32" customFormat="1" ht="45.95" thickBot="1">
      <c r="A143" s="485"/>
      <c r="B143" s="478"/>
      <c r="C143" s="192" t="s">
        <v>345</v>
      </c>
      <c r="D143" s="105">
        <v>40073547.722222202</v>
      </c>
      <c r="E143" s="110" t="s">
        <v>346</v>
      </c>
      <c r="F143" s="111">
        <v>900036920</v>
      </c>
      <c r="G143" s="110" t="s">
        <v>347</v>
      </c>
      <c r="H143" s="108" t="s">
        <v>348</v>
      </c>
      <c r="I143" s="396">
        <v>45672</v>
      </c>
      <c r="J143" s="111" t="s">
        <v>349</v>
      </c>
      <c r="K143" s="396">
        <v>45674</v>
      </c>
      <c r="L143" s="108" t="s">
        <v>70</v>
      </c>
      <c r="M143" s="105">
        <v>40073548</v>
      </c>
      <c r="N143" s="105">
        <v>473357.13066871214</v>
      </c>
      <c r="O143" s="105">
        <v>980035.4207414625</v>
      </c>
      <c r="P143" s="105">
        <f>+M143-N143-O143</f>
        <v>38620155.448589824</v>
      </c>
      <c r="Q143" s="105">
        <f t="shared" ref="Q143:Q161" si="8">+D143-M143</f>
        <v>-0.27777779847383499</v>
      </c>
      <c r="R143" s="336"/>
    </row>
    <row r="144" spans="1:18" s="32" customFormat="1" ht="48.95" customHeight="1" thickBot="1">
      <c r="A144" s="485"/>
      <c r="B144" s="478"/>
      <c r="C144" s="192" t="s">
        <v>350</v>
      </c>
      <c r="D144" s="105">
        <v>3783573.3333333302</v>
      </c>
      <c r="E144" s="110" t="s">
        <v>341</v>
      </c>
      <c r="F144" s="111">
        <v>901213703</v>
      </c>
      <c r="G144" s="110" t="s">
        <v>342</v>
      </c>
      <c r="H144" s="108" t="s">
        <v>343</v>
      </c>
      <c r="I144" s="396">
        <v>45688</v>
      </c>
      <c r="J144" s="111" t="s">
        <v>344</v>
      </c>
      <c r="K144" s="396">
        <v>45692</v>
      </c>
      <c r="L144" s="108" t="s">
        <v>70</v>
      </c>
      <c r="M144" s="105">
        <v>3694423.0695347115</v>
      </c>
      <c r="N144" s="105"/>
      <c r="O144" s="105"/>
      <c r="P144" s="105">
        <f>+M144-N144-O144</f>
        <v>3694423.0695347115</v>
      </c>
      <c r="Q144" s="105">
        <f t="shared" si="8"/>
        <v>89150.263798618689</v>
      </c>
      <c r="R144" s="336"/>
    </row>
    <row r="145" spans="1:18" ht="31.5" customHeight="1">
      <c r="A145" s="485"/>
      <c r="B145" s="478"/>
      <c r="C145" s="599" t="s">
        <v>351</v>
      </c>
      <c r="D145" s="458">
        <v>65664205.555555597</v>
      </c>
      <c r="E145" s="515" t="s">
        <v>352</v>
      </c>
      <c r="F145" s="518">
        <v>900668302</v>
      </c>
      <c r="G145" s="363" t="s">
        <v>353</v>
      </c>
      <c r="H145" s="203" t="s">
        <v>354</v>
      </c>
      <c r="I145" s="399">
        <v>45638</v>
      </c>
      <c r="J145" s="79" t="s">
        <v>355</v>
      </c>
      <c r="K145" s="399">
        <v>45642</v>
      </c>
      <c r="L145" s="258" t="s">
        <v>70</v>
      </c>
      <c r="M145" s="260">
        <v>50179428.036143467</v>
      </c>
      <c r="N145" s="260">
        <v>448826.64676367934</v>
      </c>
      <c r="O145" s="260">
        <v>1626185.0912447155</v>
      </c>
      <c r="P145" s="260">
        <f>+M145-N145-O145</f>
        <v>48104416.298135072</v>
      </c>
      <c r="Q145" s="491">
        <f>+D145-M145-M146-M147</f>
        <v>3590827.5043455902</v>
      </c>
      <c r="R145" s="353"/>
    </row>
    <row r="146" spans="1:18" ht="31.5" customHeight="1">
      <c r="A146" s="485"/>
      <c r="B146" s="478"/>
      <c r="C146" s="600"/>
      <c r="D146" s="470"/>
      <c r="E146" s="516"/>
      <c r="F146" s="519"/>
      <c r="G146" s="35" t="s">
        <v>356</v>
      </c>
      <c r="H146" s="356" t="s">
        <v>357</v>
      </c>
      <c r="I146" s="400">
        <v>45688</v>
      </c>
      <c r="J146" s="48" t="s">
        <v>358</v>
      </c>
      <c r="K146" s="400">
        <v>45692</v>
      </c>
      <c r="L146" s="37" t="s">
        <v>70</v>
      </c>
      <c r="M146" s="34">
        <v>2051974.0150665399</v>
      </c>
      <c r="N146" s="34">
        <v>0</v>
      </c>
      <c r="O146" s="34">
        <v>0</v>
      </c>
      <c r="P146" s="34">
        <f>+M146-N146-O146</f>
        <v>2051974.0150665399</v>
      </c>
      <c r="Q146" s="491"/>
      <c r="R146" s="352"/>
    </row>
    <row r="147" spans="1:18" ht="31.5" customHeight="1" thickBot="1">
      <c r="A147" s="485"/>
      <c r="B147" s="478"/>
      <c r="C147" s="601"/>
      <c r="D147" s="470"/>
      <c r="E147" s="517"/>
      <c r="F147" s="520"/>
      <c r="G147" s="123" t="s">
        <v>359</v>
      </c>
      <c r="H147" s="205" t="s">
        <v>360</v>
      </c>
      <c r="I147" s="401">
        <v>45681</v>
      </c>
      <c r="J147" s="87" t="s">
        <v>361</v>
      </c>
      <c r="K147" s="401">
        <v>45687</v>
      </c>
      <c r="L147" s="98" t="s">
        <v>70</v>
      </c>
      <c r="M147" s="76">
        <v>9841976</v>
      </c>
      <c r="N147" s="76">
        <v>125759</v>
      </c>
      <c r="O147" s="76">
        <v>318953</v>
      </c>
      <c r="P147" s="76">
        <f>+M147-O147</f>
        <v>9523023</v>
      </c>
      <c r="Q147" s="572"/>
      <c r="R147" s="354"/>
    </row>
    <row r="148" spans="1:18" ht="45" customHeight="1">
      <c r="A148" s="485"/>
      <c r="B148" s="478"/>
      <c r="C148" s="528" t="s">
        <v>362</v>
      </c>
      <c r="D148" s="458">
        <v>31762897.777777798</v>
      </c>
      <c r="E148" s="487" t="s">
        <v>363</v>
      </c>
      <c r="F148" s="493">
        <v>830071625</v>
      </c>
      <c r="G148" s="366" t="s">
        <v>364</v>
      </c>
      <c r="H148" s="258" t="s">
        <v>365</v>
      </c>
      <c r="I148" s="402">
        <v>45667</v>
      </c>
      <c r="J148" s="223" t="s">
        <v>366</v>
      </c>
      <c r="K148" s="402">
        <v>45672</v>
      </c>
      <c r="L148" s="258" t="s">
        <v>70</v>
      </c>
      <c r="M148" s="260">
        <v>16912653.539292019</v>
      </c>
      <c r="N148" s="260">
        <v>160601.89924469896</v>
      </c>
      <c r="O148" s="260">
        <v>665019.09298958711</v>
      </c>
      <c r="P148" s="260">
        <f>+M148-N148-O148</f>
        <v>16087032.547057733</v>
      </c>
      <c r="Q148" s="490">
        <f>+D148-M148-M149</f>
        <v>-0.22222220338881016</v>
      </c>
      <c r="R148" s="180"/>
    </row>
    <row r="149" spans="1:18" ht="45" customHeight="1" thickBot="1">
      <c r="A149" s="485"/>
      <c r="B149" s="478"/>
      <c r="C149" s="505"/>
      <c r="D149" s="459"/>
      <c r="E149" s="489"/>
      <c r="F149" s="495"/>
      <c r="G149" s="365" t="s">
        <v>367</v>
      </c>
      <c r="H149" s="98" t="s">
        <v>368</v>
      </c>
      <c r="I149" s="393">
        <v>45715</v>
      </c>
      <c r="J149" s="101" t="s">
        <v>369</v>
      </c>
      <c r="K149" s="393">
        <v>45720</v>
      </c>
      <c r="L149" s="98" t="s">
        <v>70</v>
      </c>
      <c r="M149" s="76">
        <v>14850244.460707983</v>
      </c>
      <c r="N149" s="76">
        <v>214136.64544702528</v>
      </c>
      <c r="O149" s="76">
        <v>886692.38391525846</v>
      </c>
      <c r="P149" s="76">
        <f>+M149-N149-O149</f>
        <v>13749415.431345699</v>
      </c>
      <c r="Q149" s="492"/>
      <c r="R149" s="179"/>
    </row>
    <row r="150" spans="1:18" ht="30">
      <c r="A150" s="485"/>
      <c r="B150" s="478"/>
      <c r="C150" s="528" t="s">
        <v>370</v>
      </c>
      <c r="D150" s="458">
        <v>18382700</v>
      </c>
      <c r="E150" s="84" t="s">
        <v>371</v>
      </c>
      <c r="F150" s="79">
        <v>901061468</v>
      </c>
      <c r="G150" s="84" t="s">
        <v>372</v>
      </c>
      <c r="H150" s="78" t="s">
        <v>373</v>
      </c>
      <c r="I150" s="386">
        <v>45632</v>
      </c>
      <c r="J150" s="79" t="s">
        <v>374</v>
      </c>
      <c r="K150" s="386">
        <v>45644</v>
      </c>
      <c r="L150" s="78" t="s">
        <v>70</v>
      </c>
      <c r="M150" s="132">
        <v>1416100</v>
      </c>
      <c r="N150" s="132">
        <v>11495.317073170731</v>
      </c>
      <c r="O150" s="132">
        <v>47600</v>
      </c>
      <c r="P150" s="132">
        <f>+M150-N150-O150</f>
        <v>1357004.6829268292</v>
      </c>
      <c r="Q150" s="458">
        <f>+D150-M150-M151</f>
        <v>0</v>
      </c>
      <c r="R150" s="180"/>
    </row>
    <row r="151" spans="1:18" ht="30.95" thickBot="1">
      <c r="A151" s="485"/>
      <c r="B151" s="478"/>
      <c r="C151" s="505"/>
      <c r="D151" s="459"/>
      <c r="E151" s="85" t="s">
        <v>375</v>
      </c>
      <c r="F151" s="87">
        <v>900933408</v>
      </c>
      <c r="G151" s="85" t="s">
        <v>376</v>
      </c>
      <c r="H151" s="82" t="s">
        <v>377</v>
      </c>
      <c r="I151" s="385">
        <v>45639</v>
      </c>
      <c r="J151" s="87" t="s">
        <v>378</v>
      </c>
      <c r="K151" s="385">
        <v>45649</v>
      </c>
      <c r="L151" s="82" t="s">
        <v>70</v>
      </c>
      <c r="M151" s="137">
        <v>16966600</v>
      </c>
      <c r="N151" s="137">
        <v>157405</v>
      </c>
      <c r="O151" s="137">
        <v>356441</v>
      </c>
      <c r="P151" s="137">
        <f>+M151-N151-O151</f>
        <v>16452754</v>
      </c>
      <c r="Q151" s="459"/>
      <c r="R151" s="179"/>
    </row>
    <row r="152" spans="1:18" ht="50.1" customHeight="1" thickBot="1">
      <c r="A152" s="485"/>
      <c r="B152" s="478"/>
      <c r="C152" s="193" t="s">
        <v>379</v>
      </c>
      <c r="D152" s="105">
        <v>30240000</v>
      </c>
      <c r="E152" s="110" t="s">
        <v>380</v>
      </c>
      <c r="F152" s="111">
        <v>800126471</v>
      </c>
      <c r="G152" s="110" t="s">
        <v>381</v>
      </c>
      <c r="H152" s="108" t="s">
        <v>382</v>
      </c>
      <c r="I152" s="396">
        <v>45716</v>
      </c>
      <c r="J152" s="111" t="s">
        <v>383</v>
      </c>
      <c r="K152" s="396">
        <v>45720</v>
      </c>
      <c r="L152" s="108" t="s">
        <v>70</v>
      </c>
      <c r="M152" s="105">
        <f>49725000/2</f>
        <v>24862500</v>
      </c>
      <c r="N152" s="105">
        <f>248586/2</f>
        <v>124293</v>
      </c>
      <c r="O152" s="105">
        <f>2101575/2</f>
        <v>1050787.5</v>
      </c>
      <c r="P152" s="105">
        <f>+M152-N152-O152</f>
        <v>23687419.5</v>
      </c>
      <c r="Q152" s="105">
        <f>+D152-M152</f>
        <v>5377500</v>
      </c>
      <c r="R152" s="336"/>
    </row>
    <row r="153" spans="1:18" ht="29.1" customHeight="1" thickBot="1">
      <c r="A153" s="485"/>
      <c r="B153" s="478"/>
      <c r="C153" s="193" t="s">
        <v>384</v>
      </c>
      <c r="D153" s="105">
        <v>1872680</v>
      </c>
      <c r="E153" s="106"/>
      <c r="F153" s="107"/>
      <c r="G153" s="106"/>
      <c r="H153" s="108"/>
      <c r="I153" s="395"/>
      <c r="J153" s="107"/>
      <c r="K153" s="395"/>
      <c r="L153" s="108"/>
      <c r="M153" s="105"/>
      <c r="N153" s="105"/>
      <c r="O153" s="105"/>
      <c r="P153" s="105"/>
      <c r="Q153" s="105">
        <f t="shared" si="8"/>
        <v>1872680</v>
      </c>
      <c r="R153" s="184"/>
    </row>
    <row r="154" spans="1:18" s="32" customFormat="1" ht="30">
      <c r="A154" s="485"/>
      <c r="B154" s="478"/>
      <c r="C154" s="595" t="s">
        <v>385</v>
      </c>
      <c r="D154" s="458">
        <v>15792466.027217999</v>
      </c>
      <c r="E154" s="77" t="s">
        <v>386</v>
      </c>
      <c r="F154" s="79">
        <v>800146092</v>
      </c>
      <c r="G154" s="77" t="s">
        <v>387</v>
      </c>
      <c r="H154" s="78" t="s">
        <v>388</v>
      </c>
      <c r="I154" s="386">
        <v>45637</v>
      </c>
      <c r="J154" s="79" t="s">
        <v>389</v>
      </c>
      <c r="K154" s="386">
        <v>45644</v>
      </c>
      <c r="L154" s="78" t="s">
        <v>70</v>
      </c>
      <c r="M154" s="132">
        <v>12010051</v>
      </c>
      <c r="N154" s="132">
        <v>242429</v>
      </c>
      <c r="O154" s="132">
        <v>548980</v>
      </c>
      <c r="P154" s="132">
        <f>+M154-N154-O154</f>
        <v>11218642</v>
      </c>
      <c r="Q154" s="458">
        <f>+D154-M154-M155</f>
        <v>2.721799910068512E-2</v>
      </c>
      <c r="R154" s="332"/>
    </row>
    <row r="155" spans="1:18" s="32" customFormat="1" ht="27.95" customHeight="1" thickBot="1">
      <c r="A155" s="485"/>
      <c r="B155" s="478"/>
      <c r="C155" s="596"/>
      <c r="D155" s="459"/>
      <c r="E155" s="81" t="s">
        <v>390</v>
      </c>
      <c r="F155" s="87">
        <v>900478067</v>
      </c>
      <c r="G155" s="81" t="s">
        <v>391</v>
      </c>
      <c r="H155" s="82" t="s">
        <v>392</v>
      </c>
      <c r="I155" s="385">
        <v>45643</v>
      </c>
      <c r="J155" s="87" t="s">
        <v>393</v>
      </c>
      <c r="K155" s="385">
        <v>45646</v>
      </c>
      <c r="L155" s="82" t="s">
        <v>70</v>
      </c>
      <c r="M155" s="137">
        <v>3782415</v>
      </c>
      <c r="N155" s="137">
        <v>30703.918522027478</v>
      </c>
      <c r="O155" s="137">
        <v>79462.801136901937</v>
      </c>
      <c r="P155" s="137">
        <f>+M155-N155-O155</f>
        <v>3672248.2803410706</v>
      </c>
      <c r="Q155" s="459"/>
      <c r="R155" s="334"/>
    </row>
    <row r="156" spans="1:18" ht="30">
      <c r="A156" s="485"/>
      <c r="B156" s="486"/>
      <c r="C156" s="487" t="s">
        <v>394</v>
      </c>
      <c r="D156" s="490">
        <v>58711691</v>
      </c>
      <c r="E156" s="487" t="s">
        <v>395</v>
      </c>
      <c r="F156" s="493">
        <v>900784487</v>
      </c>
      <c r="G156" s="366" t="s">
        <v>396</v>
      </c>
      <c r="H156" s="258" t="s">
        <v>397</v>
      </c>
      <c r="I156" s="402">
        <v>45632</v>
      </c>
      <c r="J156" s="223" t="s">
        <v>398</v>
      </c>
      <c r="K156" s="402">
        <v>45637</v>
      </c>
      <c r="L156" s="258" t="s">
        <v>70</v>
      </c>
      <c r="M156" s="260">
        <v>32001183</v>
      </c>
      <c r="N156" s="260">
        <v>259774</v>
      </c>
      <c r="O156" s="260">
        <v>1075670</v>
      </c>
      <c r="P156" s="260">
        <v>30665739</v>
      </c>
      <c r="Q156" s="490">
        <f>+D156-M156-M158-M157</f>
        <v>0</v>
      </c>
      <c r="R156" s="180"/>
    </row>
    <row r="157" spans="1:18" ht="30">
      <c r="A157" s="485"/>
      <c r="B157" s="486"/>
      <c r="C157" s="488"/>
      <c r="D157" s="491"/>
      <c r="E157" s="488"/>
      <c r="F157" s="494"/>
      <c r="G157" s="35" t="s">
        <v>399</v>
      </c>
      <c r="H157" s="356" t="s">
        <v>400</v>
      </c>
      <c r="I157" s="400">
        <v>45685</v>
      </c>
      <c r="J157" s="48" t="s">
        <v>401</v>
      </c>
      <c r="K157" s="400">
        <v>45326</v>
      </c>
      <c r="L157" s="37" t="s">
        <v>70</v>
      </c>
      <c r="M157" s="34">
        <v>24157958</v>
      </c>
      <c r="N157" s="34">
        <v>412209</v>
      </c>
      <c r="O157" s="34">
        <v>1706870</v>
      </c>
      <c r="P157" s="34">
        <f>+M157-N157-O157</f>
        <v>22038879</v>
      </c>
      <c r="Q157" s="491"/>
      <c r="R157" s="335"/>
    </row>
    <row r="158" spans="1:18" ht="44.1" customHeight="1" thickBot="1">
      <c r="A158" s="485"/>
      <c r="B158" s="486"/>
      <c r="C158" s="489"/>
      <c r="D158" s="492"/>
      <c r="E158" s="489"/>
      <c r="F158" s="495"/>
      <c r="G158" s="123" t="s">
        <v>402</v>
      </c>
      <c r="H158" s="205" t="s">
        <v>403</v>
      </c>
      <c r="I158" s="401" t="s">
        <v>404</v>
      </c>
      <c r="J158" s="87" t="s">
        <v>405</v>
      </c>
      <c r="K158" s="401">
        <v>45722</v>
      </c>
      <c r="L158" s="98" t="s">
        <v>70</v>
      </c>
      <c r="M158" s="76">
        <v>2552550</v>
      </c>
      <c r="N158" s="76">
        <v>20721</v>
      </c>
      <c r="O158" s="76">
        <v>85800</v>
      </c>
      <c r="P158" s="76">
        <f>+M158-N158-O158</f>
        <v>2446029</v>
      </c>
      <c r="Q158" s="492"/>
      <c r="R158" s="179"/>
    </row>
    <row r="159" spans="1:18" s="32" customFormat="1" ht="35.1" customHeight="1">
      <c r="A159" s="485"/>
      <c r="B159" s="478"/>
      <c r="C159" s="351" t="s">
        <v>406</v>
      </c>
      <c r="D159" s="52"/>
      <c r="E159" s="181"/>
      <c r="F159" s="182"/>
      <c r="G159" s="181"/>
      <c r="H159" s="65"/>
      <c r="I159" s="60"/>
      <c r="J159" s="182"/>
      <c r="K159" s="60"/>
      <c r="L159" s="65"/>
      <c r="M159" s="52"/>
      <c r="N159" s="52"/>
      <c r="O159" s="52"/>
      <c r="P159" s="52"/>
      <c r="Q159" s="52">
        <f t="shared" si="8"/>
        <v>0</v>
      </c>
      <c r="R159" s="345"/>
    </row>
    <row r="160" spans="1:18" ht="42" customHeight="1">
      <c r="A160" s="485"/>
      <c r="B160" s="478"/>
      <c r="C160" s="195" t="s">
        <v>407</v>
      </c>
      <c r="D160" s="26"/>
      <c r="E160" s="24"/>
      <c r="F160" s="25"/>
      <c r="G160" s="24"/>
      <c r="H160" s="27"/>
      <c r="I160" s="403"/>
      <c r="J160" s="25"/>
      <c r="K160" s="403"/>
      <c r="L160" s="27"/>
      <c r="M160" s="26"/>
      <c r="N160" s="26"/>
      <c r="O160" s="26"/>
      <c r="P160" s="26"/>
      <c r="Q160" s="26">
        <f t="shared" si="8"/>
        <v>0</v>
      </c>
      <c r="R160" s="229"/>
    </row>
    <row r="161" spans="1:20" ht="30.95" customHeight="1" thickBot="1">
      <c r="A161" s="485"/>
      <c r="B161" s="474"/>
      <c r="C161" s="273" t="s">
        <v>408</v>
      </c>
      <c r="D161" s="50"/>
      <c r="E161" s="58"/>
      <c r="F161" s="54"/>
      <c r="G161" s="58"/>
      <c r="H161" s="49"/>
      <c r="I161" s="404"/>
      <c r="J161" s="54"/>
      <c r="K161" s="404"/>
      <c r="L161" s="49"/>
      <c r="M161" s="50"/>
      <c r="N161" s="50"/>
      <c r="O161" s="50"/>
      <c r="P161" s="50"/>
      <c r="Q161" s="50">
        <f t="shared" si="8"/>
        <v>0</v>
      </c>
      <c r="R161" s="230"/>
    </row>
    <row r="162" spans="1:20" s="32" customFormat="1" ht="28.5">
      <c r="A162" s="249"/>
      <c r="B162" s="368">
        <f>SUM(B141:B161)</f>
        <v>338100786.74944031</v>
      </c>
      <c r="C162" s="369" t="s">
        <v>409</v>
      </c>
      <c r="D162" s="368">
        <f>SUM(D141:D161)</f>
        <v>338100786.74944031</v>
      </c>
      <c r="E162" s="370"/>
      <c r="F162" s="371"/>
      <c r="G162" s="370"/>
      <c r="H162" s="372"/>
      <c r="I162" s="372"/>
      <c r="J162" s="372"/>
      <c r="K162" s="372"/>
      <c r="L162" s="372"/>
      <c r="M162" s="368">
        <f>SUM(M141:M161)</f>
        <v>325165165.04815638</v>
      </c>
      <c r="N162" s="368">
        <f t="shared" ref="N162:Q162" si="9">SUM(N141:N161)</f>
        <v>2704619.7743043648</v>
      </c>
      <c r="O162" s="368">
        <f t="shared" si="9"/>
        <v>9461696.5191114582</v>
      </c>
      <c r="P162" s="368">
        <f t="shared" si="9"/>
        <v>313124607.7547406</v>
      </c>
      <c r="Q162" s="368">
        <f t="shared" si="9"/>
        <v>12935621.701283978</v>
      </c>
      <c r="R162" s="285"/>
      <c r="T162" s="362"/>
    </row>
    <row r="163" spans="1:20" ht="87.95" customHeight="1">
      <c r="A163" s="439" t="s">
        <v>410</v>
      </c>
      <c r="B163" s="662">
        <f>+D163+D164+D165</f>
        <v>131051850</v>
      </c>
      <c r="C163" s="366" t="s">
        <v>411</v>
      </c>
      <c r="D163" s="34">
        <v>22971850</v>
      </c>
      <c r="E163" s="256" t="s">
        <v>412</v>
      </c>
      <c r="F163" s="257">
        <v>830043325</v>
      </c>
      <c r="G163" s="367" t="s">
        <v>413</v>
      </c>
      <c r="H163" s="258" t="s">
        <v>414</v>
      </c>
      <c r="I163" s="402">
        <v>45686</v>
      </c>
      <c r="J163" s="223" t="s">
        <v>415</v>
      </c>
      <c r="K163" s="402">
        <v>45667</v>
      </c>
      <c r="L163" s="258" t="s">
        <v>70</v>
      </c>
      <c r="M163" s="260">
        <v>22971850</v>
      </c>
      <c r="N163" s="260"/>
      <c r="O163" s="260"/>
      <c r="P163" s="260">
        <f>+M163-N163-O163</f>
        <v>22971850</v>
      </c>
      <c r="Q163" s="671">
        <f>+B163-M163-M164-M165-M166</f>
        <v>0</v>
      </c>
      <c r="R163" s="373"/>
    </row>
    <row r="164" spans="1:20" ht="84.95" customHeight="1">
      <c r="A164" s="440"/>
      <c r="B164" s="663"/>
      <c r="C164" s="364" t="s">
        <v>416</v>
      </c>
      <c r="D164" s="34">
        <v>8300000</v>
      </c>
      <c r="E164" s="33" t="s">
        <v>417</v>
      </c>
      <c r="F164" s="358">
        <v>900737461</v>
      </c>
      <c r="G164" s="364" t="s">
        <v>418</v>
      </c>
      <c r="H164" s="37" t="s">
        <v>419</v>
      </c>
      <c r="I164" s="392">
        <v>45656</v>
      </c>
      <c r="J164" s="36" t="s">
        <v>420</v>
      </c>
      <c r="K164" s="392">
        <v>45660</v>
      </c>
      <c r="L164" s="37" t="s">
        <v>70</v>
      </c>
      <c r="M164" s="34">
        <f>16600000/2</f>
        <v>8300000</v>
      </c>
      <c r="N164" s="34">
        <f>134753/2</f>
        <v>67376.5</v>
      </c>
      <c r="O164" s="34">
        <f>557983/2</f>
        <v>278991.5</v>
      </c>
      <c r="P164" s="34">
        <f>+M164-N164-O164</f>
        <v>7953632</v>
      </c>
      <c r="Q164" s="672"/>
      <c r="R164" s="373"/>
    </row>
    <row r="165" spans="1:20" ht="84.95" customHeight="1">
      <c r="A165" s="440"/>
      <c r="B165" s="663"/>
      <c r="C165" s="665" t="s">
        <v>421</v>
      </c>
      <c r="D165" s="667">
        <v>99780000</v>
      </c>
      <c r="E165" s="669" t="s">
        <v>422</v>
      </c>
      <c r="F165" s="575">
        <v>900295625</v>
      </c>
      <c r="G165" s="364" t="s">
        <v>423</v>
      </c>
      <c r="H165" s="37" t="s">
        <v>424</v>
      </c>
      <c r="I165" s="392">
        <v>45722</v>
      </c>
      <c r="J165" s="36" t="s">
        <v>425</v>
      </c>
      <c r="K165" s="392">
        <v>45723</v>
      </c>
      <c r="L165" s="37" t="s">
        <v>70</v>
      </c>
      <c r="M165" s="34">
        <v>49890000</v>
      </c>
      <c r="N165" s="34"/>
      <c r="O165" s="34"/>
      <c r="P165" s="34">
        <f>+M165-N165-O165</f>
        <v>49890000</v>
      </c>
      <c r="Q165" s="672"/>
      <c r="R165" s="373"/>
    </row>
    <row r="166" spans="1:20" ht="84.95" customHeight="1">
      <c r="A166" s="441"/>
      <c r="B166" s="664"/>
      <c r="C166" s="666"/>
      <c r="D166" s="668"/>
      <c r="E166" s="670"/>
      <c r="F166" s="577"/>
      <c r="G166" s="364" t="s">
        <v>426</v>
      </c>
      <c r="H166" s="37" t="s">
        <v>427</v>
      </c>
      <c r="I166" s="392">
        <v>45744</v>
      </c>
      <c r="J166" s="36" t="s">
        <v>428</v>
      </c>
      <c r="K166" s="392">
        <v>45744</v>
      </c>
      <c r="L166" s="37" t="s">
        <v>70</v>
      </c>
      <c r="M166" s="34">
        <v>49890000</v>
      </c>
      <c r="N166" s="34"/>
      <c r="O166" s="34"/>
      <c r="P166" s="34">
        <f>+M166-N166-O166</f>
        <v>49890000</v>
      </c>
      <c r="Q166" s="673"/>
      <c r="R166" s="373"/>
    </row>
    <row r="167" spans="1:20" ht="28.5">
      <c r="A167" s="249"/>
      <c r="B167" s="250">
        <f>SUM(B163:B163)</f>
        <v>131051850</v>
      </c>
      <c r="C167" s="252" t="s">
        <v>429</v>
      </c>
      <c r="D167" s="250">
        <f>+SUM(D163:D166)</f>
        <v>131051850</v>
      </c>
      <c r="E167" s="252"/>
      <c r="F167" s="253"/>
      <c r="G167" s="252"/>
      <c r="H167" s="254"/>
      <c r="I167" s="254"/>
      <c r="J167" s="254"/>
      <c r="K167" s="254"/>
      <c r="L167" s="254"/>
      <c r="M167" s="250">
        <f>+SUM(M163:M166)</f>
        <v>131051850</v>
      </c>
      <c r="N167" s="250">
        <f>+SUM(N163:N166)</f>
        <v>67376.5</v>
      </c>
      <c r="O167" s="250">
        <f>+SUM(O163:O166)</f>
        <v>278991.5</v>
      </c>
      <c r="P167" s="250">
        <f>+SUM(P163:P166)</f>
        <v>130705482</v>
      </c>
      <c r="Q167" s="250">
        <f>+SUM(Q163:Q166)</f>
        <v>0</v>
      </c>
      <c r="R167" s="255"/>
    </row>
    <row r="168" spans="1:20" ht="60.6" customHeight="1" thickBot="1">
      <c r="A168" s="468" t="s">
        <v>430</v>
      </c>
      <c r="B168" s="466">
        <f>+D207</f>
        <v>231189821</v>
      </c>
      <c r="C168" s="192" t="s">
        <v>431</v>
      </c>
      <c r="D168" s="105">
        <v>3800000</v>
      </c>
      <c r="E168" s="110" t="s">
        <v>432</v>
      </c>
      <c r="F168" s="111">
        <v>1012430825</v>
      </c>
      <c r="G168" s="113" t="s">
        <v>433</v>
      </c>
      <c r="H168" s="108">
        <v>1</v>
      </c>
      <c r="I168" s="396">
        <v>45657</v>
      </c>
      <c r="J168" s="111" t="s">
        <v>434</v>
      </c>
      <c r="K168" s="396">
        <v>45660</v>
      </c>
      <c r="L168" s="108" t="s">
        <v>70</v>
      </c>
      <c r="M168" s="105">
        <f>7600000/2</f>
        <v>3800000</v>
      </c>
      <c r="N168" s="105">
        <f>110000/2</f>
        <v>55000</v>
      </c>
      <c r="O168" s="105"/>
      <c r="P168" s="105">
        <f>+M168-N168-O168</f>
        <v>3745000</v>
      </c>
      <c r="Q168" s="105">
        <f>+D168-M168</f>
        <v>0</v>
      </c>
      <c r="R168" s="184"/>
    </row>
    <row r="169" spans="1:20" ht="45.95" customHeight="1">
      <c r="A169" s="469"/>
      <c r="B169" s="467"/>
      <c r="C169" s="568" t="s">
        <v>435</v>
      </c>
      <c r="D169" s="571">
        <v>16500000</v>
      </c>
      <c r="E169" s="573" t="s">
        <v>436</v>
      </c>
      <c r="F169" s="621">
        <v>52010203</v>
      </c>
      <c r="G169" s="93" t="s">
        <v>437</v>
      </c>
      <c r="H169" s="94">
        <v>1</v>
      </c>
      <c r="I169" s="405">
        <v>45597</v>
      </c>
      <c r="J169" s="223" t="s">
        <v>438</v>
      </c>
      <c r="K169" s="405">
        <v>45601</v>
      </c>
      <c r="L169" s="94" t="s">
        <v>70</v>
      </c>
      <c r="M169" s="75">
        <v>5133333</v>
      </c>
      <c r="N169" s="75">
        <v>49588</v>
      </c>
      <c r="O169" s="75">
        <v>150000</v>
      </c>
      <c r="P169" s="75">
        <f>+M169-N169-O169</f>
        <v>4933745</v>
      </c>
      <c r="Q169" s="571">
        <f>+D169-M169-M170-M171</f>
        <v>4216667</v>
      </c>
      <c r="R169" s="339"/>
    </row>
    <row r="170" spans="1:20" ht="45.95" customHeight="1">
      <c r="A170" s="469"/>
      <c r="B170" s="467"/>
      <c r="C170" s="569"/>
      <c r="D170" s="491"/>
      <c r="E170" s="488"/>
      <c r="F170" s="622"/>
      <c r="G170" s="33" t="s">
        <v>439</v>
      </c>
      <c r="H170" s="37">
        <v>2</v>
      </c>
      <c r="I170" s="380">
        <v>45630</v>
      </c>
      <c r="J170" s="220" t="s">
        <v>440</v>
      </c>
      <c r="K170" s="380">
        <v>45632</v>
      </c>
      <c r="L170" s="221" t="s">
        <v>70</v>
      </c>
      <c r="M170" s="34">
        <f>11000000/2</f>
        <v>5500000</v>
      </c>
      <c r="N170" s="34">
        <f>106260/2</f>
        <v>53130</v>
      </c>
      <c r="O170" s="34">
        <f>383000/2</f>
        <v>191500</v>
      </c>
      <c r="P170" s="34">
        <f>10510740/2</f>
        <v>5255370</v>
      </c>
      <c r="Q170" s="491"/>
      <c r="R170" s="340"/>
    </row>
    <row r="171" spans="1:20" ht="45.95" customHeight="1" thickBot="1">
      <c r="A171" s="469"/>
      <c r="B171" s="467"/>
      <c r="C171" s="570"/>
      <c r="D171" s="572"/>
      <c r="E171" s="574"/>
      <c r="F171" s="623"/>
      <c r="G171" s="96" t="s">
        <v>441</v>
      </c>
      <c r="H171" s="98">
        <v>3</v>
      </c>
      <c r="I171" s="406">
        <v>45656</v>
      </c>
      <c r="J171" s="101" t="s">
        <v>442</v>
      </c>
      <c r="K171" s="406">
        <v>45657</v>
      </c>
      <c r="L171" s="98" t="s">
        <v>70</v>
      </c>
      <c r="M171" s="76">
        <f>3300000/2</f>
        <v>1650000</v>
      </c>
      <c r="N171" s="76">
        <v>15939</v>
      </c>
      <c r="O171" s="76"/>
      <c r="P171" s="76">
        <f>+M171-N171-O171</f>
        <v>1634061</v>
      </c>
      <c r="Q171" s="572"/>
      <c r="R171" s="341"/>
    </row>
    <row r="172" spans="1:20" ht="48.95" customHeight="1">
      <c r="A172" s="469"/>
      <c r="B172" s="467"/>
      <c r="C172" s="624" t="s">
        <v>443</v>
      </c>
      <c r="D172" s="571">
        <f>16500000+5133333</f>
        <v>21633333</v>
      </c>
      <c r="E172" s="573" t="s">
        <v>444</v>
      </c>
      <c r="F172" s="644">
        <v>52883642</v>
      </c>
      <c r="G172" s="84" t="s">
        <v>445</v>
      </c>
      <c r="H172" s="94">
        <v>1</v>
      </c>
      <c r="I172" s="386">
        <v>45597</v>
      </c>
      <c r="J172" s="94" t="s">
        <v>446</v>
      </c>
      <c r="K172" s="386">
        <v>45604</v>
      </c>
      <c r="L172" s="94" t="s">
        <v>70</v>
      </c>
      <c r="M172" s="75">
        <v>5133333</v>
      </c>
      <c r="N172" s="75">
        <v>49588</v>
      </c>
      <c r="O172" s="75">
        <v>150000</v>
      </c>
      <c r="P172" s="75">
        <f>+M172-N172-O172</f>
        <v>4933745</v>
      </c>
      <c r="Q172" s="605">
        <f>+D172-M172-M173-M174-M175</f>
        <v>0</v>
      </c>
      <c r="R172" s="339"/>
    </row>
    <row r="173" spans="1:20" ht="48.95" customHeight="1">
      <c r="A173" s="469"/>
      <c r="B173" s="467"/>
      <c r="C173" s="625"/>
      <c r="D173" s="491"/>
      <c r="E173" s="488"/>
      <c r="F173" s="645"/>
      <c r="G173" s="24" t="s">
        <v>447</v>
      </c>
      <c r="H173" s="37">
        <v>2</v>
      </c>
      <c r="I173" s="384">
        <v>45627</v>
      </c>
      <c r="J173" s="36" t="s">
        <v>448</v>
      </c>
      <c r="K173" s="384">
        <v>45632</v>
      </c>
      <c r="L173" s="37" t="s">
        <v>70</v>
      </c>
      <c r="M173" s="34">
        <f>11000000/2</f>
        <v>5500000</v>
      </c>
      <c r="N173" s="34">
        <f>106260/2</f>
        <v>53130</v>
      </c>
      <c r="O173" s="34">
        <f>383000/2</f>
        <v>191500</v>
      </c>
      <c r="P173" s="34">
        <f>+M173-N173-O173</f>
        <v>5255370</v>
      </c>
      <c r="Q173" s="603"/>
      <c r="R173" s="340"/>
    </row>
    <row r="174" spans="1:20" ht="48.95" customHeight="1">
      <c r="A174" s="469"/>
      <c r="B174" s="467"/>
      <c r="C174" s="625"/>
      <c r="D174" s="491"/>
      <c r="E174" s="488"/>
      <c r="F174" s="645"/>
      <c r="G174" s="24" t="s">
        <v>449</v>
      </c>
      <c r="H174" s="37">
        <v>3</v>
      </c>
      <c r="I174" s="384">
        <v>45665</v>
      </c>
      <c r="J174" s="36" t="s">
        <v>450</v>
      </c>
      <c r="K174" s="384">
        <v>45666</v>
      </c>
      <c r="L174" s="37" t="s">
        <v>70</v>
      </c>
      <c r="M174" s="34">
        <f>11000000/2</f>
        <v>5500000</v>
      </c>
      <c r="N174" s="34">
        <f>106260/2</f>
        <v>53130</v>
      </c>
      <c r="O174" s="34">
        <f>333000/2</f>
        <v>166500</v>
      </c>
      <c r="P174" s="34">
        <f>+M174-N174-O174</f>
        <v>5280370</v>
      </c>
      <c r="Q174" s="603"/>
      <c r="R174" s="340"/>
    </row>
    <row r="175" spans="1:20" ht="48.95" customHeight="1" thickBot="1">
      <c r="A175" s="469"/>
      <c r="B175" s="467"/>
      <c r="C175" s="626"/>
      <c r="D175" s="572"/>
      <c r="E175" s="574"/>
      <c r="F175" s="646"/>
      <c r="G175" s="85" t="s">
        <v>451</v>
      </c>
      <c r="H175" s="98">
        <v>4</v>
      </c>
      <c r="I175" s="385">
        <v>45694</v>
      </c>
      <c r="J175" s="101" t="s">
        <v>452</v>
      </c>
      <c r="K175" s="385">
        <v>45699</v>
      </c>
      <c r="L175" s="98" t="s">
        <v>70</v>
      </c>
      <c r="M175" s="76">
        <f>11000000/2</f>
        <v>5500000</v>
      </c>
      <c r="N175" s="76">
        <f>106260/2</f>
        <v>53130</v>
      </c>
      <c r="O175" s="76">
        <f>279000/2</f>
        <v>139500</v>
      </c>
      <c r="P175" s="76">
        <f>+M175-N175-O175</f>
        <v>5307370</v>
      </c>
      <c r="Q175" s="604"/>
      <c r="R175" s="355"/>
    </row>
    <row r="176" spans="1:20" ht="45.95" customHeight="1">
      <c r="A176" s="469"/>
      <c r="B176" s="467"/>
      <c r="C176" s="568" t="s">
        <v>453</v>
      </c>
      <c r="D176" s="571">
        <f>25500000+8500000</f>
        <v>34000000</v>
      </c>
      <c r="E176" s="573" t="s">
        <v>454</v>
      </c>
      <c r="F176" s="618">
        <v>79689156</v>
      </c>
      <c r="G176" s="84" t="s">
        <v>455</v>
      </c>
      <c r="H176" s="94">
        <v>1</v>
      </c>
      <c r="I176" s="386">
        <v>45597</v>
      </c>
      <c r="J176" s="94" t="s">
        <v>456</v>
      </c>
      <c r="K176" s="386">
        <v>45604</v>
      </c>
      <c r="L176" s="94" t="s">
        <v>70</v>
      </c>
      <c r="M176" s="75">
        <v>6516667</v>
      </c>
      <c r="N176" s="75">
        <v>62951</v>
      </c>
      <c r="O176" s="75"/>
      <c r="P176" s="75">
        <f t="shared" ref="P176:P181" si="10">+M176-N176-O176</f>
        <v>6453716</v>
      </c>
      <c r="Q176" s="605">
        <f>+D176-M176-M177-M178-M179</f>
        <v>1983333</v>
      </c>
      <c r="R176" s="339"/>
    </row>
    <row r="177" spans="1:18" ht="45.95" customHeight="1">
      <c r="A177" s="469"/>
      <c r="B177" s="467"/>
      <c r="C177" s="569"/>
      <c r="D177" s="491"/>
      <c r="E177" s="488"/>
      <c r="F177" s="619"/>
      <c r="G177" s="24" t="s">
        <v>457</v>
      </c>
      <c r="H177" s="37">
        <v>2</v>
      </c>
      <c r="I177" s="384">
        <v>45627</v>
      </c>
      <c r="J177" s="36" t="s">
        <v>458</v>
      </c>
      <c r="K177" s="384">
        <v>45646</v>
      </c>
      <c r="L177" s="37" t="s">
        <v>70</v>
      </c>
      <c r="M177" s="34">
        <v>8500000</v>
      </c>
      <c r="N177" s="34">
        <v>82110</v>
      </c>
      <c r="O177" s="34">
        <v>184000</v>
      </c>
      <c r="P177" s="34">
        <f>+M177-N177-O177</f>
        <v>8233890</v>
      </c>
      <c r="Q177" s="603"/>
      <c r="R177" s="340"/>
    </row>
    <row r="178" spans="1:18" ht="45.95" customHeight="1">
      <c r="A178" s="469"/>
      <c r="B178" s="467"/>
      <c r="C178" s="569"/>
      <c r="D178" s="491"/>
      <c r="E178" s="488"/>
      <c r="F178" s="619"/>
      <c r="G178" s="24" t="s">
        <v>459</v>
      </c>
      <c r="H178" s="37">
        <v>3</v>
      </c>
      <c r="I178" s="384">
        <v>45301</v>
      </c>
      <c r="J178" s="36" t="s">
        <v>460</v>
      </c>
      <c r="K178" s="384">
        <v>45685</v>
      </c>
      <c r="L178" s="37" t="s">
        <v>70</v>
      </c>
      <c r="M178" s="34">
        <v>8500000</v>
      </c>
      <c r="N178" s="34">
        <v>82110</v>
      </c>
      <c r="O178" s="34">
        <v>135000</v>
      </c>
      <c r="P178" s="34">
        <f>+M178-N178-O178</f>
        <v>8282890</v>
      </c>
      <c r="Q178" s="603"/>
      <c r="R178" s="340"/>
    </row>
    <row r="179" spans="1:18" ht="45.95" customHeight="1" thickBot="1">
      <c r="A179" s="469"/>
      <c r="B179" s="467"/>
      <c r="C179" s="570"/>
      <c r="D179" s="572"/>
      <c r="E179" s="574"/>
      <c r="F179" s="620"/>
      <c r="G179" s="85" t="s">
        <v>461</v>
      </c>
      <c r="H179" s="98">
        <v>4</v>
      </c>
      <c r="I179" s="385">
        <v>45696</v>
      </c>
      <c r="J179" s="101" t="s">
        <v>462</v>
      </c>
      <c r="K179" s="385">
        <v>45706</v>
      </c>
      <c r="L179" s="98" t="s">
        <v>70</v>
      </c>
      <c r="M179" s="76">
        <v>8500000</v>
      </c>
      <c r="N179" s="76">
        <v>82110</v>
      </c>
      <c r="O179" s="76">
        <v>97000</v>
      </c>
      <c r="P179" s="76">
        <f>+M179-N179-O179</f>
        <v>8320890</v>
      </c>
      <c r="Q179" s="604"/>
      <c r="R179" s="355"/>
    </row>
    <row r="180" spans="1:18" ht="48.95" customHeight="1">
      <c r="A180" s="469"/>
      <c r="B180" s="467"/>
      <c r="C180" s="568" t="s">
        <v>463</v>
      </c>
      <c r="D180" s="571">
        <f>21250000+8500000</f>
        <v>29750000</v>
      </c>
      <c r="E180" s="573" t="s">
        <v>464</v>
      </c>
      <c r="F180" s="575">
        <v>80039148</v>
      </c>
      <c r="G180" s="84" t="s">
        <v>465</v>
      </c>
      <c r="H180" s="94">
        <v>1</v>
      </c>
      <c r="I180" s="386">
        <v>45597</v>
      </c>
      <c r="J180" s="94" t="s">
        <v>466</v>
      </c>
      <c r="K180" s="386">
        <v>45602</v>
      </c>
      <c r="L180" s="94" t="s">
        <v>70</v>
      </c>
      <c r="M180" s="75">
        <v>4533333</v>
      </c>
      <c r="N180" s="75">
        <v>43792</v>
      </c>
      <c r="O180" s="75"/>
      <c r="P180" s="75">
        <f t="shared" si="10"/>
        <v>4489541</v>
      </c>
      <c r="Q180" s="605">
        <f>+D180-M180-M181-M182-M183</f>
        <v>0</v>
      </c>
      <c r="R180" s="339"/>
    </row>
    <row r="181" spans="1:18" ht="48.95" customHeight="1">
      <c r="A181" s="469"/>
      <c r="B181" s="467"/>
      <c r="C181" s="569"/>
      <c r="D181" s="491"/>
      <c r="E181" s="488"/>
      <c r="F181" s="576"/>
      <c r="G181" s="24" t="s">
        <v>467</v>
      </c>
      <c r="H181" s="37">
        <v>2</v>
      </c>
      <c r="I181" s="384">
        <v>45627</v>
      </c>
      <c r="J181" s="36" t="s">
        <v>468</v>
      </c>
      <c r="K181" s="384">
        <v>45632</v>
      </c>
      <c r="L181" s="37" t="s">
        <v>70</v>
      </c>
      <c r="M181" s="34">
        <v>8500000</v>
      </c>
      <c r="N181" s="34">
        <v>82110</v>
      </c>
      <c r="O181" s="34">
        <v>224000</v>
      </c>
      <c r="P181" s="34">
        <f t="shared" si="10"/>
        <v>8193890</v>
      </c>
      <c r="Q181" s="603"/>
      <c r="R181" s="340"/>
    </row>
    <row r="182" spans="1:18" ht="48.95" customHeight="1">
      <c r="A182" s="469"/>
      <c r="B182" s="467"/>
      <c r="C182" s="569"/>
      <c r="D182" s="491"/>
      <c r="E182" s="488"/>
      <c r="F182" s="576"/>
      <c r="G182" s="24" t="s">
        <v>469</v>
      </c>
      <c r="H182" s="37">
        <v>3</v>
      </c>
      <c r="I182" s="384">
        <v>45656</v>
      </c>
      <c r="J182" s="36" t="s">
        <v>470</v>
      </c>
      <c r="K182" s="384">
        <v>45660</v>
      </c>
      <c r="L182" s="37" t="s">
        <v>70</v>
      </c>
      <c r="M182" s="34">
        <v>8216667</v>
      </c>
      <c r="N182" s="34">
        <v>79373</v>
      </c>
      <c r="O182" s="34">
        <v>188000</v>
      </c>
      <c r="P182" s="34">
        <f t="shared" ref="P182" si="11">+M182-N182-O182</f>
        <v>7949294</v>
      </c>
      <c r="Q182" s="603"/>
      <c r="R182" s="340"/>
    </row>
    <row r="183" spans="1:18" ht="48.95" customHeight="1" thickBot="1">
      <c r="A183" s="469"/>
      <c r="B183" s="467"/>
      <c r="C183" s="570"/>
      <c r="D183" s="572"/>
      <c r="E183" s="574"/>
      <c r="F183" s="577"/>
      <c r="G183" s="85" t="s">
        <v>471</v>
      </c>
      <c r="H183" s="98">
        <v>4</v>
      </c>
      <c r="I183" s="385">
        <v>45703</v>
      </c>
      <c r="J183" s="101" t="s">
        <v>472</v>
      </c>
      <c r="K183" s="385">
        <v>45708</v>
      </c>
      <c r="L183" s="98" t="s">
        <v>70</v>
      </c>
      <c r="M183" s="76">
        <v>8500000</v>
      </c>
      <c r="N183" s="76">
        <v>82110</v>
      </c>
      <c r="O183" s="76">
        <v>174000</v>
      </c>
      <c r="P183" s="76">
        <f>+M183-N183-O183</f>
        <v>8243890</v>
      </c>
      <c r="Q183" s="604"/>
      <c r="R183" s="355"/>
    </row>
    <row r="184" spans="1:18" s="32" customFormat="1" ht="60.6" customHeight="1">
      <c r="A184" s="469"/>
      <c r="B184" s="467"/>
      <c r="C184" s="568" t="s">
        <v>473</v>
      </c>
      <c r="D184" s="571">
        <f>18000000+4200000</f>
        <v>22200000</v>
      </c>
      <c r="E184" s="573" t="s">
        <v>474</v>
      </c>
      <c r="F184" s="575">
        <v>52709278</v>
      </c>
      <c r="G184" s="93" t="s">
        <v>475</v>
      </c>
      <c r="H184" s="94">
        <v>1</v>
      </c>
      <c r="I184" s="402">
        <v>45611</v>
      </c>
      <c r="J184" s="223" t="s">
        <v>476</v>
      </c>
      <c r="K184" s="402">
        <v>45625</v>
      </c>
      <c r="L184" s="94" t="s">
        <v>70</v>
      </c>
      <c r="M184" s="75">
        <v>9000000</v>
      </c>
      <c r="N184" s="75">
        <v>86940</v>
      </c>
      <c r="O184" s="75">
        <v>287000</v>
      </c>
      <c r="P184" s="75">
        <f>+M184-N184-O184</f>
        <v>8626060</v>
      </c>
      <c r="Q184" s="571">
        <f>+D184-M184-M185-M186</f>
        <v>0</v>
      </c>
      <c r="R184" s="342"/>
    </row>
    <row r="185" spans="1:18" ht="60.6" customHeight="1">
      <c r="A185" s="469"/>
      <c r="B185" s="467"/>
      <c r="C185" s="569"/>
      <c r="D185" s="491"/>
      <c r="E185" s="488"/>
      <c r="F185" s="576"/>
      <c r="G185" s="33" t="s">
        <v>477</v>
      </c>
      <c r="H185" s="37">
        <v>2</v>
      </c>
      <c r="I185" s="392">
        <v>45641</v>
      </c>
      <c r="J185" s="36" t="s">
        <v>478</v>
      </c>
      <c r="K185" s="392">
        <v>45653</v>
      </c>
      <c r="L185" s="37" t="s">
        <v>70</v>
      </c>
      <c r="M185" s="34">
        <v>9000000</v>
      </c>
      <c r="N185" s="34">
        <v>86940</v>
      </c>
      <c r="O185" s="34">
        <v>287000</v>
      </c>
      <c r="P185" s="34">
        <f t="shared" ref="P185" si="12">+M185-N185-O185</f>
        <v>8626060</v>
      </c>
      <c r="Q185" s="491"/>
      <c r="R185" s="340"/>
    </row>
    <row r="186" spans="1:18" ht="60.6" customHeight="1" thickBot="1">
      <c r="A186" s="469"/>
      <c r="B186" s="467"/>
      <c r="C186" s="582"/>
      <c r="D186" s="572"/>
      <c r="E186" s="574"/>
      <c r="F186" s="577"/>
      <c r="G186" s="96" t="s">
        <v>479</v>
      </c>
      <c r="H186" s="98">
        <v>3</v>
      </c>
      <c r="I186" s="393">
        <v>45656</v>
      </c>
      <c r="J186" s="101" t="s">
        <v>480</v>
      </c>
      <c r="K186" s="393">
        <v>45657</v>
      </c>
      <c r="L186" s="98" t="s">
        <v>70</v>
      </c>
      <c r="M186" s="76">
        <v>4200000</v>
      </c>
      <c r="N186" s="76">
        <v>40572</v>
      </c>
      <c r="O186" s="76"/>
      <c r="P186" s="76">
        <f>+M186-N186-O186</f>
        <v>4159428</v>
      </c>
      <c r="Q186" s="572"/>
      <c r="R186" s="341"/>
    </row>
    <row r="187" spans="1:18" ht="60.6" customHeight="1">
      <c r="A187" s="469"/>
      <c r="B187" s="467"/>
      <c r="C187" s="593" t="s">
        <v>481</v>
      </c>
      <c r="D187" s="649">
        <v>7000000</v>
      </c>
      <c r="E187" s="573" t="s">
        <v>482</v>
      </c>
      <c r="F187" s="575">
        <v>80767738</v>
      </c>
      <c r="G187" s="93" t="s">
        <v>483</v>
      </c>
      <c r="H187" s="94">
        <v>1</v>
      </c>
      <c r="I187" s="386">
        <v>45676</v>
      </c>
      <c r="J187" s="79" t="s">
        <v>484</v>
      </c>
      <c r="K187" s="386">
        <v>45677</v>
      </c>
      <c r="L187" s="94" t="s">
        <v>70</v>
      </c>
      <c r="M187" s="75">
        <f>7000000/2</f>
        <v>3500000</v>
      </c>
      <c r="N187" s="75">
        <f>53620/2</f>
        <v>26810</v>
      </c>
      <c r="O187" s="75"/>
      <c r="P187" s="75">
        <f>+M187-N187</f>
        <v>3473190</v>
      </c>
      <c r="Q187" s="571">
        <f>+D187-M187-M188</f>
        <v>0</v>
      </c>
      <c r="R187" s="339"/>
    </row>
    <row r="188" spans="1:18" ht="60.6" customHeight="1" thickBot="1">
      <c r="A188" s="469"/>
      <c r="B188" s="467"/>
      <c r="C188" s="594"/>
      <c r="D188" s="650"/>
      <c r="E188" s="574"/>
      <c r="F188" s="577"/>
      <c r="G188" s="96" t="s">
        <v>485</v>
      </c>
      <c r="H188" s="98">
        <v>2</v>
      </c>
      <c r="I188" s="385">
        <v>45676</v>
      </c>
      <c r="J188" s="87" t="s">
        <v>486</v>
      </c>
      <c r="K188" s="385">
        <v>45677</v>
      </c>
      <c r="L188" s="98" t="s">
        <v>70</v>
      </c>
      <c r="M188" s="76">
        <f>7000000/2</f>
        <v>3500000</v>
      </c>
      <c r="N188" s="76">
        <f>53620/2</f>
        <v>26810</v>
      </c>
      <c r="O188" s="76"/>
      <c r="P188" s="76">
        <f>+M188-N188</f>
        <v>3473190</v>
      </c>
      <c r="Q188" s="572"/>
      <c r="R188" s="341"/>
    </row>
    <row r="189" spans="1:18" ht="60.6" customHeight="1">
      <c r="A189" s="469"/>
      <c r="B189" s="467"/>
      <c r="C189" s="654" t="s">
        <v>431</v>
      </c>
      <c r="D189" s="522">
        <v>13000000</v>
      </c>
      <c r="E189" s="521" t="s">
        <v>487</v>
      </c>
      <c r="F189" s="647">
        <v>53003203</v>
      </c>
      <c r="G189" s="93" t="s">
        <v>488</v>
      </c>
      <c r="H189" s="94">
        <v>1</v>
      </c>
      <c r="I189" s="386">
        <v>45656</v>
      </c>
      <c r="J189" s="79" t="s">
        <v>489</v>
      </c>
      <c r="K189" s="386">
        <v>45660</v>
      </c>
      <c r="L189" s="94" t="s">
        <v>70</v>
      </c>
      <c r="M189" s="75">
        <v>6500000</v>
      </c>
      <c r="N189" s="75">
        <v>62790</v>
      </c>
      <c r="O189" s="75"/>
      <c r="P189" s="75">
        <f t="shared" ref="P189:P196" si="13">+M189-N189-O189</f>
        <v>6437210</v>
      </c>
      <c r="Q189" s="571">
        <f>+D189-M189-M190</f>
        <v>0</v>
      </c>
      <c r="R189" s="339"/>
    </row>
    <row r="190" spans="1:18" ht="60.6" customHeight="1" thickBot="1">
      <c r="A190" s="469"/>
      <c r="B190" s="467"/>
      <c r="C190" s="655"/>
      <c r="D190" s="492"/>
      <c r="E190" s="489"/>
      <c r="F190" s="648"/>
      <c r="G190" s="96" t="s">
        <v>490</v>
      </c>
      <c r="H190" s="98">
        <v>2</v>
      </c>
      <c r="I190" s="385">
        <v>45656</v>
      </c>
      <c r="J190" s="87" t="s">
        <v>491</v>
      </c>
      <c r="K190" s="385">
        <v>45660</v>
      </c>
      <c r="L190" s="98" t="s">
        <v>70</v>
      </c>
      <c r="M190" s="76">
        <v>6500000</v>
      </c>
      <c r="N190" s="76">
        <v>62790</v>
      </c>
      <c r="O190" s="76"/>
      <c r="P190" s="76">
        <f t="shared" si="13"/>
        <v>6437210</v>
      </c>
      <c r="Q190" s="572"/>
      <c r="R190" s="341"/>
    </row>
    <row r="191" spans="1:18" ht="60.6" customHeight="1" thickBot="1">
      <c r="A191" s="469"/>
      <c r="B191" s="467"/>
      <c r="C191" s="219" t="s">
        <v>492</v>
      </c>
      <c r="D191" s="124">
        <v>6500000</v>
      </c>
      <c r="E191" s="125" t="s">
        <v>493</v>
      </c>
      <c r="F191" s="126">
        <v>1012396339</v>
      </c>
      <c r="G191" s="115" t="s">
        <v>494</v>
      </c>
      <c r="H191" s="118">
        <v>1</v>
      </c>
      <c r="I191" s="407">
        <v>45657</v>
      </c>
      <c r="J191" s="127" t="s">
        <v>495</v>
      </c>
      <c r="K191" s="407">
        <v>45660</v>
      </c>
      <c r="L191" s="118" t="s">
        <v>70</v>
      </c>
      <c r="M191" s="114">
        <v>6500000</v>
      </c>
      <c r="N191" s="114"/>
      <c r="O191" s="114"/>
      <c r="P191" s="114">
        <f t="shared" si="13"/>
        <v>6500000</v>
      </c>
      <c r="Q191" s="114">
        <f>+D191-M191</f>
        <v>0</v>
      </c>
      <c r="R191" s="343"/>
    </row>
    <row r="192" spans="1:18" ht="60.6" customHeight="1" thickBot="1">
      <c r="A192" s="469"/>
      <c r="B192" s="467"/>
      <c r="C192" s="155" t="s">
        <v>496</v>
      </c>
      <c r="D192" s="124">
        <v>4101479</v>
      </c>
      <c r="E192" s="125" t="s">
        <v>497</v>
      </c>
      <c r="F192" s="126">
        <v>1233892909</v>
      </c>
      <c r="G192" s="115" t="s">
        <v>498</v>
      </c>
      <c r="H192" s="118">
        <v>1</v>
      </c>
      <c r="I192" s="407">
        <v>45664</v>
      </c>
      <c r="J192" s="127" t="s">
        <v>499</v>
      </c>
      <c r="K192" s="407">
        <v>45666</v>
      </c>
      <c r="L192" s="118" t="s">
        <v>70</v>
      </c>
      <c r="M192" s="114">
        <v>4101479</v>
      </c>
      <c r="N192" s="114">
        <v>39620</v>
      </c>
      <c r="O192" s="114"/>
      <c r="P192" s="114">
        <f t="shared" si="13"/>
        <v>4061859</v>
      </c>
      <c r="Q192" s="114">
        <f>+D192-M192</f>
        <v>0</v>
      </c>
      <c r="R192" s="343"/>
    </row>
    <row r="193" spans="1:22" ht="60.6" customHeight="1">
      <c r="A193" s="469"/>
      <c r="B193" s="467"/>
      <c r="C193" s="627" t="s">
        <v>500</v>
      </c>
      <c r="D193" s="571">
        <f>+M193+M194+M195</f>
        <v>11257717.5</v>
      </c>
      <c r="E193" s="573" t="s">
        <v>501</v>
      </c>
      <c r="F193" s="575">
        <v>1127938847</v>
      </c>
      <c r="G193" s="93" t="s">
        <v>502</v>
      </c>
      <c r="H193" s="94">
        <v>1</v>
      </c>
      <c r="I193" s="402">
        <v>45664</v>
      </c>
      <c r="J193" s="223" t="s">
        <v>503</v>
      </c>
      <c r="K193" s="402">
        <v>45666</v>
      </c>
      <c r="L193" s="94" t="s">
        <v>70</v>
      </c>
      <c r="M193" s="75">
        <f>8143881/2</f>
        <v>4071940.5</v>
      </c>
      <c r="N193" s="75">
        <f>78670/2</f>
        <v>39335</v>
      </c>
      <c r="O193" s="75">
        <f>129000/2</f>
        <v>64500</v>
      </c>
      <c r="P193" s="75">
        <f t="shared" si="13"/>
        <v>3968105.5</v>
      </c>
      <c r="Q193" s="571">
        <f>+D193-M193-M195-M194</f>
        <v>0</v>
      </c>
      <c r="R193" s="342"/>
    </row>
    <row r="194" spans="1:22" ht="60.6" customHeight="1">
      <c r="A194" s="469"/>
      <c r="B194" s="467"/>
      <c r="C194" s="629"/>
      <c r="D194" s="491"/>
      <c r="E194" s="488"/>
      <c r="F194" s="576"/>
      <c r="G194" s="33" t="s">
        <v>504</v>
      </c>
      <c r="H194" s="37">
        <v>2</v>
      </c>
      <c r="I194" s="392">
        <v>45698</v>
      </c>
      <c r="J194" s="36" t="s">
        <v>505</v>
      </c>
      <c r="K194" s="392">
        <v>45699</v>
      </c>
      <c r="L194" s="37" t="s">
        <v>70</v>
      </c>
      <c r="M194" s="34">
        <f>7185777/2</f>
        <v>3592888.5</v>
      </c>
      <c r="N194" s="34">
        <f>69415/2</f>
        <v>34707.5</v>
      </c>
      <c r="O194" s="34">
        <v>4000</v>
      </c>
      <c r="P194" s="34">
        <f>+M194-N194-O194</f>
        <v>3554181</v>
      </c>
      <c r="Q194" s="491"/>
      <c r="R194" s="340"/>
    </row>
    <row r="195" spans="1:22" ht="60.6" customHeight="1" thickBot="1">
      <c r="A195" s="469"/>
      <c r="B195" s="467"/>
      <c r="C195" s="628"/>
      <c r="D195" s="572"/>
      <c r="E195" s="574"/>
      <c r="F195" s="577"/>
      <c r="G195" s="96" t="s">
        <v>506</v>
      </c>
      <c r="H195" s="98">
        <v>3</v>
      </c>
      <c r="I195" s="393">
        <v>45719</v>
      </c>
      <c r="J195" s="101" t="s">
        <v>507</v>
      </c>
      <c r="K195" s="393">
        <v>45720</v>
      </c>
      <c r="L195" s="98" t="s">
        <v>70</v>
      </c>
      <c r="M195" s="76">
        <f>7185777/2</f>
        <v>3592888.5</v>
      </c>
      <c r="N195" s="76">
        <f>69415/2</f>
        <v>34707.5</v>
      </c>
      <c r="O195" s="76">
        <v>4000</v>
      </c>
      <c r="P195" s="76">
        <f>+M195-N195-O195</f>
        <v>3554181</v>
      </c>
      <c r="Q195" s="572"/>
      <c r="R195" s="341"/>
    </row>
    <row r="196" spans="1:22" ht="60.6" customHeight="1" thickBot="1">
      <c r="A196" s="469"/>
      <c r="B196" s="467"/>
      <c r="C196" s="219" t="s">
        <v>496</v>
      </c>
      <c r="D196" s="124">
        <v>4101479</v>
      </c>
      <c r="E196" s="125" t="s">
        <v>508</v>
      </c>
      <c r="F196" s="126">
        <v>1030567946</v>
      </c>
      <c r="G196" s="115" t="s">
        <v>509</v>
      </c>
      <c r="H196" s="118">
        <v>1</v>
      </c>
      <c r="I196" s="407">
        <v>45657</v>
      </c>
      <c r="J196" s="127" t="s">
        <v>510</v>
      </c>
      <c r="K196" s="407">
        <v>45660</v>
      </c>
      <c r="L196" s="118" t="s">
        <v>70</v>
      </c>
      <c r="M196" s="114">
        <v>4101479</v>
      </c>
      <c r="N196" s="114">
        <v>39620</v>
      </c>
      <c r="O196" s="114"/>
      <c r="P196" s="114">
        <f t="shared" si="13"/>
        <v>4061859</v>
      </c>
      <c r="Q196" s="114">
        <f>+D196-M196</f>
        <v>0</v>
      </c>
      <c r="R196" s="343"/>
    </row>
    <row r="197" spans="1:22" ht="60.6" customHeight="1" thickBot="1">
      <c r="A197" s="469"/>
      <c r="B197" s="467"/>
      <c r="C197" s="219" t="s">
        <v>511</v>
      </c>
      <c r="D197" s="124">
        <v>6500000</v>
      </c>
      <c r="E197" s="125" t="s">
        <v>512</v>
      </c>
      <c r="F197" s="126">
        <v>79683519</v>
      </c>
      <c r="G197" s="115" t="s">
        <v>513</v>
      </c>
      <c r="H197" s="118">
        <v>1</v>
      </c>
      <c r="I197" s="407">
        <v>45657</v>
      </c>
      <c r="J197" s="127" t="s">
        <v>514</v>
      </c>
      <c r="K197" s="407">
        <v>45660</v>
      </c>
      <c r="L197" s="118" t="s">
        <v>70</v>
      </c>
      <c r="M197" s="114">
        <v>6500000</v>
      </c>
      <c r="N197" s="114">
        <v>56290</v>
      </c>
      <c r="O197" s="114" t="s">
        <v>515</v>
      </c>
      <c r="P197" s="114">
        <v>6443710</v>
      </c>
      <c r="Q197" s="114">
        <v>0</v>
      </c>
      <c r="R197" s="343"/>
    </row>
    <row r="198" spans="1:22" ht="60.6" customHeight="1" thickBot="1">
      <c r="A198" s="469"/>
      <c r="B198" s="467"/>
      <c r="C198" s="219" t="s">
        <v>496</v>
      </c>
      <c r="D198" s="124">
        <v>4101479</v>
      </c>
      <c r="E198" s="125" t="s">
        <v>516</v>
      </c>
      <c r="F198" s="126">
        <v>1000705800</v>
      </c>
      <c r="G198" s="115" t="s">
        <v>517</v>
      </c>
      <c r="H198" s="118">
        <v>1</v>
      </c>
      <c r="I198" s="407">
        <v>45657</v>
      </c>
      <c r="J198" s="127" t="s">
        <v>518</v>
      </c>
      <c r="K198" s="407">
        <v>45660</v>
      </c>
      <c r="L198" s="118" t="s">
        <v>70</v>
      </c>
      <c r="M198" s="114">
        <v>4101479</v>
      </c>
      <c r="N198" s="114">
        <v>39620</v>
      </c>
      <c r="O198" s="114" t="s">
        <v>515</v>
      </c>
      <c r="P198" s="114">
        <v>4061859</v>
      </c>
      <c r="Q198" s="114">
        <v>0</v>
      </c>
      <c r="R198" s="343"/>
    </row>
    <row r="199" spans="1:22" ht="60.6" customHeight="1" thickBot="1">
      <c r="A199" s="469"/>
      <c r="B199" s="467"/>
      <c r="C199" s="219" t="s">
        <v>511</v>
      </c>
      <c r="D199" s="124">
        <v>6500000</v>
      </c>
      <c r="E199" s="125" t="s">
        <v>519</v>
      </c>
      <c r="F199" s="126">
        <v>80211849</v>
      </c>
      <c r="G199" s="115" t="s">
        <v>520</v>
      </c>
      <c r="H199" s="118">
        <v>1</v>
      </c>
      <c r="I199" s="407">
        <v>45657</v>
      </c>
      <c r="J199" s="127" t="s">
        <v>521</v>
      </c>
      <c r="K199" s="407">
        <v>45665</v>
      </c>
      <c r="L199" s="118" t="s">
        <v>70</v>
      </c>
      <c r="M199" s="114">
        <v>6500000</v>
      </c>
      <c r="N199" s="114">
        <v>62790</v>
      </c>
      <c r="O199" s="114" t="s">
        <v>515</v>
      </c>
      <c r="P199" s="114">
        <v>6437210</v>
      </c>
      <c r="Q199" s="114">
        <v>0</v>
      </c>
      <c r="R199" s="343"/>
    </row>
    <row r="200" spans="1:22" ht="60.6" customHeight="1">
      <c r="A200" s="469"/>
      <c r="B200" s="467"/>
      <c r="C200" s="654" t="s">
        <v>522</v>
      </c>
      <c r="D200" s="522">
        <v>22500000</v>
      </c>
      <c r="E200" s="521" t="s">
        <v>523</v>
      </c>
      <c r="F200" s="647">
        <v>52644626</v>
      </c>
      <c r="G200" s="93" t="s">
        <v>524</v>
      </c>
      <c r="H200" s="94" t="s">
        <v>525</v>
      </c>
      <c r="I200" s="402">
        <v>45690</v>
      </c>
      <c r="J200" s="223" t="s">
        <v>526</v>
      </c>
      <c r="K200" s="402">
        <v>45692</v>
      </c>
      <c r="L200" s="94" t="s">
        <v>70</v>
      </c>
      <c r="M200" s="75">
        <v>7500000</v>
      </c>
      <c r="N200" s="75">
        <v>60882.5</v>
      </c>
      <c r="O200" s="75">
        <v>256500</v>
      </c>
      <c r="P200" s="75">
        <f>+M200-N200-O200</f>
        <v>7182617.5</v>
      </c>
      <c r="Q200" s="571">
        <f>+D200-M200-M202-M201</f>
        <v>0</v>
      </c>
      <c r="R200" s="339"/>
    </row>
    <row r="201" spans="1:22" ht="60.6" customHeight="1">
      <c r="A201" s="469"/>
      <c r="B201" s="467"/>
      <c r="C201" s="569"/>
      <c r="D201" s="491"/>
      <c r="E201" s="488"/>
      <c r="F201" s="576"/>
      <c r="G201" s="33" t="s">
        <v>527</v>
      </c>
      <c r="H201" s="37" t="s">
        <v>528</v>
      </c>
      <c r="I201" s="392">
        <v>45718</v>
      </c>
      <c r="J201" s="36" t="s">
        <v>529</v>
      </c>
      <c r="K201" s="392">
        <v>45720</v>
      </c>
      <c r="L201" s="37" t="s">
        <v>70</v>
      </c>
      <c r="M201" s="34">
        <f>15000000/2</f>
        <v>7500000</v>
      </c>
      <c r="N201" s="34">
        <f>109160/2</f>
        <v>54580</v>
      </c>
      <c r="O201" s="34">
        <f>513000/2</f>
        <v>256500</v>
      </c>
      <c r="P201" s="34">
        <f>+M201-N201-O201</f>
        <v>7188920</v>
      </c>
      <c r="Q201" s="491"/>
      <c r="R201" s="355"/>
    </row>
    <row r="202" spans="1:22" ht="60.6" customHeight="1" thickBot="1">
      <c r="A202" s="469"/>
      <c r="B202" s="467"/>
      <c r="C202" s="655"/>
      <c r="D202" s="492"/>
      <c r="E202" s="489"/>
      <c r="F202" s="648"/>
      <c r="G202" s="96" t="s">
        <v>530</v>
      </c>
      <c r="H202" s="98"/>
      <c r="I202" s="393"/>
      <c r="J202" s="101"/>
      <c r="K202" s="393"/>
      <c r="L202" s="98" t="s">
        <v>70</v>
      </c>
      <c r="M202" s="76">
        <f>15000000/2</f>
        <v>7500000</v>
      </c>
      <c r="N202" s="76">
        <f>109160/2</f>
        <v>54580</v>
      </c>
      <c r="O202" s="76">
        <f>513000/2</f>
        <v>256500</v>
      </c>
      <c r="P202" s="76">
        <f>+M202-N202-O202</f>
        <v>7188920</v>
      </c>
      <c r="Q202" s="572"/>
      <c r="R202" s="341"/>
    </row>
    <row r="203" spans="1:22" ht="60.6" customHeight="1">
      <c r="A203" s="469"/>
      <c r="B203" s="467"/>
      <c r="C203" s="654" t="s">
        <v>500</v>
      </c>
      <c r="D203" s="522">
        <v>12000000</v>
      </c>
      <c r="E203" s="521" t="s">
        <v>531</v>
      </c>
      <c r="F203" s="647">
        <v>1013644198</v>
      </c>
      <c r="G203" s="93" t="s">
        <v>532</v>
      </c>
      <c r="H203" s="94">
        <v>1</v>
      </c>
      <c r="I203" s="402">
        <v>45699</v>
      </c>
      <c r="J203" s="223" t="s">
        <v>533</v>
      </c>
      <c r="K203" s="402">
        <v>45702</v>
      </c>
      <c r="L203" s="94" t="s">
        <v>70</v>
      </c>
      <c r="M203" s="75">
        <f>8000000/2</f>
        <v>4000000</v>
      </c>
      <c r="N203" s="75">
        <f>77280/2</f>
        <v>38640</v>
      </c>
      <c r="O203" s="75"/>
      <c r="P203" s="75">
        <f>+M203-N203-O203</f>
        <v>3961360</v>
      </c>
      <c r="Q203" s="571">
        <f>+D203-M203-M205-M204</f>
        <v>0</v>
      </c>
      <c r="R203" s="339"/>
    </row>
    <row r="204" spans="1:22" ht="60.6" customHeight="1">
      <c r="A204" s="469"/>
      <c r="B204" s="467"/>
      <c r="C204" s="569"/>
      <c r="D204" s="491"/>
      <c r="E204" s="488"/>
      <c r="F204" s="576"/>
      <c r="G204" s="33" t="s">
        <v>534</v>
      </c>
      <c r="H204" s="37">
        <v>2</v>
      </c>
      <c r="I204" s="392">
        <v>45719</v>
      </c>
      <c r="J204" s="36" t="s">
        <v>535</v>
      </c>
      <c r="K204" s="392">
        <v>45720</v>
      </c>
      <c r="L204" s="37" t="s">
        <v>70</v>
      </c>
      <c r="M204" s="34">
        <f>8000000/2</f>
        <v>4000000</v>
      </c>
      <c r="N204" s="34">
        <f>77280/2</f>
        <v>38640</v>
      </c>
      <c r="O204" s="34"/>
      <c r="P204" s="34">
        <f>+M204-N204-O204</f>
        <v>3961360</v>
      </c>
      <c r="Q204" s="491"/>
      <c r="R204" s="355"/>
    </row>
    <row r="205" spans="1:22" ht="60.6" customHeight="1" thickBot="1">
      <c r="A205" s="469"/>
      <c r="B205" s="467"/>
      <c r="C205" s="655"/>
      <c r="D205" s="492"/>
      <c r="E205" s="489"/>
      <c r="F205" s="648"/>
      <c r="G205" s="96" t="s">
        <v>536</v>
      </c>
      <c r="H205" s="98">
        <v>3</v>
      </c>
      <c r="I205" s="393"/>
      <c r="J205" s="101"/>
      <c r="K205" s="393"/>
      <c r="L205" s="98" t="s">
        <v>70</v>
      </c>
      <c r="M205" s="76">
        <f>8000000/2</f>
        <v>4000000</v>
      </c>
      <c r="N205" s="76">
        <f>77280/2</f>
        <v>38640</v>
      </c>
      <c r="O205" s="76"/>
      <c r="P205" s="76">
        <f>+M205-N205-O205</f>
        <v>3961360</v>
      </c>
      <c r="Q205" s="572"/>
      <c r="R205" s="341"/>
    </row>
    <row r="206" spans="1:22" ht="60.6" customHeight="1" thickBot="1">
      <c r="A206" s="469"/>
      <c r="B206" s="467"/>
      <c r="C206" s="277"/>
      <c r="D206" s="145">
        <f>231189821-D168-D169-D172-D176-D180-D184-D187-D189-D191-D192-D193-D196-D197-D198-D199-D200-D203</f>
        <v>5744333.5</v>
      </c>
      <c r="E206" s="146"/>
      <c r="F206" s="144"/>
      <c r="G206" s="121"/>
      <c r="H206" s="122"/>
      <c r="I206" s="408"/>
      <c r="J206" s="162"/>
      <c r="K206" s="408"/>
      <c r="L206" s="122"/>
      <c r="M206" s="120"/>
      <c r="N206" s="120"/>
      <c r="O206" s="120"/>
      <c r="P206" s="120"/>
      <c r="Q206" s="120">
        <f>+D206</f>
        <v>5744333.5</v>
      </c>
      <c r="R206" s="344"/>
    </row>
    <row r="207" spans="1:22" ht="30.95" thickBot="1">
      <c r="A207" s="278"/>
      <c r="B207" s="250">
        <f>SUM(B168:B168)</f>
        <v>231189821</v>
      </c>
      <c r="C207" s="251" t="s">
        <v>537</v>
      </c>
      <c r="D207" s="250">
        <f>+SUM(D168:D206)</f>
        <v>231189821</v>
      </c>
      <c r="E207" s="252"/>
      <c r="F207" s="253"/>
      <c r="G207" s="252"/>
      <c r="H207" s="254"/>
      <c r="I207" s="254"/>
      <c r="J207" s="254"/>
      <c r="K207" s="254"/>
      <c r="L207" s="254"/>
      <c r="M207" s="250">
        <f>+SUM(M168:M206)</f>
        <v>219245487.5</v>
      </c>
      <c r="N207" s="250">
        <f t="shared" ref="N207:Q207" si="14">+SUM(N168:N206)</f>
        <v>2005605.5</v>
      </c>
      <c r="O207" s="250">
        <f t="shared" si="14"/>
        <v>3407000</v>
      </c>
      <c r="P207" s="250">
        <f t="shared" si="14"/>
        <v>213832882</v>
      </c>
      <c r="Q207" s="250">
        <f t="shared" si="14"/>
        <v>11944333.5</v>
      </c>
      <c r="R207" s="255"/>
      <c r="T207" s="40"/>
      <c r="U207" s="40"/>
      <c r="V207" s="40"/>
    </row>
    <row r="208" spans="1:22" s="32" customFormat="1" ht="30.95" thickBot="1">
      <c r="A208" s="322"/>
      <c r="B208" s="89">
        <f>+D208</f>
        <v>3422064612.7707353</v>
      </c>
      <c r="C208" s="88" t="s">
        <v>538</v>
      </c>
      <c r="D208" s="89">
        <f>+D207+D167+D162+D140+D123</f>
        <v>3422064612.7707353</v>
      </c>
      <c r="E208" s="90"/>
      <c r="F208" s="91"/>
      <c r="G208" s="90"/>
      <c r="H208" s="92"/>
      <c r="I208" s="92"/>
      <c r="J208" s="92"/>
      <c r="K208" s="92"/>
      <c r="L208" s="92"/>
      <c r="M208" s="89">
        <f>SUM(M207,M167,M162,M140,M123)</f>
        <v>3264387009.2080789</v>
      </c>
      <c r="N208" s="89">
        <f t="shared" ref="N208:Q208" si="15">SUM(N207,N167,N162,N140,N123)</f>
        <v>14373648.969304897</v>
      </c>
      <c r="O208" s="89">
        <f t="shared" si="15"/>
        <v>70992392.299311012</v>
      </c>
      <c r="P208" s="89">
        <f t="shared" si="15"/>
        <v>3179216570.1522655</v>
      </c>
      <c r="Q208" s="89">
        <f t="shared" si="15"/>
        <v>157677603.86825651</v>
      </c>
      <c r="R208" s="323"/>
      <c r="T208" s="362"/>
      <c r="U208" s="362"/>
      <c r="V208" s="362"/>
    </row>
    <row r="209" spans="1:18" ht="27.95" customHeight="1" thickBot="1">
      <c r="A209" s="475" t="s">
        <v>539</v>
      </c>
      <c r="B209" s="476"/>
      <c r="C209" s="476"/>
      <c r="D209" s="476"/>
      <c r="E209" s="476"/>
      <c r="F209" s="476"/>
      <c r="G209" s="477"/>
      <c r="H209" s="324"/>
      <c r="I209" s="409"/>
      <c r="J209" s="325"/>
      <c r="K209" s="409"/>
      <c r="L209" s="324"/>
      <c r="M209" s="423"/>
      <c r="N209" s="423"/>
      <c r="O209" s="423"/>
      <c r="P209" s="423"/>
      <c r="Q209" s="424"/>
      <c r="R209" s="326"/>
    </row>
    <row r="210" spans="1:18" ht="27.95" customHeight="1" thickBot="1">
      <c r="A210" s="536" t="s">
        <v>540</v>
      </c>
      <c r="B210" s="537"/>
      <c r="C210" s="537"/>
      <c r="D210" s="537"/>
      <c r="E210" s="537"/>
      <c r="F210" s="537"/>
      <c r="G210" s="567"/>
      <c r="H210" s="319"/>
      <c r="I210" s="410"/>
      <c r="J210" s="320"/>
      <c r="K210" s="410"/>
      <c r="L210" s="319"/>
      <c r="M210" s="425"/>
      <c r="N210" s="425"/>
      <c r="O210" s="425"/>
      <c r="P210" s="425"/>
      <c r="Q210" s="426"/>
      <c r="R210" s="321"/>
    </row>
    <row r="211" spans="1:18" s="32" customFormat="1" ht="49.5" customHeight="1">
      <c r="A211" s="485" t="s">
        <v>46</v>
      </c>
      <c r="B211" s="506">
        <f>+D211</f>
        <v>1649999855</v>
      </c>
      <c r="C211" s="504" t="s">
        <v>541</v>
      </c>
      <c r="D211" s="581">
        <v>1649999855</v>
      </c>
      <c r="E211" s="504" t="s">
        <v>542</v>
      </c>
      <c r="F211" s="545">
        <v>900761336</v>
      </c>
      <c r="G211" s="181" t="s">
        <v>543</v>
      </c>
      <c r="H211" s="65" t="s">
        <v>544</v>
      </c>
      <c r="I211" s="383">
        <v>45611</v>
      </c>
      <c r="J211" s="182" t="s">
        <v>545</v>
      </c>
      <c r="K211" s="383">
        <v>45616</v>
      </c>
      <c r="L211" s="258" t="s">
        <v>70</v>
      </c>
      <c r="M211" s="52">
        <v>824999928</v>
      </c>
      <c r="N211" s="52">
        <v>6697059</v>
      </c>
      <c r="O211" s="52">
        <v>27731090</v>
      </c>
      <c r="P211" s="52">
        <v>790571779</v>
      </c>
      <c r="Q211" s="470">
        <f>+D211-M211-M213-M212</f>
        <v>-1</v>
      </c>
      <c r="R211" s="345"/>
    </row>
    <row r="212" spans="1:18" s="32" customFormat="1" ht="49.5" customHeight="1">
      <c r="A212" s="485"/>
      <c r="B212" s="579"/>
      <c r="C212" s="504"/>
      <c r="D212" s="581"/>
      <c r="E212" s="504"/>
      <c r="F212" s="545"/>
      <c r="G212" s="72" t="s">
        <v>546</v>
      </c>
      <c r="H212" s="49" t="s">
        <v>547</v>
      </c>
      <c r="I212" s="387">
        <v>45635</v>
      </c>
      <c r="J212" s="47" t="s">
        <v>548</v>
      </c>
      <c r="K212" s="387">
        <v>45643</v>
      </c>
      <c r="L212" s="154" t="s">
        <v>70</v>
      </c>
      <c r="M212" s="50">
        <v>824974964</v>
      </c>
      <c r="N212" s="50">
        <v>6696856</v>
      </c>
      <c r="O212" s="50">
        <v>27730251</v>
      </c>
      <c r="P212" s="50">
        <v>790547857</v>
      </c>
      <c r="Q212" s="470"/>
      <c r="R212" s="374"/>
    </row>
    <row r="213" spans="1:18" s="32" customFormat="1" ht="49.5" customHeight="1" thickBot="1">
      <c r="A213" s="485"/>
      <c r="B213" s="580"/>
      <c r="C213" s="504"/>
      <c r="D213" s="581"/>
      <c r="E213" s="504"/>
      <c r="F213" s="545"/>
      <c r="G213" s="72" t="s">
        <v>549</v>
      </c>
      <c r="H213" s="49" t="s">
        <v>550</v>
      </c>
      <c r="I213" s="387">
        <v>45714</v>
      </c>
      <c r="J213" s="47" t="s">
        <v>551</v>
      </c>
      <c r="K213" s="387">
        <v>45714</v>
      </c>
      <c r="L213" s="154" t="s">
        <v>70</v>
      </c>
      <c r="M213" s="50">
        <v>24964</v>
      </c>
      <c r="N213" s="50">
        <v>0</v>
      </c>
      <c r="O213" s="50">
        <v>0</v>
      </c>
      <c r="P213" s="50">
        <f>+M213-N213-O213</f>
        <v>24964</v>
      </c>
      <c r="Q213" s="470"/>
      <c r="R213" s="279"/>
    </row>
    <row r="214" spans="1:18" s="32" customFormat="1" ht="30.95" thickBot="1">
      <c r="A214" s="249"/>
      <c r="B214" s="250">
        <f>SUM(B211:B211)</f>
        <v>1649999855</v>
      </c>
      <c r="C214" s="251" t="s">
        <v>283</v>
      </c>
      <c r="D214" s="250">
        <f>SUM(D211:D211)</f>
        <v>1649999855</v>
      </c>
      <c r="E214" s="252"/>
      <c r="F214" s="253"/>
      <c r="G214" s="252"/>
      <c r="H214" s="254"/>
      <c r="I214" s="254"/>
      <c r="J214" s="254"/>
      <c r="K214" s="254"/>
      <c r="L214" s="254"/>
      <c r="M214" s="250">
        <f>+M211+M213+M212</f>
        <v>1649999856</v>
      </c>
      <c r="N214" s="250">
        <f t="shared" ref="N214:Q214" si="16">+N211+N213+N212</f>
        <v>13393915</v>
      </c>
      <c r="O214" s="250">
        <f t="shared" si="16"/>
        <v>55461341</v>
      </c>
      <c r="P214" s="250">
        <f t="shared" si="16"/>
        <v>1581144600</v>
      </c>
      <c r="Q214" s="250">
        <f t="shared" si="16"/>
        <v>-1</v>
      </c>
      <c r="R214" s="255"/>
    </row>
    <row r="215" spans="1:18" ht="33" customHeight="1">
      <c r="A215" s="471" t="s">
        <v>284</v>
      </c>
      <c r="B215" s="473">
        <f>+D217</f>
        <v>0</v>
      </c>
      <c r="C215" s="298" t="s">
        <v>552</v>
      </c>
      <c r="D215" s="52">
        <v>0</v>
      </c>
      <c r="E215" s="181"/>
      <c r="F215" s="182"/>
      <c r="G215" s="181"/>
      <c r="H215" s="65"/>
      <c r="I215" s="60"/>
      <c r="J215" s="182"/>
      <c r="K215" s="60"/>
      <c r="L215" s="65"/>
      <c r="M215" s="52"/>
      <c r="N215" s="52"/>
      <c r="O215" s="52"/>
      <c r="P215" s="52"/>
      <c r="Q215" s="52">
        <f>+D215-M215</f>
        <v>0</v>
      </c>
      <c r="R215" s="345"/>
    </row>
    <row r="216" spans="1:18" ht="30.95" thickBot="1">
      <c r="A216" s="472"/>
      <c r="B216" s="474"/>
      <c r="C216" s="350" t="s">
        <v>553</v>
      </c>
      <c r="D216" s="50">
        <v>0</v>
      </c>
      <c r="E216" s="72"/>
      <c r="F216" s="47"/>
      <c r="G216" s="72"/>
      <c r="H216" s="49"/>
      <c r="I216" s="59"/>
      <c r="J216" s="47"/>
      <c r="K216" s="59"/>
      <c r="L216" s="49"/>
      <c r="M216" s="50"/>
      <c r="N216" s="50"/>
      <c r="O216" s="50"/>
      <c r="P216" s="50"/>
      <c r="Q216" s="50">
        <f>+D216-M216</f>
        <v>0</v>
      </c>
      <c r="R216" s="279"/>
    </row>
    <row r="217" spans="1:18" s="32" customFormat="1" ht="30.95" thickBot="1">
      <c r="A217" s="249"/>
      <c r="B217" s="250">
        <f>SUM(B215:B216)</f>
        <v>0</v>
      </c>
      <c r="C217" s="251" t="s">
        <v>333</v>
      </c>
      <c r="D217" s="250">
        <f>SUM(D215:D216)</f>
        <v>0</v>
      </c>
      <c r="E217" s="252"/>
      <c r="F217" s="253"/>
      <c r="G217" s="252"/>
      <c r="H217" s="254"/>
      <c r="I217" s="254"/>
      <c r="J217" s="254"/>
      <c r="K217" s="254"/>
      <c r="L217" s="254"/>
      <c r="M217" s="250">
        <f>SUM(M215:M216)</f>
        <v>0</v>
      </c>
      <c r="N217" s="250">
        <f>SUM(N215:N216)</f>
        <v>0</v>
      </c>
      <c r="O217" s="250">
        <f>SUM(O215:O216)</f>
        <v>0</v>
      </c>
      <c r="P217" s="250">
        <f>SUM(P215:P216)</f>
        <v>0</v>
      </c>
      <c r="Q217" s="250">
        <f>SUM(Q215:Q216)</f>
        <v>0</v>
      </c>
      <c r="R217" s="255"/>
    </row>
    <row r="218" spans="1:18" ht="33" customHeight="1" thickBot="1">
      <c r="A218" s="457" t="s">
        <v>334</v>
      </c>
      <c r="B218" s="473">
        <f>+D220</f>
        <v>65883480</v>
      </c>
      <c r="C218" s="375" t="s">
        <v>335</v>
      </c>
      <c r="D218" s="376">
        <v>65883480</v>
      </c>
      <c r="E218" s="266" t="s">
        <v>336</v>
      </c>
      <c r="F218" s="267">
        <v>830500339</v>
      </c>
      <c r="G218" s="266" t="s">
        <v>337</v>
      </c>
      <c r="H218" s="134" t="s">
        <v>338</v>
      </c>
      <c r="I218" s="398">
        <v>45719</v>
      </c>
      <c r="J218" s="267" t="s">
        <v>339</v>
      </c>
      <c r="K218" s="398">
        <v>45722</v>
      </c>
      <c r="L218" s="108" t="s">
        <v>70</v>
      </c>
      <c r="M218" s="52">
        <v>62556448.765960976</v>
      </c>
      <c r="N218" s="52">
        <v>129767.7834149495</v>
      </c>
      <c r="O218" s="52">
        <v>188068.77091646663</v>
      </c>
      <c r="P218" s="52">
        <f>+M218-N218-O218</f>
        <v>62238612.211629555</v>
      </c>
      <c r="Q218" s="52">
        <f>+D218-M218</f>
        <v>3327031.2340390235</v>
      </c>
      <c r="R218" s="345"/>
    </row>
    <row r="219" spans="1:18" ht="35.1" customHeight="1" thickBot="1">
      <c r="A219" s="457"/>
      <c r="B219" s="474"/>
      <c r="C219" s="432" t="s">
        <v>340</v>
      </c>
      <c r="D219" s="51">
        <v>0</v>
      </c>
      <c r="E219" s="72"/>
      <c r="F219" s="47"/>
      <c r="G219" s="72"/>
      <c r="H219" s="49"/>
      <c r="I219" s="59"/>
      <c r="J219" s="47"/>
      <c r="K219" s="59"/>
      <c r="L219" s="49"/>
      <c r="M219" s="50"/>
      <c r="N219" s="50"/>
      <c r="O219" s="50"/>
      <c r="P219" s="50"/>
      <c r="Q219" s="50">
        <f>+D219-M219</f>
        <v>0</v>
      </c>
      <c r="R219" s="279"/>
    </row>
    <row r="220" spans="1:18" ht="30.95" thickBot="1">
      <c r="A220" s="281"/>
      <c r="B220" s="264">
        <f>SUM(B218:B219)</f>
        <v>65883480</v>
      </c>
      <c r="C220" s="282" t="s">
        <v>409</v>
      </c>
      <c r="D220" s="264">
        <f>SUM(D218:D219)</f>
        <v>65883480</v>
      </c>
      <c r="E220" s="283"/>
      <c r="F220" s="284"/>
      <c r="G220" s="283"/>
      <c r="H220" s="280"/>
      <c r="I220" s="280"/>
      <c r="J220" s="280"/>
      <c r="K220" s="280"/>
      <c r="L220" s="280"/>
      <c r="M220" s="264">
        <f>SUM(M218:M219)</f>
        <v>62556448.765960976</v>
      </c>
      <c r="N220" s="264">
        <f t="shared" ref="N220:Q220" si="17">SUM(N218:N219)</f>
        <v>129767.7834149495</v>
      </c>
      <c r="O220" s="264">
        <f t="shared" si="17"/>
        <v>188068.77091646663</v>
      </c>
      <c r="P220" s="264">
        <f t="shared" si="17"/>
        <v>62238612.211629555</v>
      </c>
      <c r="Q220" s="264">
        <f t="shared" si="17"/>
        <v>3327031.2340390235</v>
      </c>
      <c r="R220" s="285"/>
    </row>
    <row r="221" spans="1:18" ht="30.95" thickBot="1">
      <c r="A221" s="330"/>
      <c r="B221" s="264">
        <f>SUM(,B220,B217,B214)</f>
        <v>1715883335</v>
      </c>
      <c r="C221" s="282" t="s">
        <v>554</v>
      </c>
      <c r="D221" s="264">
        <f>SUM(D220,D217,D214)</f>
        <v>1715883335</v>
      </c>
      <c r="E221" s="283"/>
      <c r="F221" s="284"/>
      <c r="G221" s="283"/>
      <c r="H221" s="280"/>
      <c r="I221" s="280"/>
      <c r="J221" s="280"/>
      <c r="K221" s="280"/>
      <c r="L221" s="280"/>
      <c r="M221" s="264">
        <f>SUM(M220,M217,M214)</f>
        <v>1712556304.7659609</v>
      </c>
      <c r="N221" s="264">
        <f t="shared" ref="N221:Q221" si="18">SUM(N220,N217,N214)</f>
        <v>13523682.783414949</v>
      </c>
      <c r="O221" s="264">
        <f t="shared" si="18"/>
        <v>55649409.770916469</v>
      </c>
      <c r="P221" s="264">
        <f t="shared" si="18"/>
        <v>1643383212.2116296</v>
      </c>
      <c r="Q221" s="264">
        <f t="shared" si="18"/>
        <v>3327030.2340390235</v>
      </c>
      <c r="R221" s="285"/>
    </row>
    <row r="222" spans="1:18" ht="31.5" customHeight="1" thickBot="1">
      <c r="A222" s="536" t="s">
        <v>555</v>
      </c>
      <c r="B222" s="537"/>
      <c r="C222" s="537"/>
      <c r="D222" s="537"/>
      <c r="E222" s="537"/>
      <c r="F222" s="537"/>
      <c r="G222" s="567"/>
      <c r="H222" s="327"/>
      <c r="I222" s="411"/>
      <c r="J222" s="328"/>
      <c r="K222" s="411"/>
      <c r="L222" s="327"/>
      <c r="M222" s="328"/>
      <c r="N222" s="328"/>
      <c r="O222" s="328"/>
      <c r="P222" s="328"/>
      <c r="Q222" s="328"/>
      <c r="R222" s="329"/>
    </row>
    <row r="223" spans="1:18" ht="48.95" customHeight="1" thickBot="1">
      <c r="A223" s="457" t="s">
        <v>46</v>
      </c>
      <c r="B223" s="454">
        <f>+D290</f>
        <v>903748925.65999997</v>
      </c>
      <c r="C223" s="147" t="s">
        <v>556</v>
      </c>
      <c r="D223" s="137">
        <f>27750000-D224</f>
        <v>18000000</v>
      </c>
      <c r="E223" s="266" t="s">
        <v>271</v>
      </c>
      <c r="F223" s="267">
        <v>79859910</v>
      </c>
      <c r="G223" s="331" t="s">
        <v>557</v>
      </c>
      <c r="H223" s="134">
        <v>1</v>
      </c>
      <c r="I223" s="398">
        <v>45293</v>
      </c>
      <c r="J223" s="267" t="s">
        <v>558</v>
      </c>
      <c r="K223" s="398">
        <v>45678</v>
      </c>
      <c r="L223" s="134" t="s">
        <v>70</v>
      </c>
      <c r="M223" s="137">
        <v>18000000</v>
      </c>
      <c r="N223" s="137">
        <v>173880</v>
      </c>
      <c r="O223" s="137">
        <v>1954000</v>
      </c>
      <c r="P223" s="137">
        <f>+M223-N223-O223</f>
        <v>15872120</v>
      </c>
      <c r="Q223" s="137">
        <f>+D223-M223</f>
        <v>0</v>
      </c>
      <c r="R223" s="346"/>
    </row>
    <row r="224" spans="1:18" ht="60.95" thickBot="1">
      <c r="A224" s="457"/>
      <c r="B224" s="455"/>
      <c r="C224" s="192" t="s">
        <v>431</v>
      </c>
      <c r="D224" s="105">
        <v>9750000</v>
      </c>
      <c r="E224" s="110" t="s">
        <v>559</v>
      </c>
      <c r="F224" s="112" t="s">
        <v>560</v>
      </c>
      <c r="G224" s="106" t="s">
        <v>561</v>
      </c>
      <c r="H224" s="108">
        <v>1</v>
      </c>
      <c r="I224" s="396">
        <v>45657</v>
      </c>
      <c r="J224" s="111" t="s">
        <v>562</v>
      </c>
      <c r="K224" s="396">
        <v>45660</v>
      </c>
      <c r="L224" s="108" t="s">
        <v>70</v>
      </c>
      <c r="M224" s="105">
        <v>9750000</v>
      </c>
      <c r="N224" s="105"/>
      <c r="O224" s="105">
        <v>381000</v>
      </c>
      <c r="P224" s="105">
        <f>+M224-N224-O224</f>
        <v>9369000</v>
      </c>
      <c r="Q224" s="105">
        <f>+D224-M224</f>
        <v>0</v>
      </c>
      <c r="R224" s="184"/>
    </row>
    <row r="225" spans="1:18" ht="57" customHeight="1" thickBot="1">
      <c r="A225" s="457"/>
      <c r="B225" s="455"/>
      <c r="C225" s="192" t="s">
        <v>563</v>
      </c>
      <c r="D225" s="105">
        <v>17000000</v>
      </c>
      <c r="E225" s="110" t="s">
        <v>564</v>
      </c>
      <c r="F225" s="112" t="s">
        <v>565</v>
      </c>
      <c r="G225" s="106" t="s">
        <v>566</v>
      </c>
      <c r="H225" s="108">
        <v>1</v>
      </c>
      <c r="I225" s="396">
        <v>45666</v>
      </c>
      <c r="J225" s="111" t="s">
        <v>567</v>
      </c>
      <c r="K225" s="396">
        <v>45672</v>
      </c>
      <c r="L225" s="108" t="s">
        <v>70</v>
      </c>
      <c r="M225" s="105">
        <v>17000000</v>
      </c>
      <c r="N225" s="105"/>
      <c r="O225" s="105">
        <v>1706000</v>
      </c>
      <c r="P225" s="105">
        <f>+M225-O225</f>
        <v>15294000</v>
      </c>
      <c r="Q225" s="105">
        <f>+D225-M225</f>
        <v>0</v>
      </c>
      <c r="R225" s="184"/>
    </row>
    <row r="226" spans="1:18" s="32" customFormat="1" ht="42.95" customHeight="1" thickBot="1">
      <c r="A226" s="457"/>
      <c r="B226" s="455"/>
      <c r="C226" s="192" t="s">
        <v>568</v>
      </c>
      <c r="D226" s="105">
        <v>50000000</v>
      </c>
      <c r="E226" s="110" t="s">
        <v>569</v>
      </c>
      <c r="F226" s="111">
        <v>79670875</v>
      </c>
      <c r="G226" s="106" t="s">
        <v>570</v>
      </c>
      <c r="H226" s="108">
        <v>1</v>
      </c>
      <c r="I226" s="396">
        <v>45657</v>
      </c>
      <c r="J226" s="111" t="s">
        <v>223</v>
      </c>
      <c r="K226" s="396">
        <v>45657</v>
      </c>
      <c r="L226" s="108" t="s">
        <v>70</v>
      </c>
      <c r="M226" s="105">
        <v>50000000</v>
      </c>
      <c r="N226" s="105"/>
      <c r="O226" s="105">
        <v>5500000</v>
      </c>
      <c r="P226" s="105">
        <f t="shared" ref="P226:P233" si="19">+M226-N226-O226</f>
        <v>44500000</v>
      </c>
      <c r="Q226" s="105">
        <f>+D226-M226</f>
        <v>0</v>
      </c>
      <c r="R226" s="336"/>
    </row>
    <row r="227" spans="1:18" s="32" customFormat="1" ht="63" customHeight="1" thickBot="1">
      <c r="A227" s="457"/>
      <c r="B227" s="455"/>
      <c r="C227" s="192" t="s">
        <v>571</v>
      </c>
      <c r="D227" s="105">
        <v>9000000</v>
      </c>
      <c r="E227" s="110" t="s">
        <v>572</v>
      </c>
      <c r="F227" s="111">
        <v>1015416592</v>
      </c>
      <c r="G227" s="110" t="s">
        <v>573</v>
      </c>
      <c r="H227" s="108">
        <v>1</v>
      </c>
      <c r="I227" s="412">
        <v>45673</v>
      </c>
      <c r="J227" s="111" t="s">
        <v>574</v>
      </c>
      <c r="K227" s="412">
        <v>45685</v>
      </c>
      <c r="L227" s="108" t="s">
        <v>70</v>
      </c>
      <c r="M227" s="105">
        <v>6000000</v>
      </c>
      <c r="N227" s="105"/>
      <c r="O227" s="105"/>
      <c r="P227" s="105">
        <f t="shared" si="19"/>
        <v>6000000</v>
      </c>
      <c r="Q227" s="105">
        <f>+D227-M227</f>
        <v>3000000</v>
      </c>
      <c r="R227" s="336"/>
    </row>
    <row r="228" spans="1:18" s="32" customFormat="1" ht="60">
      <c r="A228" s="457"/>
      <c r="B228" s="455"/>
      <c r="C228" s="528" t="s">
        <v>575</v>
      </c>
      <c r="D228" s="458">
        <v>17519748</v>
      </c>
      <c r="E228" s="77" t="s">
        <v>576</v>
      </c>
      <c r="F228" s="79">
        <v>52260226</v>
      </c>
      <c r="G228" s="77" t="s">
        <v>577</v>
      </c>
      <c r="H228" s="78">
        <v>1</v>
      </c>
      <c r="I228" s="413">
        <v>45649</v>
      </c>
      <c r="J228" s="206" t="s">
        <v>578</v>
      </c>
      <c r="K228" s="413">
        <v>45656</v>
      </c>
      <c r="L228" s="203" t="s">
        <v>70</v>
      </c>
      <c r="M228" s="80">
        <v>8759874</v>
      </c>
      <c r="N228" s="80"/>
      <c r="O228" s="80">
        <v>256000</v>
      </c>
      <c r="P228" s="80">
        <f t="shared" si="19"/>
        <v>8503874</v>
      </c>
      <c r="Q228" s="458">
        <f>+D228-M228-M229</f>
        <v>0</v>
      </c>
      <c r="R228" s="332"/>
    </row>
    <row r="229" spans="1:18" s="32" customFormat="1" ht="60.95" thickBot="1">
      <c r="A229" s="457"/>
      <c r="B229" s="455"/>
      <c r="C229" s="505"/>
      <c r="D229" s="459"/>
      <c r="E229" s="81" t="s">
        <v>579</v>
      </c>
      <c r="F229" s="87">
        <v>1020774410</v>
      </c>
      <c r="G229" s="81" t="s">
        <v>580</v>
      </c>
      <c r="H229" s="82">
        <v>1</v>
      </c>
      <c r="I229" s="381">
        <v>45649</v>
      </c>
      <c r="J229" s="202" t="s">
        <v>578</v>
      </c>
      <c r="K229" s="381">
        <v>45656</v>
      </c>
      <c r="L229" s="205" t="s">
        <v>70</v>
      </c>
      <c r="M229" s="83">
        <v>8759874</v>
      </c>
      <c r="N229" s="83"/>
      <c r="O229" s="83">
        <v>256000</v>
      </c>
      <c r="P229" s="83">
        <f t="shared" si="19"/>
        <v>8503874</v>
      </c>
      <c r="Q229" s="459"/>
      <c r="R229" s="334"/>
    </row>
    <row r="230" spans="1:18" s="32" customFormat="1" ht="60">
      <c r="A230" s="457"/>
      <c r="B230" s="455"/>
      <c r="C230" s="528" t="s">
        <v>581</v>
      </c>
      <c r="D230" s="458">
        <v>35039496</v>
      </c>
      <c r="E230" s="77" t="s">
        <v>582</v>
      </c>
      <c r="F230" s="79">
        <v>1073717694</v>
      </c>
      <c r="G230" s="77" t="s">
        <v>583</v>
      </c>
      <c r="H230" s="78">
        <v>1</v>
      </c>
      <c r="I230" s="413">
        <v>45649</v>
      </c>
      <c r="J230" s="206" t="s">
        <v>578</v>
      </c>
      <c r="K230" s="413">
        <v>45656</v>
      </c>
      <c r="L230" s="203" t="s">
        <v>70</v>
      </c>
      <c r="M230" s="80">
        <v>8759874</v>
      </c>
      <c r="N230" s="80"/>
      <c r="O230" s="80">
        <v>256000</v>
      </c>
      <c r="P230" s="80">
        <f t="shared" si="19"/>
        <v>8503874</v>
      </c>
      <c r="Q230" s="458">
        <f>+D230-M230-M231-M232-M233</f>
        <v>0</v>
      </c>
      <c r="R230" s="332"/>
    </row>
    <row r="231" spans="1:18" s="32" customFormat="1" ht="60">
      <c r="A231" s="457"/>
      <c r="B231" s="455"/>
      <c r="C231" s="504"/>
      <c r="D231" s="470"/>
      <c r="E231" s="38" t="s">
        <v>584</v>
      </c>
      <c r="F231" s="39">
        <v>1143991804</v>
      </c>
      <c r="G231" s="38" t="s">
        <v>585</v>
      </c>
      <c r="H231" s="27">
        <v>1</v>
      </c>
      <c r="I231" s="382">
        <v>45649</v>
      </c>
      <c r="J231" s="201" t="s">
        <v>223</v>
      </c>
      <c r="K231" s="382">
        <v>45657</v>
      </c>
      <c r="L231" s="204" t="s">
        <v>70</v>
      </c>
      <c r="M231" s="52">
        <v>8759874</v>
      </c>
      <c r="N231" s="52">
        <v>84620</v>
      </c>
      <c r="O231" s="52">
        <v>256000</v>
      </c>
      <c r="P231" s="52">
        <f t="shared" si="19"/>
        <v>8419254</v>
      </c>
      <c r="Q231" s="470"/>
      <c r="R231" s="333"/>
    </row>
    <row r="232" spans="1:18" s="32" customFormat="1" ht="60">
      <c r="A232" s="457"/>
      <c r="B232" s="455"/>
      <c r="C232" s="504"/>
      <c r="D232" s="470"/>
      <c r="E232" s="46" t="s">
        <v>586</v>
      </c>
      <c r="F232" s="60">
        <v>700157395</v>
      </c>
      <c r="G232" s="71" t="s">
        <v>587</v>
      </c>
      <c r="H232" s="27">
        <v>1</v>
      </c>
      <c r="I232" s="382">
        <v>45649</v>
      </c>
      <c r="J232" s="201" t="s">
        <v>223</v>
      </c>
      <c r="K232" s="382">
        <v>45657</v>
      </c>
      <c r="L232" s="204" t="s">
        <v>70</v>
      </c>
      <c r="M232" s="52">
        <v>8759874</v>
      </c>
      <c r="N232" s="52"/>
      <c r="O232" s="52">
        <v>256000</v>
      </c>
      <c r="P232" s="52">
        <f t="shared" si="19"/>
        <v>8503874</v>
      </c>
      <c r="Q232" s="470"/>
      <c r="R232" s="333"/>
    </row>
    <row r="233" spans="1:18" ht="60.95" thickBot="1">
      <c r="A233" s="457"/>
      <c r="B233" s="455"/>
      <c r="C233" s="505"/>
      <c r="D233" s="459"/>
      <c r="E233" s="81" t="s">
        <v>588</v>
      </c>
      <c r="F233" s="87">
        <v>1030626627</v>
      </c>
      <c r="G233" s="85" t="s">
        <v>589</v>
      </c>
      <c r="H233" s="82">
        <v>1</v>
      </c>
      <c r="I233" s="381">
        <v>45649</v>
      </c>
      <c r="J233" s="202" t="s">
        <v>578</v>
      </c>
      <c r="K233" s="381">
        <v>45656</v>
      </c>
      <c r="L233" s="205" t="s">
        <v>70</v>
      </c>
      <c r="M233" s="83">
        <v>8759874</v>
      </c>
      <c r="N233" s="83"/>
      <c r="O233" s="83">
        <v>256000</v>
      </c>
      <c r="P233" s="83">
        <f t="shared" si="19"/>
        <v>8503874</v>
      </c>
      <c r="Q233" s="459"/>
      <c r="R233" s="179"/>
    </row>
    <row r="234" spans="1:18" ht="30.95" thickBot="1">
      <c r="A234" s="457"/>
      <c r="B234" s="455"/>
      <c r="C234" s="193" t="s">
        <v>590</v>
      </c>
      <c r="D234" s="105">
        <v>37678688.5</v>
      </c>
      <c r="E234" s="106"/>
      <c r="F234" s="129"/>
      <c r="G234" s="106"/>
      <c r="H234" s="217"/>
      <c r="I234" s="414"/>
      <c r="J234" s="218"/>
      <c r="K234" s="414"/>
      <c r="L234" s="108"/>
      <c r="M234" s="109"/>
      <c r="N234" s="109"/>
      <c r="O234" s="109"/>
      <c r="P234" s="109"/>
      <c r="Q234" s="105">
        <f>+D234</f>
        <v>37678688.5</v>
      </c>
      <c r="R234" s="184"/>
    </row>
    <row r="235" spans="1:18" s="32" customFormat="1" ht="36.950000000000003" customHeight="1">
      <c r="A235" s="457"/>
      <c r="B235" s="455"/>
      <c r="C235" s="194" t="s">
        <v>591</v>
      </c>
      <c r="D235" s="80">
        <v>15000000</v>
      </c>
      <c r="E235" s="515" t="s">
        <v>592</v>
      </c>
      <c r="F235" s="529">
        <v>901399575</v>
      </c>
      <c r="G235" s="211" t="s">
        <v>593</v>
      </c>
      <c r="H235" s="215" t="s">
        <v>594</v>
      </c>
      <c r="I235" s="379">
        <v>45643</v>
      </c>
      <c r="J235" s="216" t="s">
        <v>595</v>
      </c>
      <c r="K235" s="379">
        <v>45644</v>
      </c>
      <c r="L235" s="213" t="s">
        <v>70</v>
      </c>
      <c r="M235" s="132">
        <v>119102831</v>
      </c>
      <c r="N235" s="132"/>
      <c r="O235" s="132"/>
      <c r="P235" s="132">
        <f>+M235-N235-O235</f>
        <v>119102831</v>
      </c>
      <c r="Q235" s="458">
        <f>+D235+D236+D237+D238+D239+D240-M235-M236-M237-M238</f>
        <v>0.15999996662139893</v>
      </c>
      <c r="R235" s="332"/>
    </row>
    <row r="236" spans="1:18" ht="27.95" customHeight="1">
      <c r="A236" s="457"/>
      <c r="B236" s="455"/>
      <c r="C236" s="195" t="s">
        <v>596</v>
      </c>
      <c r="D236" s="26">
        <v>23966535</v>
      </c>
      <c r="E236" s="516"/>
      <c r="F236" s="544"/>
      <c r="G236" s="212" t="s">
        <v>597</v>
      </c>
      <c r="H236" s="208" t="s">
        <v>598</v>
      </c>
      <c r="I236" s="380">
        <v>45649</v>
      </c>
      <c r="J236" s="209" t="s">
        <v>599</v>
      </c>
      <c r="K236" s="380">
        <v>45652</v>
      </c>
      <c r="L236" s="214" t="s">
        <v>70</v>
      </c>
      <c r="M236" s="53">
        <v>105026330</v>
      </c>
      <c r="N236" s="53"/>
      <c r="O236" s="53"/>
      <c r="P236" s="53">
        <f>+M236</f>
        <v>105026330</v>
      </c>
      <c r="Q236" s="470"/>
      <c r="R236" s="229"/>
    </row>
    <row r="237" spans="1:18" ht="45">
      <c r="A237" s="457"/>
      <c r="B237" s="455"/>
      <c r="C237" s="195" t="s">
        <v>600</v>
      </c>
      <c r="D237" s="26">
        <v>129211833</v>
      </c>
      <c r="E237" s="516"/>
      <c r="F237" s="578"/>
      <c r="G237" s="207" t="s">
        <v>597</v>
      </c>
      <c r="H237" s="215"/>
      <c r="I237" s="379"/>
      <c r="J237" s="216" t="s">
        <v>601</v>
      </c>
      <c r="K237" s="379">
        <v>45652</v>
      </c>
      <c r="L237" s="208" t="s">
        <v>70</v>
      </c>
      <c r="M237" s="210">
        <v>20000000</v>
      </c>
      <c r="N237" s="51"/>
      <c r="O237" s="51"/>
      <c r="P237" s="51">
        <f>+M237-N237-O237</f>
        <v>20000000</v>
      </c>
      <c r="Q237" s="470"/>
      <c r="R237" s="229"/>
    </row>
    <row r="238" spans="1:18" ht="34.5" customHeight="1">
      <c r="A238" s="457"/>
      <c r="B238" s="455"/>
      <c r="C238" s="195" t="s">
        <v>602</v>
      </c>
      <c r="D238" s="26">
        <v>12510335</v>
      </c>
      <c r="E238" s="516"/>
      <c r="F238" s="544"/>
      <c r="G238" s="207" t="s">
        <v>603</v>
      </c>
      <c r="H238" s="215" t="s">
        <v>604</v>
      </c>
      <c r="I238" s="379">
        <v>45712</v>
      </c>
      <c r="J238" s="216" t="s">
        <v>605</v>
      </c>
      <c r="K238" s="379">
        <v>45719</v>
      </c>
      <c r="L238" s="208" t="s">
        <v>70</v>
      </c>
      <c r="M238" s="51">
        <v>27638132</v>
      </c>
      <c r="N238" s="51">
        <v>2625272</v>
      </c>
      <c r="O238" s="51">
        <v>10870692</v>
      </c>
      <c r="P238" s="51">
        <f>+M238-N238-O238</f>
        <v>14142168</v>
      </c>
      <c r="Q238" s="470"/>
      <c r="R238" s="229"/>
    </row>
    <row r="239" spans="1:18" ht="29.45" customHeight="1">
      <c r="A239" s="457"/>
      <c r="B239" s="455"/>
      <c r="C239" s="195" t="s">
        <v>606</v>
      </c>
      <c r="D239" s="26">
        <v>33553149</v>
      </c>
      <c r="E239" s="516"/>
      <c r="F239" s="544"/>
      <c r="G239" s="207"/>
      <c r="H239" s="215"/>
      <c r="I239" s="379"/>
      <c r="J239" s="216"/>
      <c r="K239" s="379"/>
      <c r="L239" s="208"/>
      <c r="M239" s="53"/>
      <c r="N239" s="53"/>
      <c r="O239" s="53"/>
      <c r="P239" s="53"/>
      <c r="Q239" s="470"/>
      <c r="R239" s="229"/>
    </row>
    <row r="240" spans="1:18" ht="33.950000000000003" customHeight="1" thickBot="1">
      <c r="A240" s="457"/>
      <c r="B240" s="455"/>
      <c r="C240" s="196" t="s">
        <v>607</v>
      </c>
      <c r="D240" s="83">
        <v>57525441.159999996</v>
      </c>
      <c r="E240" s="517"/>
      <c r="F240" s="482"/>
      <c r="G240" s="133"/>
      <c r="H240" s="134"/>
      <c r="I240" s="414"/>
      <c r="J240" s="135"/>
      <c r="K240" s="414"/>
      <c r="L240" s="134"/>
      <c r="M240" s="136"/>
      <c r="N240" s="136"/>
      <c r="O240" s="136"/>
      <c r="P240" s="136"/>
      <c r="Q240" s="459"/>
      <c r="R240" s="179"/>
    </row>
    <row r="241" spans="1:18" ht="60">
      <c r="A241" s="457"/>
      <c r="B241" s="455"/>
      <c r="C241" s="528" t="s">
        <v>79</v>
      </c>
      <c r="D241" s="633">
        <v>437993700</v>
      </c>
      <c r="E241" s="77" t="s">
        <v>608</v>
      </c>
      <c r="F241" s="79">
        <v>1010204672</v>
      </c>
      <c r="G241" s="84" t="s">
        <v>609</v>
      </c>
      <c r="H241" s="78">
        <v>1</v>
      </c>
      <c r="I241" s="413">
        <v>45649</v>
      </c>
      <c r="J241" s="206" t="s">
        <v>578</v>
      </c>
      <c r="K241" s="413">
        <v>45656</v>
      </c>
      <c r="L241" s="203" t="s">
        <v>70</v>
      </c>
      <c r="M241" s="80">
        <v>8759874</v>
      </c>
      <c r="N241" s="80"/>
      <c r="O241" s="80">
        <v>256000</v>
      </c>
      <c r="P241" s="80">
        <f t="shared" ref="P241:P259" si="20">+M241-N241-O241</f>
        <v>8503874</v>
      </c>
      <c r="Q241" s="607">
        <f>+D241-430233826</f>
        <v>7759874</v>
      </c>
      <c r="R241" s="180"/>
    </row>
    <row r="242" spans="1:18" ht="60">
      <c r="A242" s="457"/>
      <c r="B242" s="455"/>
      <c r="C242" s="504"/>
      <c r="D242" s="634"/>
      <c r="E242" s="38" t="s">
        <v>610</v>
      </c>
      <c r="F242" s="39">
        <v>1010245872</v>
      </c>
      <c r="G242" s="24" t="s">
        <v>611</v>
      </c>
      <c r="H242" s="27">
        <v>1</v>
      </c>
      <c r="I242" s="382">
        <v>45649</v>
      </c>
      <c r="J242" s="201" t="s">
        <v>578</v>
      </c>
      <c r="K242" s="382">
        <v>45656</v>
      </c>
      <c r="L242" s="204" t="s">
        <v>70</v>
      </c>
      <c r="M242" s="26">
        <v>8759874</v>
      </c>
      <c r="N242" s="26"/>
      <c r="O242" s="26">
        <v>352709</v>
      </c>
      <c r="P242" s="26">
        <f t="shared" si="20"/>
        <v>8407165</v>
      </c>
      <c r="Q242" s="509"/>
      <c r="R242" s="229"/>
    </row>
    <row r="243" spans="1:18" ht="60">
      <c r="A243" s="457"/>
      <c r="B243" s="455"/>
      <c r="C243" s="504"/>
      <c r="D243" s="634"/>
      <c r="E243" s="38" t="s">
        <v>612</v>
      </c>
      <c r="F243" s="39">
        <v>1019094712</v>
      </c>
      <c r="G243" s="24" t="s">
        <v>613</v>
      </c>
      <c r="H243" s="27">
        <v>1</v>
      </c>
      <c r="I243" s="382">
        <v>45649</v>
      </c>
      <c r="J243" s="201" t="s">
        <v>578</v>
      </c>
      <c r="K243" s="382">
        <v>45656</v>
      </c>
      <c r="L243" s="204" t="s">
        <v>70</v>
      </c>
      <c r="M243" s="26">
        <v>8759874</v>
      </c>
      <c r="N243" s="26"/>
      <c r="O243" s="26">
        <v>256000</v>
      </c>
      <c r="P243" s="26">
        <f t="shared" si="20"/>
        <v>8503874</v>
      </c>
      <c r="Q243" s="509"/>
      <c r="R243" s="229"/>
    </row>
    <row r="244" spans="1:18" ht="60">
      <c r="A244" s="457"/>
      <c r="B244" s="455"/>
      <c r="C244" s="504"/>
      <c r="D244" s="634"/>
      <c r="E244" s="38" t="s">
        <v>614</v>
      </c>
      <c r="F244" s="39">
        <v>1026305150</v>
      </c>
      <c r="G244" s="24" t="s">
        <v>615</v>
      </c>
      <c r="H244" s="27">
        <v>1</v>
      </c>
      <c r="I244" s="382">
        <v>45649</v>
      </c>
      <c r="J244" s="201" t="s">
        <v>578</v>
      </c>
      <c r="K244" s="382">
        <v>45656</v>
      </c>
      <c r="L244" s="204" t="s">
        <v>70</v>
      </c>
      <c r="M244" s="26">
        <v>8759874</v>
      </c>
      <c r="N244" s="26"/>
      <c r="O244" s="26">
        <v>256000</v>
      </c>
      <c r="P244" s="26">
        <f t="shared" si="20"/>
        <v>8503874</v>
      </c>
      <c r="Q244" s="509"/>
      <c r="R244" s="229"/>
    </row>
    <row r="245" spans="1:18" ht="60">
      <c r="A245" s="457"/>
      <c r="B245" s="455"/>
      <c r="C245" s="504"/>
      <c r="D245" s="634"/>
      <c r="E245" s="38" t="s">
        <v>616</v>
      </c>
      <c r="F245" s="39">
        <v>1052411945</v>
      </c>
      <c r="G245" s="24" t="s">
        <v>617</v>
      </c>
      <c r="H245" s="27">
        <v>1</v>
      </c>
      <c r="I245" s="382">
        <v>45649</v>
      </c>
      <c r="J245" s="201" t="s">
        <v>578</v>
      </c>
      <c r="K245" s="382">
        <v>45656</v>
      </c>
      <c r="L245" s="204" t="s">
        <v>70</v>
      </c>
      <c r="M245" s="26">
        <v>8759874</v>
      </c>
      <c r="N245" s="26"/>
      <c r="O245" s="26">
        <v>256000</v>
      </c>
      <c r="P245" s="26">
        <f t="shared" si="20"/>
        <v>8503874</v>
      </c>
      <c r="Q245" s="509"/>
      <c r="R245" s="229"/>
    </row>
    <row r="246" spans="1:18" ht="60">
      <c r="A246" s="457"/>
      <c r="B246" s="455"/>
      <c r="C246" s="504"/>
      <c r="D246" s="634"/>
      <c r="E246" s="38" t="s">
        <v>618</v>
      </c>
      <c r="F246" s="39">
        <v>1014282105</v>
      </c>
      <c r="G246" s="24" t="s">
        <v>619</v>
      </c>
      <c r="H246" s="27">
        <v>1</v>
      </c>
      <c r="I246" s="382">
        <v>45649</v>
      </c>
      <c r="J246" s="201" t="s">
        <v>578</v>
      </c>
      <c r="K246" s="382">
        <v>45656</v>
      </c>
      <c r="L246" s="204" t="s">
        <v>70</v>
      </c>
      <c r="M246" s="26">
        <v>8759874</v>
      </c>
      <c r="N246" s="26">
        <v>84620</v>
      </c>
      <c r="O246" s="26">
        <v>256000</v>
      </c>
      <c r="P246" s="26">
        <f t="shared" si="20"/>
        <v>8419254</v>
      </c>
      <c r="Q246" s="509"/>
      <c r="R246" s="229"/>
    </row>
    <row r="247" spans="1:18" ht="60">
      <c r="A247" s="457"/>
      <c r="B247" s="455"/>
      <c r="C247" s="504"/>
      <c r="D247" s="634"/>
      <c r="E247" s="38" t="s">
        <v>620</v>
      </c>
      <c r="F247" s="39">
        <v>1018431140</v>
      </c>
      <c r="G247" s="24" t="s">
        <v>621</v>
      </c>
      <c r="H247" s="27">
        <v>1</v>
      </c>
      <c r="I247" s="382">
        <v>45649</v>
      </c>
      <c r="J247" s="201" t="s">
        <v>578</v>
      </c>
      <c r="K247" s="382">
        <v>45656</v>
      </c>
      <c r="L247" s="204" t="s">
        <v>70</v>
      </c>
      <c r="M247" s="26">
        <v>8759874</v>
      </c>
      <c r="N247" s="26"/>
      <c r="O247" s="26">
        <v>256000</v>
      </c>
      <c r="P247" s="26">
        <f t="shared" si="20"/>
        <v>8503874</v>
      </c>
      <c r="Q247" s="509"/>
      <c r="R247" s="229"/>
    </row>
    <row r="248" spans="1:18" ht="60">
      <c r="A248" s="457"/>
      <c r="B248" s="455"/>
      <c r="C248" s="504"/>
      <c r="D248" s="634"/>
      <c r="E248" s="38" t="s">
        <v>622</v>
      </c>
      <c r="F248" s="39">
        <v>1014236814</v>
      </c>
      <c r="G248" s="24" t="s">
        <v>623</v>
      </c>
      <c r="H248" s="27">
        <v>1</v>
      </c>
      <c r="I248" s="382">
        <v>45649</v>
      </c>
      <c r="J248" s="201" t="s">
        <v>578</v>
      </c>
      <c r="K248" s="382">
        <v>45656</v>
      </c>
      <c r="L248" s="204" t="s">
        <v>70</v>
      </c>
      <c r="M248" s="26">
        <v>8759874</v>
      </c>
      <c r="N248" s="26">
        <v>67101</v>
      </c>
      <c r="O248" s="26">
        <v>256000</v>
      </c>
      <c r="P248" s="26">
        <f t="shared" si="20"/>
        <v>8436773</v>
      </c>
      <c r="Q248" s="509"/>
      <c r="R248" s="229"/>
    </row>
    <row r="249" spans="1:18" ht="60">
      <c r="A249" s="457"/>
      <c r="B249" s="455"/>
      <c r="C249" s="504"/>
      <c r="D249" s="634"/>
      <c r="E249" s="38" t="s">
        <v>624</v>
      </c>
      <c r="F249" s="39">
        <v>700266507</v>
      </c>
      <c r="G249" s="24" t="s">
        <v>625</v>
      </c>
      <c r="H249" s="27">
        <v>1</v>
      </c>
      <c r="I249" s="382">
        <v>45649</v>
      </c>
      <c r="J249" s="201" t="s">
        <v>578</v>
      </c>
      <c r="K249" s="382">
        <v>45656</v>
      </c>
      <c r="L249" s="204" t="s">
        <v>70</v>
      </c>
      <c r="M249" s="26">
        <v>8759874</v>
      </c>
      <c r="N249" s="26"/>
      <c r="O249" s="26">
        <v>256000</v>
      </c>
      <c r="P249" s="26">
        <f t="shared" si="20"/>
        <v>8503874</v>
      </c>
      <c r="Q249" s="509"/>
      <c r="R249" s="229"/>
    </row>
    <row r="250" spans="1:18" ht="60">
      <c r="A250" s="457"/>
      <c r="B250" s="455"/>
      <c r="C250" s="504"/>
      <c r="D250" s="634"/>
      <c r="E250" s="38" t="s">
        <v>626</v>
      </c>
      <c r="F250" s="39">
        <v>1033727283</v>
      </c>
      <c r="G250" s="24" t="s">
        <v>627</v>
      </c>
      <c r="H250" s="27">
        <v>1</v>
      </c>
      <c r="I250" s="382">
        <v>45649</v>
      </c>
      <c r="J250" s="201" t="s">
        <v>578</v>
      </c>
      <c r="K250" s="382">
        <v>45656</v>
      </c>
      <c r="L250" s="204" t="s">
        <v>70</v>
      </c>
      <c r="M250" s="26">
        <v>8759874</v>
      </c>
      <c r="N250" s="26"/>
      <c r="O250" s="26">
        <v>256000</v>
      </c>
      <c r="P250" s="26">
        <f t="shared" si="20"/>
        <v>8503874</v>
      </c>
      <c r="Q250" s="509"/>
      <c r="R250" s="229"/>
    </row>
    <row r="251" spans="1:18" ht="60">
      <c r="A251" s="457"/>
      <c r="B251" s="455"/>
      <c r="C251" s="504"/>
      <c r="D251" s="634"/>
      <c r="E251" s="38" t="s">
        <v>628</v>
      </c>
      <c r="F251" s="39">
        <v>1036965875</v>
      </c>
      <c r="G251" s="24" t="s">
        <v>629</v>
      </c>
      <c r="H251" s="27">
        <v>1</v>
      </c>
      <c r="I251" s="382">
        <v>45649</v>
      </c>
      <c r="J251" s="201" t="s">
        <v>578</v>
      </c>
      <c r="K251" s="382">
        <v>45656</v>
      </c>
      <c r="L251" s="204" t="s">
        <v>70</v>
      </c>
      <c r="M251" s="26">
        <v>8759874</v>
      </c>
      <c r="N251" s="26"/>
      <c r="O251" s="26">
        <v>256000</v>
      </c>
      <c r="P251" s="26">
        <f t="shared" si="20"/>
        <v>8503874</v>
      </c>
      <c r="Q251" s="509"/>
      <c r="R251" s="229"/>
    </row>
    <row r="252" spans="1:18" ht="60">
      <c r="A252" s="457"/>
      <c r="B252" s="455"/>
      <c r="C252" s="504"/>
      <c r="D252" s="634"/>
      <c r="E252" s="38" t="s">
        <v>630</v>
      </c>
      <c r="F252" s="39">
        <v>1014192529</v>
      </c>
      <c r="G252" s="24" t="s">
        <v>631</v>
      </c>
      <c r="H252" s="27">
        <v>1</v>
      </c>
      <c r="I252" s="382">
        <v>45649</v>
      </c>
      <c r="J252" s="201" t="s">
        <v>578</v>
      </c>
      <c r="K252" s="382">
        <v>45656</v>
      </c>
      <c r="L252" s="204" t="s">
        <v>70</v>
      </c>
      <c r="M252" s="26">
        <v>8759874</v>
      </c>
      <c r="N252" s="26"/>
      <c r="O252" s="26">
        <v>256000</v>
      </c>
      <c r="P252" s="26">
        <f t="shared" si="20"/>
        <v>8503874</v>
      </c>
      <c r="Q252" s="509"/>
      <c r="R252" s="229"/>
    </row>
    <row r="253" spans="1:18" ht="60">
      <c r="A253" s="457"/>
      <c r="B253" s="455"/>
      <c r="C253" s="504"/>
      <c r="D253" s="634"/>
      <c r="E253" s="38" t="s">
        <v>632</v>
      </c>
      <c r="F253" s="39">
        <v>1136886448</v>
      </c>
      <c r="G253" s="24" t="s">
        <v>633</v>
      </c>
      <c r="H253" s="27">
        <v>1</v>
      </c>
      <c r="I253" s="382">
        <v>45649</v>
      </c>
      <c r="J253" s="201" t="s">
        <v>578</v>
      </c>
      <c r="K253" s="382">
        <v>45656</v>
      </c>
      <c r="L253" s="204" t="s">
        <v>70</v>
      </c>
      <c r="M253" s="26">
        <v>8759874</v>
      </c>
      <c r="N253" s="26"/>
      <c r="O253" s="26">
        <v>256000</v>
      </c>
      <c r="P253" s="26">
        <f t="shared" si="20"/>
        <v>8503874</v>
      </c>
      <c r="Q253" s="509"/>
      <c r="R253" s="229"/>
    </row>
    <row r="254" spans="1:18" ht="60">
      <c r="A254" s="457"/>
      <c r="B254" s="455"/>
      <c r="C254" s="504"/>
      <c r="D254" s="634"/>
      <c r="E254" s="38" t="s">
        <v>634</v>
      </c>
      <c r="F254" s="39">
        <v>1000146126</v>
      </c>
      <c r="G254" s="24" t="s">
        <v>635</v>
      </c>
      <c r="H254" s="27">
        <v>1</v>
      </c>
      <c r="I254" s="382">
        <v>45649</v>
      </c>
      <c r="J254" s="201" t="s">
        <v>578</v>
      </c>
      <c r="K254" s="382">
        <v>45656</v>
      </c>
      <c r="L254" s="204" t="s">
        <v>70</v>
      </c>
      <c r="M254" s="26">
        <v>8759874</v>
      </c>
      <c r="N254" s="26"/>
      <c r="O254" s="26">
        <v>256000</v>
      </c>
      <c r="P254" s="26">
        <f t="shared" si="20"/>
        <v>8503874</v>
      </c>
      <c r="Q254" s="509"/>
      <c r="R254" s="229"/>
    </row>
    <row r="255" spans="1:18" ht="60">
      <c r="A255" s="457"/>
      <c r="B255" s="455"/>
      <c r="C255" s="504"/>
      <c r="D255" s="634"/>
      <c r="E255" s="38" t="s">
        <v>636</v>
      </c>
      <c r="F255" s="39">
        <v>1012440790</v>
      </c>
      <c r="G255" s="24" t="s">
        <v>637</v>
      </c>
      <c r="H255" s="27">
        <v>1</v>
      </c>
      <c r="I255" s="382">
        <v>45649</v>
      </c>
      <c r="J255" s="201" t="s">
        <v>578</v>
      </c>
      <c r="K255" s="382">
        <v>45656</v>
      </c>
      <c r="L255" s="204" t="s">
        <v>70</v>
      </c>
      <c r="M255" s="26">
        <v>8759874</v>
      </c>
      <c r="N255" s="26"/>
      <c r="O255" s="26">
        <v>256000</v>
      </c>
      <c r="P255" s="26">
        <f t="shared" si="20"/>
        <v>8503874</v>
      </c>
      <c r="Q255" s="509"/>
      <c r="R255" s="229"/>
    </row>
    <row r="256" spans="1:18" ht="60">
      <c r="A256" s="457"/>
      <c r="B256" s="455"/>
      <c r="C256" s="504"/>
      <c r="D256" s="634"/>
      <c r="E256" s="38" t="s">
        <v>638</v>
      </c>
      <c r="F256" s="39">
        <v>53105168</v>
      </c>
      <c r="G256" s="24" t="s">
        <v>639</v>
      </c>
      <c r="H256" s="27">
        <v>1</v>
      </c>
      <c r="I256" s="382">
        <v>45649</v>
      </c>
      <c r="J256" s="201" t="s">
        <v>578</v>
      </c>
      <c r="K256" s="382">
        <v>45656</v>
      </c>
      <c r="L256" s="204" t="s">
        <v>70</v>
      </c>
      <c r="M256" s="26">
        <v>8759874</v>
      </c>
      <c r="N256" s="26"/>
      <c r="O256" s="26">
        <v>256000</v>
      </c>
      <c r="P256" s="26">
        <f t="shared" si="20"/>
        <v>8503874</v>
      </c>
      <c r="Q256" s="509"/>
      <c r="R256" s="229"/>
    </row>
    <row r="257" spans="1:18" ht="60">
      <c r="A257" s="457"/>
      <c r="B257" s="455"/>
      <c r="C257" s="504"/>
      <c r="D257" s="634"/>
      <c r="E257" s="38" t="s">
        <v>640</v>
      </c>
      <c r="F257" s="39">
        <v>1016105571</v>
      </c>
      <c r="G257" s="24" t="s">
        <v>641</v>
      </c>
      <c r="H257" s="27">
        <v>1</v>
      </c>
      <c r="I257" s="382">
        <v>45649</v>
      </c>
      <c r="J257" s="201" t="s">
        <v>578</v>
      </c>
      <c r="K257" s="382">
        <v>45656</v>
      </c>
      <c r="L257" s="204" t="s">
        <v>70</v>
      </c>
      <c r="M257" s="26">
        <v>8759874</v>
      </c>
      <c r="N257" s="26"/>
      <c r="O257" s="26">
        <v>256000</v>
      </c>
      <c r="P257" s="26">
        <f t="shared" si="20"/>
        <v>8503874</v>
      </c>
      <c r="Q257" s="509"/>
      <c r="R257" s="229"/>
    </row>
    <row r="258" spans="1:18" ht="60">
      <c r="A258" s="457"/>
      <c r="B258" s="455"/>
      <c r="C258" s="504"/>
      <c r="D258" s="634"/>
      <c r="E258" s="38" t="s">
        <v>642</v>
      </c>
      <c r="F258" s="39">
        <v>1026268658</v>
      </c>
      <c r="G258" s="24" t="s">
        <v>643</v>
      </c>
      <c r="H258" s="27">
        <v>1</v>
      </c>
      <c r="I258" s="382">
        <v>45649</v>
      </c>
      <c r="J258" s="201" t="s">
        <v>578</v>
      </c>
      <c r="K258" s="382">
        <v>45656</v>
      </c>
      <c r="L258" s="204" t="s">
        <v>70</v>
      </c>
      <c r="M258" s="26">
        <v>8759874</v>
      </c>
      <c r="N258" s="26"/>
      <c r="O258" s="26">
        <v>256000</v>
      </c>
      <c r="P258" s="26">
        <f t="shared" si="20"/>
        <v>8503874</v>
      </c>
      <c r="Q258" s="509"/>
      <c r="R258" s="229"/>
    </row>
    <row r="259" spans="1:18" ht="60">
      <c r="A259" s="457"/>
      <c r="B259" s="455"/>
      <c r="C259" s="504"/>
      <c r="D259" s="634"/>
      <c r="E259" s="38" t="s">
        <v>644</v>
      </c>
      <c r="F259" s="39">
        <v>1000064681</v>
      </c>
      <c r="G259" s="24" t="s">
        <v>645</v>
      </c>
      <c r="H259" s="27">
        <v>1</v>
      </c>
      <c r="I259" s="382">
        <v>45649</v>
      </c>
      <c r="J259" s="201" t="s">
        <v>578</v>
      </c>
      <c r="K259" s="382">
        <v>45656</v>
      </c>
      <c r="L259" s="204" t="s">
        <v>70</v>
      </c>
      <c r="M259" s="26">
        <v>8759874</v>
      </c>
      <c r="N259" s="26"/>
      <c r="O259" s="26">
        <v>256000</v>
      </c>
      <c r="P259" s="26">
        <f t="shared" si="20"/>
        <v>8503874</v>
      </c>
      <c r="Q259" s="509"/>
      <c r="R259" s="229"/>
    </row>
    <row r="260" spans="1:18" ht="60">
      <c r="A260" s="457"/>
      <c r="B260" s="455"/>
      <c r="C260" s="504"/>
      <c r="D260" s="634"/>
      <c r="E260" s="38" t="s">
        <v>646</v>
      </c>
      <c r="F260" s="39">
        <v>1014268615</v>
      </c>
      <c r="G260" s="24" t="s">
        <v>647</v>
      </c>
      <c r="H260" s="27">
        <v>1</v>
      </c>
      <c r="I260" s="382">
        <v>45649</v>
      </c>
      <c r="J260" s="201" t="s">
        <v>133</v>
      </c>
      <c r="K260" s="382">
        <v>45653</v>
      </c>
      <c r="L260" s="204" t="s">
        <v>70</v>
      </c>
      <c r="M260" s="26">
        <v>8759874</v>
      </c>
      <c r="N260" s="26"/>
      <c r="O260" s="26">
        <v>256000</v>
      </c>
      <c r="P260" s="26">
        <f t="shared" ref="P260:P261" si="21">+M260-N260-O260</f>
        <v>8503874</v>
      </c>
      <c r="Q260" s="509"/>
      <c r="R260" s="229"/>
    </row>
    <row r="261" spans="1:18" ht="60">
      <c r="A261" s="457"/>
      <c r="B261" s="455"/>
      <c r="C261" s="504"/>
      <c r="D261" s="634"/>
      <c r="E261" s="38" t="s">
        <v>648</v>
      </c>
      <c r="F261" s="39">
        <v>1121210741</v>
      </c>
      <c r="G261" s="24" t="s">
        <v>649</v>
      </c>
      <c r="H261" s="27">
        <v>1</v>
      </c>
      <c r="I261" s="382">
        <v>45649</v>
      </c>
      <c r="J261" s="201" t="s">
        <v>133</v>
      </c>
      <c r="K261" s="382">
        <v>45653</v>
      </c>
      <c r="L261" s="204" t="s">
        <v>70</v>
      </c>
      <c r="M261" s="26">
        <v>8759874</v>
      </c>
      <c r="N261" s="26"/>
      <c r="O261" s="26">
        <v>256000</v>
      </c>
      <c r="P261" s="26">
        <f t="shared" si="21"/>
        <v>8503874</v>
      </c>
      <c r="Q261" s="509"/>
      <c r="R261" s="229"/>
    </row>
    <row r="262" spans="1:18" ht="60">
      <c r="A262" s="457"/>
      <c r="B262" s="455"/>
      <c r="C262" s="504"/>
      <c r="D262" s="634"/>
      <c r="E262" s="38" t="s">
        <v>650</v>
      </c>
      <c r="F262" s="39">
        <v>1010048794</v>
      </c>
      <c r="G262" s="24" t="s">
        <v>651</v>
      </c>
      <c r="H262" s="27">
        <v>1</v>
      </c>
      <c r="I262" s="382">
        <v>45649</v>
      </c>
      <c r="J262" s="201" t="s">
        <v>133</v>
      </c>
      <c r="K262" s="382">
        <v>45653</v>
      </c>
      <c r="L262" s="204" t="s">
        <v>70</v>
      </c>
      <c r="M262" s="26">
        <v>8759874</v>
      </c>
      <c r="N262" s="26"/>
      <c r="O262" s="26">
        <v>256000</v>
      </c>
      <c r="P262" s="26">
        <f>+M262-N262-O262</f>
        <v>8503874</v>
      </c>
      <c r="Q262" s="509"/>
      <c r="R262" s="229"/>
    </row>
    <row r="263" spans="1:18" ht="60">
      <c r="A263" s="457"/>
      <c r="B263" s="455"/>
      <c r="C263" s="504"/>
      <c r="D263" s="634"/>
      <c r="E263" s="38" t="s">
        <v>652</v>
      </c>
      <c r="F263" s="39">
        <v>1144095275</v>
      </c>
      <c r="G263" s="24" t="s">
        <v>653</v>
      </c>
      <c r="H263" s="27">
        <v>1</v>
      </c>
      <c r="I263" s="382">
        <v>45649</v>
      </c>
      <c r="J263" s="201" t="s">
        <v>133</v>
      </c>
      <c r="K263" s="382">
        <v>45653</v>
      </c>
      <c r="L263" s="204" t="s">
        <v>70</v>
      </c>
      <c r="M263" s="26">
        <v>8759874</v>
      </c>
      <c r="N263" s="26"/>
      <c r="O263" s="26">
        <v>256000</v>
      </c>
      <c r="P263" s="26">
        <f>+M263-N263-O263</f>
        <v>8503874</v>
      </c>
      <c r="Q263" s="509"/>
      <c r="R263" s="229"/>
    </row>
    <row r="264" spans="1:18" ht="60">
      <c r="A264" s="457"/>
      <c r="B264" s="455"/>
      <c r="C264" s="504"/>
      <c r="D264" s="634"/>
      <c r="E264" s="38" t="s">
        <v>654</v>
      </c>
      <c r="F264" s="39">
        <v>1122655061</v>
      </c>
      <c r="G264" s="24" t="s">
        <v>655</v>
      </c>
      <c r="H264" s="27">
        <v>1</v>
      </c>
      <c r="I264" s="382">
        <v>45649</v>
      </c>
      <c r="J264" s="201" t="s">
        <v>133</v>
      </c>
      <c r="K264" s="382">
        <v>45653</v>
      </c>
      <c r="L264" s="204" t="s">
        <v>70</v>
      </c>
      <c r="M264" s="26">
        <v>8759874</v>
      </c>
      <c r="N264" s="26"/>
      <c r="O264" s="26">
        <v>256000</v>
      </c>
      <c r="P264" s="26">
        <f>+M264-N264-O264</f>
        <v>8503874</v>
      </c>
      <c r="Q264" s="509"/>
      <c r="R264" s="229"/>
    </row>
    <row r="265" spans="1:18" ht="60">
      <c r="A265" s="457"/>
      <c r="B265" s="455"/>
      <c r="C265" s="504"/>
      <c r="D265" s="634"/>
      <c r="E265" s="38" t="s">
        <v>656</v>
      </c>
      <c r="F265" s="39">
        <v>1032383095</v>
      </c>
      <c r="G265" s="24" t="s">
        <v>657</v>
      </c>
      <c r="H265" s="27">
        <v>1</v>
      </c>
      <c r="I265" s="382">
        <v>45649</v>
      </c>
      <c r="J265" s="201" t="s">
        <v>133</v>
      </c>
      <c r="K265" s="382">
        <v>45653</v>
      </c>
      <c r="L265" s="204" t="s">
        <v>70</v>
      </c>
      <c r="M265" s="26">
        <v>8759874</v>
      </c>
      <c r="N265" s="26"/>
      <c r="O265" s="26">
        <v>256000</v>
      </c>
      <c r="P265" s="26">
        <f>+M265-N265-O265</f>
        <v>8503874</v>
      </c>
      <c r="Q265" s="509"/>
      <c r="R265" s="229"/>
    </row>
    <row r="266" spans="1:18" ht="60">
      <c r="A266" s="457"/>
      <c r="B266" s="455"/>
      <c r="C266" s="504"/>
      <c r="D266" s="634"/>
      <c r="E266" s="181" t="s">
        <v>658</v>
      </c>
      <c r="F266" s="182">
        <v>80084008</v>
      </c>
      <c r="G266" s="62" t="s">
        <v>659</v>
      </c>
      <c r="H266" s="27">
        <v>1</v>
      </c>
      <c r="I266" s="382">
        <v>45649</v>
      </c>
      <c r="J266" s="201" t="s">
        <v>223</v>
      </c>
      <c r="K266" s="382">
        <v>45657</v>
      </c>
      <c r="L266" s="204" t="s">
        <v>70</v>
      </c>
      <c r="M266" s="52">
        <v>8759874</v>
      </c>
      <c r="N266" s="52"/>
      <c r="O266" s="52">
        <v>256000</v>
      </c>
      <c r="P266" s="52">
        <f>+M266-N266-O266</f>
        <v>8503874</v>
      </c>
      <c r="Q266" s="509"/>
      <c r="R266" s="229"/>
    </row>
    <row r="267" spans="1:18" ht="60">
      <c r="A267" s="457"/>
      <c r="B267" s="455"/>
      <c r="C267" s="504"/>
      <c r="D267" s="634"/>
      <c r="E267" s="181" t="s">
        <v>660</v>
      </c>
      <c r="F267" s="182">
        <v>1047451784</v>
      </c>
      <c r="G267" s="62" t="s">
        <v>661</v>
      </c>
      <c r="H267" s="27">
        <v>1</v>
      </c>
      <c r="I267" s="382">
        <v>45649</v>
      </c>
      <c r="J267" s="201" t="s">
        <v>223</v>
      </c>
      <c r="K267" s="382">
        <v>45657</v>
      </c>
      <c r="L267" s="204" t="s">
        <v>70</v>
      </c>
      <c r="M267" s="52">
        <v>8759874</v>
      </c>
      <c r="N267" s="52"/>
      <c r="O267" s="52">
        <v>256000</v>
      </c>
      <c r="P267" s="52">
        <f t="shared" ref="P267:P280" si="22">+M267-N267-O267</f>
        <v>8503874</v>
      </c>
      <c r="Q267" s="509"/>
      <c r="R267" s="229"/>
    </row>
    <row r="268" spans="1:18" ht="60">
      <c r="A268" s="457"/>
      <c r="B268" s="455"/>
      <c r="C268" s="504"/>
      <c r="D268" s="634"/>
      <c r="E268" s="181" t="s">
        <v>662</v>
      </c>
      <c r="F268" s="182">
        <v>44152018</v>
      </c>
      <c r="G268" s="62" t="s">
        <v>663</v>
      </c>
      <c r="H268" s="27">
        <v>1</v>
      </c>
      <c r="I268" s="382">
        <v>45649</v>
      </c>
      <c r="J268" s="201" t="s">
        <v>223</v>
      </c>
      <c r="K268" s="382">
        <v>45657</v>
      </c>
      <c r="L268" s="204" t="s">
        <v>70</v>
      </c>
      <c r="M268" s="52">
        <v>8759874</v>
      </c>
      <c r="N268" s="52"/>
      <c r="O268" s="52">
        <v>256000</v>
      </c>
      <c r="P268" s="52">
        <f t="shared" si="22"/>
        <v>8503874</v>
      </c>
      <c r="Q268" s="509"/>
      <c r="R268" s="229"/>
    </row>
    <row r="269" spans="1:18" ht="60">
      <c r="A269" s="457"/>
      <c r="B269" s="455"/>
      <c r="C269" s="504"/>
      <c r="D269" s="634"/>
      <c r="E269" s="181" t="s">
        <v>664</v>
      </c>
      <c r="F269" s="182">
        <v>1007472873</v>
      </c>
      <c r="G269" s="62" t="s">
        <v>665</v>
      </c>
      <c r="H269" s="27">
        <v>1</v>
      </c>
      <c r="I269" s="382">
        <v>45649</v>
      </c>
      <c r="J269" s="201" t="s">
        <v>223</v>
      </c>
      <c r="K269" s="382">
        <v>45657</v>
      </c>
      <c r="L269" s="204" t="s">
        <v>70</v>
      </c>
      <c r="M269" s="52">
        <v>8759874</v>
      </c>
      <c r="N269" s="52"/>
      <c r="O269" s="52">
        <v>256000</v>
      </c>
      <c r="P269" s="52">
        <f t="shared" si="22"/>
        <v>8503874</v>
      </c>
      <c r="Q269" s="509"/>
      <c r="R269" s="229"/>
    </row>
    <row r="270" spans="1:18" ht="60">
      <c r="A270" s="457"/>
      <c r="B270" s="455"/>
      <c r="C270" s="504"/>
      <c r="D270" s="634"/>
      <c r="E270" s="181" t="s">
        <v>666</v>
      </c>
      <c r="F270" s="182">
        <v>1010207011</v>
      </c>
      <c r="G270" s="62" t="s">
        <v>667</v>
      </c>
      <c r="H270" s="27">
        <v>1</v>
      </c>
      <c r="I270" s="382">
        <v>45649</v>
      </c>
      <c r="J270" s="201" t="s">
        <v>223</v>
      </c>
      <c r="K270" s="382">
        <v>45657</v>
      </c>
      <c r="L270" s="204" t="s">
        <v>70</v>
      </c>
      <c r="M270" s="52">
        <v>8759874</v>
      </c>
      <c r="N270" s="52"/>
      <c r="O270" s="52">
        <v>256000</v>
      </c>
      <c r="P270" s="52">
        <f t="shared" si="22"/>
        <v>8503874</v>
      </c>
      <c r="Q270" s="509"/>
      <c r="R270" s="229"/>
    </row>
    <row r="271" spans="1:18" ht="60">
      <c r="A271" s="457"/>
      <c r="B271" s="455"/>
      <c r="C271" s="504"/>
      <c r="D271" s="634"/>
      <c r="E271" s="181" t="s">
        <v>668</v>
      </c>
      <c r="F271" s="182">
        <v>1072192847</v>
      </c>
      <c r="G271" s="62" t="s">
        <v>669</v>
      </c>
      <c r="H271" s="27">
        <v>1</v>
      </c>
      <c r="I271" s="382">
        <v>45649</v>
      </c>
      <c r="J271" s="201" t="s">
        <v>223</v>
      </c>
      <c r="K271" s="382">
        <v>45657</v>
      </c>
      <c r="L271" s="204" t="s">
        <v>70</v>
      </c>
      <c r="M271" s="52">
        <v>8759874</v>
      </c>
      <c r="N271" s="52"/>
      <c r="O271" s="52">
        <v>256000</v>
      </c>
      <c r="P271" s="52">
        <f t="shared" si="22"/>
        <v>8503874</v>
      </c>
      <c r="Q271" s="509"/>
      <c r="R271" s="229"/>
    </row>
    <row r="272" spans="1:18" ht="60">
      <c r="A272" s="457"/>
      <c r="B272" s="455"/>
      <c r="C272" s="504"/>
      <c r="D272" s="634"/>
      <c r="E272" s="181" t="s">
        <v>670</v>
      </c>
      <c r="F272" s="182">
        <v>1000795121</v>
      </c>
      <c r="G272" s="62" t="s">
        <v>671</v>
      </c>
      <c r="H272" s="27">
        <v>1</v>
      </c>
      <c r="I272" s="382">
        <v>45649</v>
      </c>
      <c r="J272" s="201" t="s">
        <v>223</v>
      </c>
      <c r="K272" s="382">
        <v>45657</v>
      </c>
      <c r="L272" s="204" t="s">
        <v>70</v>
      </c>
      <c r="M272" s="52">
        <v>8759874</v>
      </c>
      <c r="N272" s="52"/>
      <c r="O272" s="52">
        <v>256000</v>
      </c>
      <c r="P272" s="52">
        <f t="shared" si="22"/>
        <v>8503874</v>
      </c>
      <c r="Q272" s="509"/>
      <c r="R272" s="229"/>
    </row>
    <row r="273" spans="1:18" ht="60">
      <c r="A273" s="457"/>
      <c r="B273" s="455"/>
      <c r="C273" s="504"/>
      <c r="D273" s="634"/>
      <c r="E273" s="181" t="s">
        <v>672</v>
      </c>
      <c r="F273" s="182">
        <v>1014300981</v>
      </c>
      <c r="G273" s="62" t="s">
        <v>673</v>
      </c>
      <c r="H273" s="27">
        <v>1</v>
      </c>
      <c r="I273" s="382">
        <v>45649</v>
      </c>
      <c r="J273" s="201" t="s">
        <v>223</v>
      </c>
      <c r="K273" s="382">
        <v>45657</v>
      </c>
      <c r="L273" s="204" t="s">
        <v>70</v>
      </c>
      <c r="M273" s="52">
        <v>8759874</v>
      </c>
      <c r="N273" s="52"/>
      <c r="O273" s="52">
        <v>256000</v>
      </c>
      <c r="P273" s="52">
        <f t="shared" si="22"/>
        <v>8503874</v>
      </c>
      <c r="Q273" s="509"/>
      <c r="R273" s="229"/>
    </row>
    <row r="274" spans="1:18" ht="60">
      <c r="A274" s="457"/>
      <c r="B274" s="455"/>
      <c r="C274" s="504"/>
      <c r="D274" s="634"/>
      <c r="E274" s="181" t="s">
        <v>674</v>
      </c>
      <c r="F274" s="182">
        <v>1030697731</v>
      </c>
      <c r="G274" s="62" t="s">
        <v>675</v>
      </c>
      <c r="H274" s="27">
        <v>1</v>
      </c>
      <c r="I274" s="382">
        <v>45649</v>
      </c>
      <c r="J274" s="201" t="s">
        <v>223</v>
      </c>
      <c r="K274" s="382">
        <v>45657</v>
      </c>
      <c r="L274" s="204" t="s">
        <v>70</v>
      </c>
      <c r="M274" s="52">
        <v>8759874</v>
      </c>
      <c r="N274" s="52"/>
      <c r="O274" s="52">
        <v>256000</v>
      </c>
      <c r="P274" s="52">
        <f t="shared" si="22"/>
        <v>8503874</v>
      </c>
      <c r="Q274" s="509"/>
      <c r="R274" s="229"/>
    </row>
    <row r="275" spans="1:18" ht="60">
      <c r="A275" s="457"/>
      <c r="B275" s="455"/>
      <c r="C275" s="504"/>
      <c r="D275" s="634"/>
      <c r="E275" s="181" t="s">
        <v>676</v>
      </c>
      <c r="F275" s="182">
        <v>1000329911</v>
      </c>
      <c r="G275" s="62" t="s">
        <v>677</v>
      </c>
      <c r="H275" s="27">
        <v>1</v>
      </c>
      <c r="I275" s="382">
        <v>45649</v>
      </c>
      <c r="J275" s="201" t="s">
        <v>223</v>
      </c>
      <c r="K275" s="382">
        <v>45657</v>
      </c>
      <c r="L275" s="204" t="s">
        <v>70</v>
      </c>
      <c r="M275" s="52">
        <v>8759874</v>
      </c>
      <c r="N275" s="52"/>
      <c r="O275" s="52">
        <v>256000</v>
      </c>
      <c r="P275" s="52">
        <f t="shared" si="22"/>
        <v>8503874</v>
      </c>
      <c r="Q275" s="509"/>
      <c r="R275" s="229"/>
    </row>
    <row r="276" spans="1:18" ht="60">
      <c r="A276" s="457"/>
      <c r="B276" s="455"/>
      <c r="C276" s="504"/>
      <c r="D276" s="634"/>
      <c r="E276" s="181" t="s">
        <v>678</v>
      </c>
      <c r="F276" s="182">
        <v>1036945991</v>
      </c>
      <c r="G276" s="62" t="s">
        <v>679</v>
      </c>
      <c r="H276" s="27">
        <v>1</v>
      </c>
      <c r="I276" s="382">
        <v>45649</v>
      </c>
      <c r="J276" s="201" t="s">
        <v>223</v>
      </c>
      <c r="K276" s="382">
        <v>45657</v>
      </c>
      <c r="L276" s="204" t="s">
        <v>70</v>
      </c>
      <c r="M276" s="52">
        <v>8759874</v>
      </c>
      <c r="N276" s="52"/>
      <c r="O276" s="52">
        <v>256000</v>
      </c>
      <c r="P276" s="52">
        <f t="shared" si="22"/>
        <v>8503874</v>
      </c>
      <c r="Q276" s="509"/>
      <c r="R276" s="229"/>
    </row>
    <row r="277" spans="1:18" ht="60">
      <c r="A277" s="457"/>
      <c r="B277" s="455"/>
      <c r="C277" s="504"/>
      <c r="D277" s="634"/>
      <c r="E277" s="181" t="s">
        <v>680</v>
      </c>
      <c r="F277" s="182">
        <v>700062761</v>
      </c>
      <c r="G277" s="62" t="s">
        <v>681</v>
      </c>
      <c r="H277" s="27">
        <v>1</v>
      </c>
      <c r="I277" s="382">
        <v>45649</v>
      </c>
      <c r="J277" s="201" t="s">
        <v>223</v>
      </c>
      <c r="K277" s="382">
        <v>45657</v>
      </c>
      <c r="L277" s="204" t="s">
        <v>70</v>
      </c>
      <c r="M277" s="52">
        <v>8759874</v>
      </c>
      <c r="N277" s="52"/>
      <c r="O277" s="52">
        <v>256000</v>
      </c>
      <c r="P277" s="52">
        <f t="shared" si="22"/>
        <v>8503874</v>
      </c>
      <c r="Q277" s="509"/>
      <c r="R277" s="229"/>
    </row>
    <row r="278" spans="1:18" ht="60">
      <c r="A278" s="457"/>
      <c r="B278" s="455"/>
      <c r="C278" s="504"/>
      <c r="D278" s="634"/>
      <c r="E278" s="181" t="s">
        <v>682</v>
      </c>
      <c r="F278" s="182">
        <v>1032427298</v>
      </c>
      <c r="G278" s="62" t="s">
        <v>683</v>
      </c>
      <c r="H278" s="27">
        <v>1</v>
      </c>
      <c r="I278" s="382">
        <v>45649</v>
      </c>
      <c r="J278" s="201" t="s">
        <v>223</v>
      </c>
      <c r="K278" s="382">
        <v>45657</v>
      </c>
      <c r="L278" s="204" t="s">
        <v>70</v>
      </c>
      <c r="M278" s="52">
        <v>8759874</v>
      </c>
      <c r="N278" s="52"/>
      <c r="O278" s="52">
        <v>256000</v>
      </c>
      <c r="P278" s="52">
        <f t="shared" si="22"/>
        <v>8503874</v>
      </c>
      <c r="Q278" s="509"/>
      <c r="R278" s="229"/>
    </row>
    <row r="279" spans="1:18" ht="30">
      <c r="A279" s="457"/>
      <c r="B279" s="455"/>
      <c r="C279" s="504"/>
      <c r="D279" s="634"/>
      <c r="E279" s="181" t="s">
        <v>684</v>
      </c>
      <c r="F279" s="182">
        <v>1016087186</v>
      </c>
      <c r="G279" s="62" t="s">
        <v>196</v>
      </c>
      <c r="H279" s="27">
        <v>1</v>
      </c>
      <c r="I279" s="382">
        <v>45649</v>
      </c>
      <c r="J279" s="201" t="s">
        <v>223</v>
      </c>
      <c r="K279" s="382">
        <v>45657</v>
      </c>
      <c r="L279" s="204" t="s">
        <v>70</v>
      </c>
      <c r="M279" s="52">
        <v>8759874</v>
      </c>
      <c r="N279" s="52">
        <v>84620</v>
      </c>
      <c r="O279" s="52">
        <v>256000</v>
      </c>
      <c r="P279" s="52">
        <f t="shared" si="22"/>
        <v>8419254</v>
      </c>
      <c r="Q279" s="509"/>
      <c r="R279" s="229"/>
    </row>
    <row r="280" spans="1:18" ht="60">
      <c r="A280" s="457"/>
      <c r="B280" s="455"/>
      <c r="C280" s="504"/>
      <c r="D280" s="634"/>
      <c r="E280" s="181" t="s">
        <v>685</v>
      </c>
      <c r="F280" s="182">
        <v>1010237101</v>
      </c>
      <c r="G280" s="62" t="s">
        <v>686</v>
      </c>
      <c r="H280" s="27">
        <v>1</v>
      </c>
      <c r="I280" s="382">
        <v>45649</v>
      </c>
      <c r="J280" s="201" t="s">
        <v>223</v>
      </c>
      <c r="K280" s="382">
        <v>45657</v>
      </c>
      <c r="L280" s="204" t="s">
        <v>70</v>
      </c>
      <c r="M280" s="52">
        <v>8759874</v>
      </c>
      <c r="N280" s="52"/>
      <c r="O280" s="52">
        <v>256000</v>
      </c>
      <c r="P280" s="52">
        <f t="shared" si="22"/>
        <v>8503874</v>
      </c>
      <c r="Q280" s="509"/>
      <c r="R280" s="229"/>
    </row>
    <row r="281" spans="1:18" ht="60">
      <c r="A281" s="457"/>
      <c r="B281" s="455"/>
      <c r="C281" s="504"/>
      <c r="D281" s="634"/>
      <c r="E281" s="38" t="s">
        <v>687</v>
      </c>
      <c r="F281" s="39">
        <v>1000474553</v>
      </c>
      <c r="G281" s="24" t="s">
        <v>688</v>
      </c>
      <c r="H281" s="27">
        <v>1</v>
      </c>
      <c r="I281" s="382">
        <v>45657</v>
      </c>
      <c r="J281" s="201" t="s">
        <v>223</v>
      </c>
      <c r="K281" s="382">
        <v>45657</v>
      </c>
      <c r="L281" s="204" t="s">
        <v>70</v>
      </c>
      <c r="M281" s="52">
        <v>8759874</v>
      </c>
      <c r="N281" s="52"/>
      <c r="O281" s="52">
        <v>256000</v>
      </c>
      <c r="P281" s="52">
        <f>+M281-N281-O281</f>
        <v>8503874</v>
      </c>
      <c r="Q281" s="509"/>
      <c r="R281" s="229"/>
    </row>
    <row r="282" spans="1:18" ht="60">
      <c r="A282" s="457"/>
      <c r="B282" s="455"/>
      <c r="C282" s="504"/>
      <c r="D282" s="634"/>
      <c r="E282" s="38" t="s">
        <v>689</v>
      </c>
      <c r="F282" s="61" t="s">
        <v>690</v>
      </c>
      <c r="G282" s="24" t="s">
        <v>691</v>
      </c>
      <c r="H282" s="27">
        <v>1</v>
      </c>
      <c r="I282" s="382">
        <v>45657</v>
      </c>
      <c r="J282" s="201" t="s">
        <v>692</v>
      </c>
      <c r="K282" s="382">
        <v>45665</v>
      </c>
      <c r="L282" s="204" t="s">
        <v>70</v>
      </c>
      <c r="M282" s="52">
        <v>8759874</v>
      </c>
      <c r="N282" s="52"/>
      <c r="O282" s="52">
        <v>256000</v>
      </c>
      <c r="P282" s="52">
        <f>+M282-N282-O282</f>
        <v>8503874</v>
      </c>
      <c r="Q282" s="509"/>
      <c r="R282" s="229"/>
    </row>
    <row r="283" spans="1:18" ht="60">
      <c r="A283" s="457"/>
      <c r="B283" s="455"/>
      <c r="C283" s="504"/>
      <c r="D283" s="634"/>
      <c r="E283" s="38" t="s">
        <v>693</v>
      </c>
      <c r="F283" s="61" t="s">
        <v>694</v>
      </c>
      <c r="G283" s="24" t="s">
        <v>695</v>
      </c>
      <c r="H283" s="27">
        <v>1</v>
      </c>
      <c r="I283" s="382">
        <v>45657</v>
      </c>
      <c r="J283" s="201" t="s">
        <v>696</v>
      </c>
      <c r="K283" s="382">
        <v>45665</v>
      </c>
      <c r="L283" s="204" t="s">
        <v>70</v>
      </c>
      <c r="M283" s="52">
        <v>8759874</v>
      </c>
      <c r="N283" s="52">
        <v>84620</v>
      </c>
      <c r="O283" s="52">
        <v>256000</v>
      </c>
      <c r="P283" s="52">
        <f t="shared" ref="P283:P285" si="23">+M283-N283-O283</f>
        <v>8419254</v>
      </c>
      <c r="Q283" s="509"/>
      <c r="R283" s="229"/>
    </row>
    <row r="284" spans="1:18" ht="60">
      <c r="A284" s="457"/>
      <c r="B284" s="455"/>
      <c r="C284" s="504"/>
      <c r="D284" s="634"/>
      <c r="E284" s="38" t="s">
        <v>697</v>
      </c>
      <c r="F284" s="61" t="s">
        <v>698</v>
      </c>
      <c r="G284" s="24" t="s">
        <v>699</v>
      </c>
      <c r="H284" s="27">
        <v>1</v>
      </c>
      <c r="I284" s="382">
        <v>45657</v>
      </c>
      <c r="J284" s="201" t="s">
        <v>700</v>
      </c>
      <c r="K284" s="382">
        <v>45665</v>
      </c>
      <c r="L284" s="204" t="s">
        <v>70</v>
      </c>
      <c r="M284" s="52">
        <v>8759874</v>
      </c>
      <c r="N284" s="52"/>
      <c r="O284" s="52">
        <v>256000</v>
      </c>
      <c r="P284" s="52">
        <f t="shared" si="23"/>
        <v>8503874</v>
      </c>
      <c r="Q284" s="509"/>
      <c r="R284" s="229"/>
    </row>
    <row r="285" spans="1:18" ht="60">
      <c r="A285" s="457"/>
      <c r="B285" s="455"/>
      <c r="C285" s="504"/>
      <c r="D285" s="634"/>
      <c r="E285" s="38" t="s">
        <v>701</v>
      </c>
      <c r="F285" s="61" t="s">
        <v>702</v>
      </c>
      <c r="G285" s="24" t="s">
        <v>703</v>
      </c>
      <c r="H285" s="27">
        <v>1</v>
      </c>
      <c r="I285" s="382">
        <v>45657</v>
      </c>
      <c r="J285" s="201" t="s">
        <v>704</v>
      </c>
      <c r="K285" s="382">
        <v>45665</v>
      </c>
      <c r="L285" s="204" t="s">
        <v>70</v>
      </c>
      <c r="M285" s="52">
        <v>8759874</v>
      </c>
      <c r="N285" s="52">
        <v>84620</v>
      </c>
      <c r="O285" s="52">
        <v>256000</v>
      </c>
      <c r="P285" s="52">
        <f t="shared" si="23"/>
        <v>8419254</v>
      </c>
      <c r="Q285" s="509"/>
      <c r="R285" s="229"/>
    </row>
    <row r="286" spans="1:18" ht="60">
      <c r="A286" s="457"/>
      <c r="B286" s="455"/>
      <c r="C286" s="504"/>
      <c r="D286" s="634"/>
      <c r="E286" s="38" t="s">
        <v>705</v>
      </c>
      <c r="F286" s="61" t="s">
        <v>706</v>
      </c>
      <c r="G286" s="24" t="s">
        <v>707</v>
      </c>
      <c r="H286" s="27">
        <v>1</v>
      </c>
      <c r="I286" s="382">
        <v>45666</v>
      </c>
      <c r="J286" s="201" t="s">
        <v>708</v>
      </c>
      <c r="K286" s="382">
        <v>45672</v>
      </c>
      <c r="L286" s="204" t="s">
        <v>70</v>
      </c>
      <c r="M286" s="52">
        <v>8759874</v>
      </c>
      <c r="N286" s="52"/>
      <c r="O286" s="52">
        <v>207000</v>
      </c>
      <c r="P286" s="52">
        <f>+M286-O286</f>
        <v>8552874</v>
      </c>
      <c r="Q286" s="509"/>
      <c r="R286" s="229"/>
    </row>
    <row r="287" spans="1:18" ht="60">
      <c r="A287" s="457"/>
      <c r="B287" s="455"/>
      <c r="C287" s="504"/>
      <c r="D287" s="634"/>
      <c r="E287" s="38" t="s">
        <v>709</v>
      </c>
      <c r="F287" s="61" t="s">
        <v>710</v>
      </c>
      <c r="G287" s="57" t="s">
        <v>711</v>
      </c>
      <c r="H287" s="27">
        <v>1</v>
      </c>
      <c r="I287" s="382">
        <v>45665</v>
      </c>
      <c r="J287" s="201" t="s">
        <v>712</v>
      </c>
      <c r="K287" s="382">
        <v>45672</v>
      </c>
      <c r="L287" s="204" t="s">
        <v>70</v>
      </c>
      <c r="M287" s="52">
        <v>8759874</v>
      </c>
      <c r="N287" s="52"/>
      <c r="O287" s="52">
        <v>207000</v>
      </c>
      <c r="P287" s="52">
        <f>+M287-N287-O287</f>
        <v>8552874</v>
      </c>
      <c r="Q287" s="509"/>
      <c r="R287" s="229"/>
    </row>
    <row r="288" spans="1:18" ht="60">
      <c r="A288" s="457"/>
      <c r="B288" s="455"/>
      <c r="C288" s="504"/>
      <c r="D288" s="634"/>
      <c r="E288" s="38" t="s">
        <v>713</v>
      </c>
      <c r="F288" s="61" t="s">
        <v>714</v>
      </c>
      <c r="G288" s="24" t="s">
        <v>715</v>
      </c>
      <c r="H288" s="27">
        <v>1</v>
      </c>
      <c r="I288" s="382">
        <v>45657</v>
      </c>
      <c r="J288" s="201" t="s">
        <v>716</v>
      </c>
      <c r="K288" s="382">
        <v>45660</v>
      </c>
      <c r="L288" s="204" t="s">
        <v>70</v>
      </c>
      <c r="M288" s="52">
        <v>8759874</v>
      </c>
      <c r="N288" s="52"/>
      <c r="O288" s="52">
        <v>256000</v>
      </c>
      <c r="P288" s="52">
        <f>+M288-N288-O288</f>
        <v>8503874</v>
      </c>
      <c r="Q288" s="509"/>
      <c r="R288" s="229"/>
    </row>
    <row r="289" spans="1:18" ht="48" customHeight="1" thickBot="1">
      <c r="A289" s="457"/>
      <c r="B289" s="456"/>
      <c r="C289" s="504"/>
      <c r="D289" s="634"/>
      <c r="E289" s="72" t="s">
        <v>717</v>
      </c>
      <c r="F289" s="59">
        <v>80192440</v>
      </c>
      <c r="G289" s="58" t="s">
        <v>718</v>
      </c>
      <c r="H289" s="49">
        <v>1</v>
      </c>
      <c r="I289" s="415">
        <v>45679</v>
      </c>
      <c r="J289" s="286" t="s">
        <v>719</v>
      </c>
      <c r="K289" s="415">
        <v>45687</v>
      </c>
      <c r="L289" s="214" t="s">
        <v>70</v>
      </c>
      <c r="M289" s="51">
        <v>9759874</v>
      </c>
      <c r="N289" s="51"/>
      <c r="O289" s="51">
        <v>333000</v>
      </c>
      <c r="P289" s="51">
        <f>+M289-N289-O289</f>
        <v>9426874</v>
      </c>
      <c r="Q289" s="509"/>
      <c r="R289" s="230"/>
    </row>
    <row r="290" spans="1:18" s="32" customFormat="1" ht="30.95" thickBot="1">
      <c r="A290" s="249"/>
      <c r="B290" s="250">
        <f>SUM(B223:B280)</f>
        <v>903748925.65999997</v>
      </c>
      <c r="C290" s="251" t="s">
        <v>283</v>
      </c>
      <c r="D290" s="250">
        <f>SUM(D223:D280)</f>
        <v>903748925.65999997</v>
      </c>
      <c r="E290" s="252"/>
      <c r="F290" s="253"/>
      <c r="G290" s="252"/>
      <c r="H290" s="254"/>
      <c r="I290" s="254"/>
      <c r="J290" s="254"/>
      <c r="K290" s="254"/>
      <c r="L290" s="254"/>
      <c r="M290" s="250">
        <f>+SUM(M223:M289)</f>
        <v>855310363</v>
      </c>
      <c r="N290" s="250">
        <f t="shared" ref="N290:Q290" si="24">+SUM(N223:N289)</f>
        <v>3289353</v>
      </c>
      <c r="O290" s="250">
        <f t="shared" si="24"/>
        <v>34567401</v>
      </c>
      <c r="P290" s="250">
        <f t="shared" si="24"/>
        <v>817453609</v>
      </c>
      <c r="Q290" s="250">
        <f t="shared" si="24"/>
        <v>48438562.659999967</v>
      </c>
      <c r="R290" s="255"/>
    </row>
    <row r="291" spans="1:18" s="32" customFormat="1" ht="65.099999999999994" customHeight="1" thickBot="1">
      <c r="A291" s="457" t="s">
        <v>284</v>
      </c>
      <c r="B291" s="454">
        <f>+D305</f>
        <v>1029006433.1407981</v>
      </c>
      <c r="C291" s="608" t="s">
        <v>720</v>
      </c>
      <c r="D291" s="185">
        <v>101212829.82039911</v>
      </c>
      <c r="E291" s="186" t="s">
        <v>721</v>
      </c>
      <c r="F291" s="287">
        <v>900700729</v>
      </c>
      <c r="G291" s="288" t="s">
        <v>722</v>
      </c>
      <c r="H291" s="188" t="s">
        <v>723</v>
      </c>
      <c r="I291" s="416">
        <v>45672</v>
      </c>
      <c r="J291" s="287" t="s">
        <v>724</v>
      </c>
      <c r="K291" s="416">
        <v>45692</v>
      </c>
      <c r="L291" s="78" t="s">
        <v>70</v>
      </c>
      <c r="M291" s="185">
        <v>101212829.82039911</v>
      </c>
      <c r="N291" s="185"/>
      <c r="O291" s="185"/>
      <c r="P291" s="185">
        <v>101212829.82039911</v>
      </c>
      <c r="Q291" s="185">
        <f>+D291-M291</f>
        <v>0</v>
      </c>
      <c r="R291" s="189"/>
    </row>
    <row r="292" spans="1:18" ht="33.950000000000003" customHeight="1">
      <c r="A292" s="457"/>
      <c r="B292" s="455"/>
      <c r="C292" s="608"/>
      <c r="D292" s="609">
        <v>34212000</v>
      </c>
      <c r="E292" s="515" t="s">
        <v>725</v>
      </c>
      <c r="F292" s="530">
        <v>901606858</v>
      </c>
      <c r="G292" s="77" t="s">
        <v>726</v>
      </c>
      <c r="H292" s="78" t="s">
        <v>727</v>
      </c>
      <c r="I292" s="386">
        <v>45673</v>
      </c>
      <c r="J292" s="79" t="s">
        <v>728</v>
      </c>
      <c r="K292" s="386">
        <v>45678</v>
      </c>
      <c r="L292" s="78" t="s">
        <v>70</v>
      </c>
      <c r="M292" s="80">
        <v>17106000</v>
      </c>
      <c r="N292" s="80">
        <v>138860</v>
      </c>
      <c r="O292" s="80">
        <v>574992</v>
      </c>
      <c r="P292" s="80">
        <f>+M292-N292-O292</f>
        <v>16392148</v>
      </c>
      <c r="Q292" s="458">
        <f>+D292-M292-M293</f>
        <v>0</v>
      </c>
      <c r="R292" s="180"/>
    </row>
    <row r="293" spans="1:18" ht="33.950000000000003" customHeight="1" thickBot="1">
      <c r="A293" s="457"/>
      <c r="B293" s="455"/>
      <c r="C293" s="608"/>
      <c r="D293" s="470"/>
      <c r="E293" s="516"/>
      <c r="F293" s="545"/>
      <c r="G293" s="72" t="s">
        <v>729</v>
      </c>
      <c r="H293" s="49" t="s">
        <v>730</v>
      </c>
      <c r="I293" s="387">
        <v>45673</v>
      </c>
      <c r="J293" s="47" t="s">
        <v>731</v>
      </c>
      <c r="K293" s="387">
        <v>45678</v>
      </c>
      <c r="L293" s="49" t="s">
        <v>70</v>
      </c>
      <c r="M293" s="50">
        <v>17106000</v>
      </c>
      <c r="N293" s="50">
        <v>138860</v>
      </c>
      <c r="O293" s="50">
        <v>574992</v>
      </c>
      <c r="P293" s="50">
        <f>+M293-N293-O293</f>
        <v>16392148</v>
      </c>
      <c r="Q293" s="470"/>
      <c r="R293" s="230"/>
    </row>
    <row r="294" spans="1:18" ht="24.95" customHeight="1">
      <c r="A294" s="457"/>
      <c r="B294" s="455"/>
      <c r="C294" s="630" t="s">
        <v>732</v>
      </c>
      <c r="D294" s="458">
        <v>129520000</v>
      </c>
      <c r="E294" s="515" t="s">
        <v>733</v>
      </c>
      <c r="F294" s="530">
        <v>900926685</v>
      </c>
      <c r="G294" s="84" t="s">
        <v>734</v>
      </c>
      <c r="H294" s="78" t="s">
        <v>735</v>
      </c>
      <c r="I294" s="386">
        <v>45672</v>
      </c>
      <c r="J294" s="79" t="s">
        <v>736</v>
      </c>
      <c r="K294" s="386">
        <v>45674</v>
      </c>
      <c r="L294" s="78" t="s">
        <v>70</v>
      </c>
      <c r="M294" s="80">
        <v>64760000</v>
      </c>
      <c r="N294" s="80"/>
      <c r="O294" s="80">
        <v>2590400</v>
      </c>
      <c r="P294" s="80">
        <f>+M294-O294</f>
        <v>62169600</v>
      </c>
      <c r="Q294" s="458"/>
      <c r="R294" s="180"/>
    </row>
    <row r="295" spans="1:18" ht="48.95" customHeight="1" thickBot="1">
      <c r="A295" s="457"/>
      <c r="B295" s="455"/>
      <c r="C295" s="631"/>
      <c r="D295" s="459"/>
      <c r="E295" s="517"/>
      <c r="F295" s="484"/>
      <c r="G295" s="85" t="s">
        <v>737</v>
      </c>
      <c r="H295" s="82" t="s">
        <v>738</v>
      </c>
      <c r="I295" s="385">
        <v>45672</v>
      </c>
      <c r="J295" s="87" t="s">
        <v>739</v>
      </c>
      <c r="K295" s="385">
        <v>45680</v>
      </c>
      <c r="L295" s="82" t="s">
        <v>70</v>
      </c>
      <c r="M295" s="83">
        <v>64760000</v>
      </c>
      <c r="N295" s="83"/>
      <c r="O295" s="83">
        <v>2590400</v>
      </c>
      <c r="P295" s="83">
        <f>+M295-O295</f>
        <v>62169600</v>
      </c>
      <c r="Q295" s="459"/>
      <c r="R295" s="179"/>
    </row>
    <row r="296" spans="1:18" ht="44.1" customHeight="1" thickBot="1">
      <c r="A296" s="457"/>
      <c r="B296" s="455"/>
      <c r="C296" s="631"/>
      <c r="D296" s="171">
        <v>62945085.820399046</v>
      </c>
      <c r="E296" s="172"/>
      <c r="F296" s="197"/>
      <c r="G296" s="198"/>
      <c r="H296" s="173"/>
      <c r="I296" s="417"/>
      <c r="J296" s="197"/>
      <c r="K296" s="417"/>
      <c r="L296" s="173"/>
      <c r="M296" s="171"/>
      <c r="N296" s="171"/>
      <c r="O296" s="171"/>
      <c r="P296" s="171"/>
      <c r="Q296" s="171">
        <f>+D296</f>
        <v>62945085.820399046</v>
      </c>
      <c r="R296" s="174"/>
    </row>
    <row r="297" spans="1:18" ht="44.1" customHeight="1" thickBot="1">
      <c r="A297" s="457"/>
      <c r="B297" s="455"/>
      <c r="C297" s="631"/>
      <c r="D297" s="171">
        <v>89732879</v>
      </c>
      <c r="E297" s="186" t="s">
        <v>721</v>
      </c>
      <c r="F297" s="287">
        <v>900700729</v>
      </c>
      <c r="G297" s="288" t="s">
        <v>722</v>
      </c>
      <c r="H297" s="188" t="s">
        <v>723</v>
      </c>
      <c r="I297" s="416">
        <v>45672</v>
      </c>
      <c r="J297" s="287" t="s">
        <v>724</v>
      </c>
      <c r="K297" s="416">
        <v>45692</v>
      </c>
      <c r="L297" s="78" t="s">
        <v>70</v>
      </c>
      <c r="M297" s="171">
        <v>89732879</v>
      </c>
      <c r="N297" s="171"/>
      <c r="O297" s="171"/>
      <c r="P297" s="171">
        <f>+M297-N297-O297</f>
        <v>89732879</v>
      </c>
      <c r="Q297" s="171">
        <f>+D297-P297</f>
        <v>0</v>
      </c>
      <c r="R297" s="174"/>
    </row>
    <row r="298" spans="1:18" s="32" customFormat="1" ht="30" customHeight="1">
      <c r="A298" s="457"/>
      <c r="B298" s="455"/>
      <c r="C298" s="631"/>
      <c r="D298" s="590">
        <v>486212830</v>
      </c>
      <c r="E298" s="515" t="s">
        <v>294</v>
      </c>
      <c r="F298" s="530">
        <v>901752017</v>
      </c>
      <c r="G298" s="77" t="s">
        <v>295</v>
      </c>
      <c r="H298" s="78" t="s">
        <v>296</v>
      </c>
      <c r="I298" s="386">
        <v>45643</v>
      </c>
      <c r="J298" s="79" t="s">
        <v>297</v>
      </c>
      <c r="K298" s="386">
        <v>45649</v>
      </c>
      <c r="L298" s="78" t="s">
        <v>70</v>
      </c>
      <c r="M298" s="80">
        <v>304809458.06832647</v>
      </c>
      <c r="N298" s="80">
        <v>14700000</v>
      </c>
      <c r="O298" s="80">
        <v>3550050</v>
      </c>
      <c r="P298" s="80">
        <f>+M298-N298-O298</f>
        <v>286559408.06832647</v>
      </c>
      <c r="Q298" s="458">
        <f>+D298-M298-M299</f>
        <v>0</v>
      </c>
      <c r="R298" s="180"/>
    </row>
    <row r="299" spans="1:18" s="32" customFormat="1" ht="30" customHeight="1" thickBot="1">
      <c r="A299" s="457"/>
      <c r="B299" s="455"/>
      <c r="C299" s="632"/>
      <c r="D299" s="591"/>
      <c r="E299" s="588"/>
      <c r="F299" s="589"/>
      <c r="G299" s="168" t="s">
        <v>298</v>
      </c>
      <c r="H299" s="159" t="s">
        <v>299</v>
      </c>
      <c r="I299" s="418">
        <v>45652</v>
      </c>
      <c r="J299" s="160" t="s">
        <v>300</v>
      </c>
      <c r="K299" s="418">
        <v>45666</v>
      </c>
      <c r="L299" s="159" t="s">
        <v>70</v>
      </c>
      <c r="M299" s="170">
        <v>181403371.93167353</v>
      </c>
      <c r="N299" s="170">
        <v>14700000</v>
      </c>
      <c r="O299" s="170">
        <v>3550050</v>
      </c>
      <c r="P299" s="170">
        <f>+M299-N299-O299</f>
        <v>163153321.93167353</v>
      </c>
      <c r="Q299" s="585"/>
      <c r="R299" s="166"/>
    </row>
    <row r="300" spans="1:18" ht="27" customHeight="1" thickBot="1">
      <c r="A300" s="457"/>
      <c r="B300" s="455"/>
      <c r="C300" s="190" t="s">
        <v>740</v>
      </c>
      <c r="D300" s="185">
        <v>0</v>
      </c>
      <c r="E300" s="186"/>
      <c r="F300" s="187"/>
      <c r="G300" s="186"/>
      <c r="H300" s="188"/>
      <c r="I300" s="414"/>
      <c r="J300" s="187"/>
      <c r="K300" s="414"/>
      <c r="L300" s="188"/>
      <c r="M300" s="185"/>
      <c r="N300" s="185"/>
      <c r="O300" s="185"/>
      <c r="P300" s="185"/>
      <c r="Q300" s="185">
        <f t="shared" ref="Q300:Q303" si="25">+D300-M300</f>
        <v>0</v>
      </c>
      <c r="R300" s="189"/>
    </row>
    <row r="301" spans="1:18" ht="30" customHeight="1">
      <c r="A301" s="457"/>
      <c r="B301" s="455"/>
      <c r="C301" s="504" t="s">
        <v>741</v>
      </c>
      <c r="D301" s="470">
        <v>105935245</v>
      </c>
      <c r="E301" s="516" t="s">
        <v>310</v>
      </c>
      <c r="F301" s="545">
        <v>900089400</v>
      </c>
      <c r="G301" s="62" t="s">
        <v>311</v>
      </c>
      <c r="H301" s="65" t="s">
        <v>312</v>
      </c>
      <c r="I301" s="383">
        <v>45646</v>
      </c>
      <c r="J301" s="182" t="s">
        <v>313</v>
      </c>
      <c r="K301" s="383">
        <v>45652</v>
      </c>
      <c r="L301" s="65" t="s">
        <v>70</v>
      </c>
      <c r="M301" s="52">
        <v>24176669</v>
      </c>
      <c r="N301" s="52">
        <v>0</v>
      </c>
      <c r="O301" s="52">
        <v>0</v>
      </c>
      <c r="P301" s="52">
        <v>24176669</v>
      </c>
      <c r="Q301" s="470">
        <v>2910668</v>
      </c>
      <c r="R301" s="183" t="s">
        <v>515</v>
      </c>
    </row>
    <row r="302" spans="1:18" ht="30" customHeight="1" thickBot="1">
      <c r="A302" s="457"/>
      <c r="B302" s="455"/>
      <c r="C302" s="505"/>
      <c r="D302" s="459"/>
      <c r="E302" s="517"/>
      <c r="F302" s="484"/>
      <c r="G302" s="85" t="s">
        <v>314</v>
      </c>
      <c r="H302" s="82" t="s">
        <v>315</v>
      </c>
      <c r="I302" s="385">
        <v>45311</v>
      </c>
      <c r="J302" s="87" t="s">
        <v>316</v>
      </c>
      <c r="K302" s="385">
        <v>45680</v>
      </c>
      <c r="L302" s="82" t="s">
        <v>70</v>
      </c>
      <c r="M302" s="83">
        <v>78847908</v>
      </c>
      <c r="N302" s="83">
        <v>640059</v>
      </c>
      <c r="O302" s="83">
        <v>2650350</v>
      </c>
      <c r="P302" s="83">
        <v>75557499</v>
      </c>
      <c r="Q302" s="459"/>
      <c r="R302" s="179" t="s">
        <v>515</v>
      </c>
    </row>
    <row r="303" spans="1:18" ht="30.95" thickBot="1">
      <c r="A303" s="457"/>
      <c r="B303" s="455"/>
      <c r="C303" s="178" t="s">
        <v>742</v>
      </c>
      <c r="D303" s="132">
        <v>14401433</v>
      </c>
      <c r="E303" s="199"/>
      <c r="F303" s="200"/>
      <c r="G303" s="199"/>
      <c r="H303" s="130"/>
      <c r="I303" s="419"/>
      <c r="J303" s="200"/>
      <c r="K303" s="419"/>
      <c r="L303" s="130"/>
      <c r="M303" s="132"/>
      <c r="N303" s="132"/>
      <c r="O303" s="132"/>
      <c r="P303" s="132"/>
      <c r="Q303" s="132">
        <f t="shared" si="25"/>
        <v>14401433</v>
      </c>
      <c r="R303" s="347"/>
    </row>
    <row r="304" spans="1:18" ht="60.95" thickBot="1">
      <c r="A304" s="457"/>
      <c r="B304" s="456"/>
      <c r="C304" s="289" t="s">
        <v>743</v>
      </c>
      <c r="D304" s="290">
        <v>4834130.5</v>
      </c>
      <c r="E304" s="291" t="s">
        <v>328</v>
      </c>
      <c r="F304" s="292">
        <v>900814916</v>
      </c>
      <c r="G304" s="293" t="s">
        <v>329</v>
      </c>
      <c r="H304" s="294">
        <v>24345</v>
      </c>
      <c r="I304" s="420">
        <v>45643</v>
      </c>
      <c r="J304" s="292" t="s">
        <v>330</v>
      </c>
      <c r="K304" s="420">
        <v>45643</v>
      </c>
      <c r="L304" s="294" t="s">
        <v>70</v>
      </c>
      <c r="M304" s="290">
        <v>4834131</v>
      </c>
      <c r="N304" s="290"/>
      <c r="O304" s="290"/>
      <c r="P304" s="290">
        <v>4834131</v>
      </c>
      <c r="Q304" s="290">
        <v>0</v>
      </c>
      <c r="R304" s="295"/>
    </row>
    <row r="305" spans="1:22" s="32" customFormat="1" ht="30.95" thickBot="1">
      <c r="A305" s="249"/>
      <c r="B305" s="250">
        <f>SUM(B291:B303)</f>
        <v>1029006433.1407981</v>
      </c>
      <c r="C305" s="251" t="s">
        <v>333</v>
      </c>
      <c r="D305" s="250">
        <f>SUM(D291:D304)</f>
        <v>1029006433.1407981</v>
      </c>
      <c r="E305" s="252"/>
      <c r="F305" s="253"/>
      <c r="G305" s="252"/>
      <c r="H305" s="254"/>
      <c r="I305" s="254"/>
      <c r="J305" s="254"/>
      <c r="K305" s="254"/>
      <c r="L305" s="254"/>
      <c r="M305" s="250">
        <f>+SUM(M291:M304)</f>
        <v>948749246.82039905</v>
      </c>
      <c r="N305" s="250">
        <f t="shared" ref="N305:Q305" si="26">+SUM(N291:N304)</f>
        <v>30317779</v>
      </c>
      <c r="O305" s="250">
        <f t="shared" si="26"/>
        <v>16081234</v>
      </c>
      <c r="P305" s="250">
        <f t="shared" si="26"/>
        <v>902350233.82039905</v>
      </c>
      <c r="Q305" s="250">
        <f t="shared" si="26"/>
        <v>80257186.820399046</v>
      </c>
      <c r="R305" s="255"/>
      <c r="T305" s="362"/>
      <c r="U305" s="362"/>
      <c r="V305" s="362"/>
    </row>
    <row r="306" spans="1:22" ht="33" customHeight="1">
      <c r="A306" s="457" t="s">
        <v>334</v>
      </c>
      <c r="B306" s="473">
        <f>+D331</f>
        <v>306725421.17019844</v>
      </c>
      <c r="C306" s="504" t="s">
        <v>744</v>
      </c>
      <c r="D306" s="470">
        <v>14070000</v>
      </c>
      <c r="E306" s="516" t="s">
        <v>745</v>
      </c>
      <c r="F306" s="545">
        <v>6763569</v>
      </c>
      <c r="G306" s="62" t="s">
        <v>746</v>
      </c>
      <c r="H306" s="65" t="s">
        <v>747</v>
      </c>
      <c r="I306" s="383">
        <v>45635</v>
      </c>
      <c r="J306" s="182" t="s">
        <v>748</v>
      </c>
      <c r="K306" s="383">
        <v>45652</v>
      </c>
      <c r="L306" s="65" t="s">
        <v>70</v>
      </c>
      <c r="M306" s="52">
        <v>7035000</v>
      </c>
      <c r="N306" s="52"/>
      <c r="O306" s="52">
        <v>39000</v>
      </c>
      <c r="P306" s="52">
        <f>+M306-N306-O306</f>
        <v>6996000</v>
      </c>
      <c r="Q306" s="470">
        <f>+D306-M306-M307</f>
        <v>0</v>
      </c>
      <c r="R306" s="183"/>
    </row>
    <row r="307" spans="1:22" ht="33" customHeight="1" thickBot="1">
      <c r="A307" s="457"/>
      <c r="B307" s="478"/>
      <c r="C307" s="505"/>
      <c r="D307" s="459"/>
      <c r="E307" s="517"/>
      <c r="F307" s="484"/>
      <c r="G307" s="85" t="s">
        <v>749</v>
      </c>
      <c r="H307" s="82" t="s">
        <v>750</v>
      </c>
      <c r="I307" s="385">
        <v>45650</v>
      </c>
      <c r="J307" s="87" t="s">
        <v>751</v>
      </c>
      <c r="K307" s="385">
        <v>45665</v>
      </c>
      <c r="L307" s="82" t="s">
        <v>70</v>
      </c>
      <c r="M307" s="83">
        <v>7035000</v>
      </c>
      <c r="N307" s="83"/>
      <c r="O307" s="83">
        <v>39000</v>
      </c>
      <c r="P307" s="83">
        <f>+M307-N307-O307</f>
        <v>6996000</v>
      </c>
      <c r="Q307" s="459"/>
      <c r="R307" s="179"/>
    </row>
    <row r="308" spans="1:22" ht="35.1" customHeight="1" thickBot="1">
      <c r="A308" s="457"/>
      <c r="B308" s="478"/>
      <c r="C308" s="176" t="s">
        <v>335</v>
      </c>
      <c r="D308" s="105">
        <v>0</v>
      </c>
      <c r="E308" s="110"/>
      <c r="F308" s="111"/>
      <c r="G308" s="110"/>
      <c r="H308" s="108"/>
      <c r="I308" s="417"/>
      <c r="J308" s="197"/>
      <c r="K308" s="417"/>
      <c r="L308" s="108"/>
      <c r="M308" s="105"/>
      <c r="N308" s="105"/>
      <c r="O308" s="105"/>
      <c r="P308" s="105"/>
      <c r="Q308" s="105">
        <f t="shared" ref="Q308:Q330" si="27">+D308-M308</f>
        <v>0</v>
      </c>
      <c r="R308" s="184"/>
    </row>
    <row r="309" spans="1:22" ht="30.95" thickBot="1">
      <c r="A309" s="457"/>
      <c r="B309" s="478"/>
      <c r="C309" s="176" t="s">
        <v>752</v>
      </c>
      <c r="D309" s="105">
        <v>0</v>
      </c>
      <c r="E309" s="110"/>
      <c r="F309" s="111"/>
      <c r="G309" s="110"/>
      <c r="H309" s="108"/>
      <c r="I309" s="396"/>
      <c r="J309" s="111"/>
      <c r="K309" s="396"/>
      <c r="L309" s="108"/>
      <c r="M309" s="105"/>
      <c r="N309" s="105"/>
      <c r="O309" s="105"/>
      <c r="P309" s="105"/>
      <c r="Q309" s="105">
        <f t="shared" si="27"/>
        <v>0</v>
      </c>
      <c r="R309" s="184"/>
    </row>
    <row r="310" spans="1:22" ht="45.95" thickBot="1">
      <c r="A310" s="457"/>
      <c r="B310" s="478"/>
      <c r="C310" s="176" t="s">
        <v>345</v>
      </c>
      <c r="D310" s="105">
        <v>31325120</v>
      </c>
      <c r="E310" s="110" t="s">
        <v>346</v>
      </c>
      <c r="F310" s="111">
        <v>900036920</v>
      </c>
      <c r="G310" s="110" t="s">
        <v>347</v>
      </c>
      <c r="H310" s="108" t="s">
        <v>348</v>
      </c>
      <c r="I310" s="417">
        <v>45672</v>
      </c>
      <c r="J310" s="197" t="s">
        <v>349</v>
      </c>
      <c r="K310" s="417">
        <v>45674</v>
      </c>
      <c r="L310" s="108" t="s">
        <v>70</v>
      </c>
      <c r="M310" s="105">
        <v>31325120</v>
      </c>
      <c r="N310" s="105">
        <v>370018.8693312878</v>
      </c>
      <c r="O310" s="105">
        <v>766084.57925853739</v>
      </c>
      <c r="P310" s="105">
        <f>+M310-N310-O310</f>
        <v>30189016.551410172</v>
      </c>
      <c r="Q310" s="105">
        <f t="shared" si="27"/>
        <v>0</v>
      </c>
      <c r="R310" s="184"/>
    </row>
    <row r="311" spans="1:22" ht="45.95" thickBot="1">
      <c r="A311" s="457"/>
      <c r="B311" s="478"/>
      <c r="C311" s="177" t="s">
        <v>753</v>
      </c>
      <c r="D311" s="105">
        <v>61161718.028357998</v>
      </c>
      <c r="E311" s="110" t="s">
        <v>341</v>
      </c>
      <c r="F311" s="111">
        <v>901213703</v>
      </c>
      <c r="G311" s="110" t="s">
        <v>342</v>
      </c>
      <c r="H311" s="108" t="s">
        <v>343</v>
      </c>
      <c r="I311" s="396">
        <v>45688</v>
      </c>
      <c r="J311" s="111" t="s">
        <v>344</v>
      </c>
      <c r="K311" s="396">
        <v>45692</v>
      </c>
      <c r="L311" s="108" t="s">
        <v>70</v>
      </c>
      <c r="M311" s="105">
        <v>59720603.237092674</v>
      </c>
      <c r="N311" s="109"/>
      <c r="O311" s="109"/>
      <c r="P311" s="105">
        <f>+M311-N311-O311</f>
        <v>59720603.237092674</v>
      </c>
      <c r="Q311" s="105">
        <f>+D311-M311</f>
        <v>1441114.7912653238</v>
      </c>
      <c r="R311" s="184"/>
    </row>
    <row r="312" spans="1:22" ht="30">
      <c r="A312" s="457"/>
      <c r="B312" s="478"/>
      <c r="C312" s="595" t="s">
        <v>754</v>
      </c>
      <c r="D312" s="458">
        <v>56470162.222222202</v>
      </c>
      <c r="E312" s="515" t="s">
        <v>352</v>
      </c>
      <c r="F312" s="530">
        <v>900668302</v>
      </c>
      <c r="G312" s="62" t="s">
        <v>353</v>
      </c>
      <c r="H312" s="65" t="s">
        <v>354</v>
      </c>
      <c r="I312" s="383">
        <v>45638</v>
      </c>
      <c r="J312" s="182" t="s">
        <v>355</v>
      </c>
      <c r="K312" s="383">
        <v>45642</v>
      </c>
      <c r="L312" s="65" t="s">
        <v>70</v>
      </c>
      <c r="M312" s="52">
        <v>46878571.963856526</v>
      </c>
      <c r="N312" s="52">
        <v>419302.3532363206</v>
      </c>
      <c r="O312" s="52">
        <v>1519212.9087552845</v>
      </c>
      <c r="P312" s="52">
        <f t="shared" ref="P312:P320" si="28">+M312-N312-O312</f>
        <v>44940056.701864921</v>
      </c>
      <c r="Q312" s="470">
        <f>+D312-M312-M313</f>
        <v>7674597.2734322157</v>
      </c>
      <c r="R312" s="183"/>
    </row>
    <row r="313" spans="1:22" ht="42" customHeight="1" thickBot="1">
      <c r="A313" s="457"/>
      <c r="B313" s="478"/>
      <c r="C313" s="596"/>
      <c r="D313" s="459"/>
      <c r="E313" s="517"/>
      <c r="F313" s="484"/>
      <c r="G313" s="85" t="s">
        <v>356</v>
      </c>
      <c r="H313" s="82" t="s">
        <v>357</v>
      </c>
      <c r="I313" s="385">
        <v>45688</v>
      </c>
      <c r="J313" s="87" t="s">
        <v>358</v>
      </c>
      <c r="K313" s="385">
        <v>45692</v>
      </c>
      <c r="L313" s="82" t="s">
        <v>70</v>
      </c>
      <c r="M313" s="83">
        <v>1916992.9849334599</v>
      </c>
      <c r="N313" s="83"/>
      <c r="O313" s="83"/>
      <c r="P313" s="83">
        <f>+M313-N313-O313</f>
        <v>1916992.9849334599</v>
      </c>
      <c r="Q313" s="459"/>
      <c r="R313" s="179"/>
    </row>
    <row r="314" spans="1:22" ht="36" customHeight="1">
      <c r="A314" s="457"/>
      <c r="B314" s="478"/>
      <c r="C314" s="595" t="s">
        <v>755</v>
      </c>
      <c r="D314" s="458">
        <v>8969866.6666666679</v>
      </c>
      <c r="E314" s="515" t="s">
        <v>363</v>
      </c>
      <c r="F314" s="530">
        <v>830071625</v>
      </c>
      <c r="G314" s="62" t="s">
        <v>364</v>
      </c>
      <c r="H314" s="65" t="s">
        <v>365</v>
      </c>
      <c r="I314" s="383">
        <v>45667</v>
      </c>
      <c r="J314" s="182" t="s">
        <v>366</v>
      </c>
      <c r="K314" s="383">
        <v>45672</v>
      </c>
      <c r="L314" s="65" t="s">
        <v>70</v>
      </c>
      <c r="M314" s="52">
        <v>4776146.460707983</v>
      </c>
      <c r="N314" s="52">
        <v>45354.100755301042</v>
      </c>
      <c r="O314" s="52">
        <v>187801.90701041286</v>
      </c>
      <c r="P314" s="52">
        <f t="shared" si="28"/>
        <v>4542990.4529422689</v>
      </c>
      <c r="Q314" s="470">
        <f>+D314-M314-M315</f>
        <v>-0.3333333320915699</v>
      </c>
      <c r="R314" s="183"/>
    </row>
    <row r="315" spans="1:22" ht="36" customHeight="1" thickBot="1">
      <c r="A315" s="457"/>
      <c r="B315" s="478"/>
      <c r="C315" s="596"/>
      <c r="D315" s="459"/>
      <c r="E315" s="517"/>
      <c r="F315" s="484"/>
      <c r="G315" s="85" t="s">
        <v>367</v>
      </c>
      <c r="H315" s="82" t="s">
        <v>368</v>
      </c>
      <c r="I315" s="385">
        <v>45715</v>
      </c>
      <c r="J315" s="87" t="s">
        <v>369</v>
      </c>
      <c r="K315" s="385">
        <v>45720</v>
      </c>
      <c r="L315" s="82" t="s">
        <v>70</v>
      </c>
      <c r="M315" s="83">
        <v>4193720.539292017</v>
      </c>
      <c r="N315" s="83">
        <v>60472.354552974735</v>
      </c>
      <c r="O315" s="83">
        <v>250402.6160847416</v>
      </c>
      <c r="P315" s="83">
        <f>+M315-N315-O315</f>
        <v>3882845.5686543006</v>
      </c>
      <c r="Q315" s="459"/>
      <c r="R315" s="179"/>
    </row>
    <row r="316" spans="1:22" ht="36" customHeight="1" thickBot="1">
      <c r="A316" s="457"/>
      <c r="B316" s="478"/>
      <c r="C316" s="177" t="s">
        <v>370</v>
      </c>
      <c r="D316" s="105">
        <v>1999200</v>
      </c>
      <c r="E316" s="110" t="s">
        <v>371</v>
      </c>
      <c r="F316" s="111">
        <v>901061468</v>
      </c>
      <c r="G316" s="106" t="s">
        <v>372</v>
      </c>
      <c r="H316" s="108" t="s">
        <v>373</v>
      </c>
      <c r="I316" s="396">
        <v>45632</v>
      </c>
      <c r="J316" s="111" t="s">
        <v>374</v>
      </c>
      <c r="K316" s="396">
        <v>45644</v>
      </c>
      <c r="L316" s="108" t="s">
        <v>70</v>
      </c>
      <c r="M316" s="105">
        <v>1999200</v>
      </c>
      <c r="N316" s="105">
        <v>16228.682926829268</v>
      </c>
      <c r="O316" s="105">
        <v>67200</v>
      </c>
      <c r="P316" s="105">
        <f t="shared" si="28"/>
        <v>1915771.3170731708</v>
      </c>
      <c r="Q316" s="105">
        <f t="shared" si="27"/>
        <v>0</v>
      </c>
      <c r="R316" s="184"/>
    </row>
    <row r="317" spans="1:22" s="32" customFormat="1" ht="53.1" customHeight="1" thickBot="1">
      <c r="A317" s="457"/>
      <c r="B317" s="478"/>
      <c r="C317" s="176" t="s">
        <v>756</v>
      </c>
      <c r="D317" s="105">
        <v>11750120</v>
      </c>
      <c r="E317" s="110" t="s">
        <v>757</v>
      </c>
      <c r="F317" s="111">
        <v>901363091</v>
      </c>
      <c r="G317" s="110" t="s">
        <v>758</v>
      </c>
      <c r="H317" s="108" t="s">
        <v>759</v>
      </c>
      <c r="I317" s="396">
        <v>45308</v>
      </c>
      <c r="J317" s="111" t="s">
        <v>760</v>
      </c>
      <c r="K317" s="396">
        <v>45688</v>
      </c>
      <c r="L317" s="108" t="s">
        <v>70</v>
      </c>
      <c r="M317" s="105">
        <v>5246770</v>
      </c>
      <c r="N317" s="105"/>
      <c r="O317" s="105">
        <v>264566</v>
      </c>
      <c r="P317" s="105">
        <f t="shared" si="28"/>
        <v>4982204</v>
      </c>
      <c r="Q317" s="105">
        <f t="shared" si="27"/>
        <v>6503350</v>
      </c>
      <c r="R317" s="336"/>
    </row>
    <row r="318" spans="1:22" ht="45" customHeight="1">
      <c r="A318" s="457"/>
      <c r="B318" s="478"/>
      <c r="C318" s="528" t="s">
        <v>761</v>
      </c>
      <c r="D318" s="458">
        <v>44390411.953493297</v>
      </c>
      <c r="E318" s="529" t="s">
        <v>762</v>
      </c>
      <c r="F318" s="530">
        <v>901478304</v>
      </c>
      <c r="G318" s="377" t="s">
        <v>763</v>
      </c>
      <c r="H318" s="78" t="s">
        <v>764</v>
      </c>
      <c r="I318" s="386">
        <v>45643</v>
      </c>
      <c r="J318" s="79" t="s">
        <v>765</v>
      </c>
      <c r="K318" s="386">
        <v>45649</v>
      </c>
      <c r="L318" s="78" t="s">
        <v>70</v>
      </c>
      <c r="M318" s="80">
        <v>31581430</v>
      </c>
      <c r="N318" s="80">
        <v>256367</v>
      </c>
      <c r="O318" s="80">
        <v>1061561</v>
      </c>
      <c r="P318" s="80">
        <f t="shared" si="28"/>
        <v>30263502</v>
      </c>
      <c r="Q318" s="458">
        <f>+D318-M318-M319</f>
        <v>-4.6506702899932861E-2</v>
      </c>
      <c r="R318" s="180"/>
    </row>
    <row r="319" spans="1:22" ht="50.1" customHeight="1" thickBot="1">
      <c r="A319" s="457"/>
      <c r="B319" s="478"/>
      <c r="C319" s="505"/>
      <c r="D319" s="459"/>
      <c r="E319" s="482"/>
      <c r="F319" s="484"/>
      <c r="G319" s="378" t="s">
        <v>766</v>
      </c>
      <c r="H319" s="82" t="s">
        <v>767</v>
      </c>
      <c r="I319" s="385">
        <v>45672</v>
      </c>
      <c r="J319" s="87" t="s">
        <v>768</v>
      </c>
      <c r="K319" s="385">
        <v>45677</v>
      </c>
      <c r="L319" s="82" t="s">
        <v>70</v>
      </c>
      <c r="M319" s="83">
        <v>12808982</v>
      </c>
      <c r="N319" s="83">
        <v>256367</v>
      </c>
      <c r="O319" s="83">
        <v>1061561</v>
      </c>
      <c r="P319" s="83">
        <f t="shared" si="28"/>
        <v>11491054</v>
      </c>
      <c r="Q319" s="459"/>
      <c r="R319" s="179"/>
    </row>
    <row r="320" spans="1:22" s="32" customFormat="1" ht="41.1" customHeight="1" thickBot="1">
      <c r="A320" s="457"/>
      <c r="B320" s="478"/>
      <c r="C320" s="178" t="s">
        <v>769</v>
      </c>
      <c r="D320" s="132">
        <v>2867106.6666666642</v>
      </c>
      <c r="E320" s="175" t="s">
        <v>770</v>
      </c>
      <c r="F320" s="131">
        <v>900268207</v>
      </c>
      <c r="G320" s="175" t="s">
        <v>771</v>
      </c>
      <c r="H320" s="130" t="s">
        <v>772</v>
      </c>
      <c r="I320" s="385">
        <v>45671</v>
      </c>
      <c r="J320" s="131" t="s">
        <v>773</v>
      </c>
      <c r="K320" s="385">
        <v>45680</v>
      </c>
      <c r="L320" s="130" t="s">
        <v>70</v>
      </c>
      <c r="M320" s="132">
        <v>2867107</v>
      </c>
      <c r="N320" s="132">
        <v>0</v>
      </c>
      <c r="O320" s="132">
        <v>0</v>
      </c>
      <c r="P320" s="132">
        <f t="shared" si="28"/>
        <v>2867107</v>
      </c>
      <c r="Q320" s="132">
        <f t="shared" si="27"/>
        <v>-0.3333333358168602</v>
      </c>
      <c r="R320" s="337"/>
    </row>
    <row r="321" spans="1:22" s="32" customFormat="1" ht="45.95" thickBot="1">
      <c r="A321" s="457"/>
      <c r="B321" s="478"/>
      <c r="C321" s="178" t="s">
        <v>774</v>
      </c>
      <c r="D321" s="132">
        <v>26240000</v>
      </c>
      <c r="E321" s="175" t="s">
        <v>380</v>
      </c>
      <c r="F321" s="131">
        <v>800126471</v>
      </c>
      <c r="G321" s="175" t="s">
        <v>381</v>
      </c>
      <c r="H321" s="130" t="s">
        <v>382</v>
      </c>
      <c r="I321" s="385">
        <v>45716</v>
      </c>
      <c r="J321" s="131" t="s">
        <v>383</v>
      </c>
      <c r="K321" s="385">
        <v>45720</v>
      </c>
      <c r="L321" s="130" t="s">
        <v>70</v>
      </c>
      <c r="M321" s="132">
        <f>49725000/2</f>
        <v>24862500</v>
      </c>
      <c r="N321" s="132">
        <f>248586/2</f>
        <v>124293</v>
      </c>
      <c r="O321" s="132">
        <f>2101575/2</f>
        <v>1050787.5</v>
      </c>
      <c r="P321" s="132">
        <f>+M321-N321-O321</f>
        <v>23687419.5</v>
      </c>
      <c r="Q321" s="132">
        <f t="shared" si="27"/>
        <v>1377500</v>
      </c>
      <c r="R321" s="337"/>
    </row>
    <row r="322" spans="1:22" ht="30">
      <c r="A322" s="457"/>
      <c r="B322" s="478"/>
      <c r="C322" s="538" t="s">
        <v>317</v>
      </c>
      <c r="D322" s="479">
        <v>10172715</v>
      </c>
      <c r="E322" s="481" t="s">
        <v>318</v>
      </c>
      <c r="F322" s="483">
        <v>901632359</v>
      </c>
      <c r="G322" s="163" t="s">
        <v>775</v>
      </c>
      <c r="H322" s="156" t="s">
        <v>320</v>
      </c>
      <c r="I322" s="421">
        <v>45628</v>
      </c>
      <c r="J322" s="157" t="s">
        <v>321</v>
      </c>
      <c r="K322" s="421">
        <v>45639</v>
      </c>
      <c r="L322" s="156" t="s">
        <v>70</v>
      </c>
      <c r="M322" s="167">
        <v>7838520.7217637217</v>
      </c>
      <c r="N322" s="167">
        <v>63630.15883683721</v>
      </c>
      <c r="O322" s="167">
        <v>263479.43790065119</v>
      </c>
      <c r="P322" s="167">
        <f>14883133/2</f>
        <v>7441566.5</v>
      </c>
      <c r="Q322" s="606">
        <f>+D322-M322-M323</f>
        <v>-0.72176372166723013</v>
      </c>
      <c r="R322" s="165"/>
    </row>
    <row r="323" spans="1:22" ht="39.950000000000003" customHeight="1" thickBot="1">
      <c r="A323" s="457"/>
      <c r="B323" s="478"/>
      <c r="C323" s="446"/>
      <c r="D323" s="480"/>
      <c r="E323" s="482"/>
      <c r="F323" s="484"/>
      <c r="G323" s="85" t="s">
        <v>322</v>
      </c>
      <c r="H323" s="82" t="s">
        <v>323</v>
      </c>
      <c r="I323" s="385">
        <v>45298</v>
      </c>
      <c r="J323" s="87" t="s">
        <v>324</v>
      </c>
      <c r="K323" s="385">
        <v>45670</v>
      </c>
      <c r="L323" s="82" t="s">
        <v>70</v>
      </c>
      <c r="M323" s="83">
        <v>2334195</v>
      </c>
      <c r="N323" s="83">
        <v>63630.15883683721</v>
      </c>
      <c r="O323" s="83">
        <v>263479.43790065119</v>
      </c>
      <c r="P323" s="83">
        <f>+M323-N323-O323</f>
        <v>2007085.4032625114</v>
      </c>
      <c r="Q323" s="459"/>
      <c r="R323" s="179"/>
    </row>
    <row r="324" spans="1:22" ht="39.950000000000003" customHeight="1">
      <c r="A324" s="457"/>
      <c r="B324" s="478"/>
      <c r="C324" s="446"/>
      <c r="D324" s="590">
        <v>12495000</v>
      </c>
      <c r="E324" s="529" t="s">
        <v>318</v>
      </c>
      <c r="F324" s="530">
        <v>901632359</v>
      </c>
      <c r="G324" s="138" t="s">
        <v>776</v>
      </c>
      <c r="H324" s="78" t="s">
        <v>777</v>
      </c>
      <c r="I324" s="386">
        <v>45650</v>
      </c>
      <c r="J324" s="79" t="s">
        <v>778</v>
      </c>
      <c r="K324" s="386">
        <v>45653</v>
      </c>
      <c r="L324" s="78" t="s">
        <v>70</v>
      </c>
      <c r="M324" s="80">
        <v>6247500</v>
      </c>
      <c r="N324" s="80">
        <v>50715</v>
      </c>
      <c r="O324" s="80">
        <v>210000</v>
      </c>
      <c r="P324" s="80">
        <f>+M324-N324-O324</f>
        <v>5986785</v>
      </c>
      <c r="Q324" s="458">
        <f>+D324-M324-M325</f>
        <v>3332000</v>
      </c>
      <c r="R324" s="180"/>
    </row>
    <row r="325" spans="1:22" ht="39.950000000000003" customHeight="1" thickBot="1">
      <c r="A325" s="457"/>
      <c r="B325" s="478"/>
      <c r="C325" s="447"/>
      <c r="D325" s="591"/>
      <c r="E325" s="592"/>
      <c r="F325" s="589"/>
      <c r="G325" s="158" t="s">
        <v>779</v>
      </c>
      <c r="H325" s="159" t="s">
        <v>780</v>
      </c>
      <c r="I325" s="418">
        <v>45665</v>
      </c>
      <c r="J325" s="160" t="s">
        <v>781</v>
      </c>
      <c r="K325" s="418">
        <v>45674</v>
      </c>
      <c r="L325" s="159" t="s">
        <v>70</v>
      </c>
      <c r="M325" s="170">
        <v>2915500</v>
      </c>
      <c r="N325" s="170">
        <v>23667</v>
      </c>
      <c r="O325" s="170">
        <v>98000</v>
      </c>
      <c r="P325" s="170">
        <f>+M325-N325-O325</f>
        <v>2793833</v>
      </c>
      <c r="Q325" s="585"/>
      <c r="R325" s="166"/>
    </row>
    <row r="326" spans="1:22" ht="30">
      <c r="A326" s="457"/>
      <c r="B326" s="478"/>
      <c r="C326" s="583" t="s">
        <v>385</v>
      </c>
      <c r="D326" s="470">
        <v>5577375.0272179507</v>
      </c>
      <c r="E326" s="181" t="s">
        <v>386</v>
      </c>
      <c r="F326" s="182">
        <v>800146092</v>
      </c>
      <c r="G326" s="181"/>
      <c r="H326" s="65" t="s">
        <v>388</v>
      </c>
      <c r="I326" s="383">
        <v>45637</v>
      </c>
      <c r="J326" s="182" t="s">
        <v>389</v>
      </c>
      <c r="K326" s="383">
        <v>45644</v>
      </c>
      <c r="L326" s="65" t="s">
        <v>70</v>
      </c>
      <c r="M326" s="52">
        <v>3079505</v>
      </c>
      <c r="N326" s="52">
        <v>0</v>
      </c>
      <c r="O326" s="52">
        <v>0</v>
      </c>
      <c r="P326" s="470">
        <f>+M326-N326-O326</f>
        <v>3079505</v>
      </c>
      <c r="Q326" s="470">
        <f>+D326-M326-M327</f>
        <v>60.027217950671911</v>
      </c>
      <c r="R326" s="183"/>
    </row>
    <row r="327" spans="1:22" ht="48.95" customHeight="1" thickBot="1">
      <c r="A327" s="457"/>
      <c r="B327" s="478"/>
      <c r="C327" s="584"/>
      <c r="D327" s="585"/>
      <c r="E327" s="168" t="s">
        <v>390</v>
      </c>
      <c r="F327" s="160">
        <v>900478067</v>
      </c>
      <c r="G327" s="168" t="s">
        <v>391</v>
      </c>
      <c r="H327" s="159" t="s">
        <v>392</v>
      </c>
      <c r="I327" s="418">
        <v>45643</v>
      </c>
      <c r="J327" s="160" t="s">
        <v>393</v>
      </c>
      <c r="K327" s="418">
        <v>45646</v>
      </c>
      <c r="L327" s="159" t="s">
        <v>70</v>
      </c>
      <c r="M327" s="170">
        <v>2497810</v>
      </c>
      <c r="N327" s="170">
        <v>20276.081477972522</v>
      </c>
      <c r="O327" s="170">
        <v>52475.198863098056</v>
      </c>
      <c r="P327" s="585"/>
      <c r="Q327" s="585"/>
      <c r="R327" s="166"/>
    </row>
    <row r="328" spans="1:22" ht="60.95" customHeight="1">
      <c r="A328" s="457"/>
      <c r="B328" s="478"/>
      <c r="C328" s="528" t="s">
        <v>394</v>
      </c>
      <c r="D328" s="458">
        <v>6479825.6055736998</v>
      </c>
      <c r="E328" s="481" t="s">
        <v>390</v>
      </c>
      <c r="F328" s="483">
        <v>900478067</v>
      </c>
      <c r="G328" s="377" t="s">
        <v>782</v>
      </c>
      <c r="H328" s="78" t="s">
        <v>783</v>
      </c>
      <c r="I328" s="386">
        <v>45673</v>
      </c>
      <c r="J328" s="79" t="s">
        <v>784</v>
      </c>
      <c r="K328" s="386">
        <v>45685</v>
      </c>
      <c r="L328" s="78" t="s">
        <v>70</v>
      </c>
      <c r="M328" s="80">
        <v>5170826</v>
      </c>
      <c r="N328" s="80">
        <v>0</v>
      </c>
      <c r="O328" s="80">
        <v>0</v>
      </c>
      <c r="P328" s="80">
        <f>+M328-N328-O328</f>
        <v>5170826</v>
      </c>
      <c r="Q328" s="458">
        <f>+D328-M328-M329</f>
        <v>-0.39442630019038916</v>
      </c>
      <c r="R328" s="180"/>
    </row>
    <row r="329" spans="1:22" ht="60.95" customHeight="1" thickBot="1">
      <c r="A329" s="457"/>
      <c r="B329" s="474"/>
      <c r="C329" s="505"/>
      <c r="D329" s="459"/>
      <c r="E329" s="592"/>
      <c r="F329" s="589"/>
      <c r="G329" s="378" t="s">
        <v>782</v>
      </c>
      <c r="H329" s="82" t="s">
        <v>785</v>
      </c>
      <c r="I329" s="385">
        <v>45709</v>
      </c>
      <c r="J329" s="87" t="s">
        <v>786</v>
      </c>
      <c r="K329" s="385">
        <v>45720</v>
      </c>
      <c r="L329" s="82" t="s">
        <v>70</v>
      </c>
      <c r="M329" s="83">
        <v>1309000</v>
      </c>
      <c r="N329" s="83">
        <v>44000</v>
      </c>
      <c r="O329" s="83">
        <v>10626</v>
      </c>
      <c r="P329" s="83">
        <f>+M329-N329-O329</f>
        <v>1254374</v>
      </c>
      <c r="Q329" s="459"/>
      <c r="R329" s="179"/>
    </row>
    <row r="330" spans="1:22" ht="60.95" thickBot="1">
      <c r="A330" s="457"/>
      <c r="B330" s="474"/>
      <c r="C330" s="296" t="s">
        <v>787</v>
      </c>
      <c r="D330" s="290">
        <v>12756800</v>
      </c>
      <c r="E330" s="293" t="s">
        <v>395</v>
      </c>
      <c r="F330" s="292">
        <v>900784487</v>
      </c>
      <c r="G330" s="293" t="s">
        <v>788</v>
      </c>
      <c r="H330" s="294" t="s">
        <v>789</v>
      </c>
      <c r="I330" s="420">
        <v>45686</v>
      </c>
      <c r="J330" s="292" t="s">
        <v>790</v>
      </c>
      <c r="K330" s="420">
        <v>45692</v>
      </c>
      <c r="L330" s="130" t="s">
        <v>70</v>
      </c>
      <c r="M330" s="290">
        <v>12756800</v>
      </c>
      <c r="N330" s="297"/>
      <c r="O330" s="297"/>
      <c r="P330" s="290">
        <f>+M330-N330-O330</f>
        <v>12756800</v>
      </c>
      <c r="Q330" s="290">
        <f t="shared" si="27"/>
        <v>0</v>
      </c>
      <c r="R330" s="295"/>
    </row>
    <row r="331" spans="1:22" ht="30.95" thickBot="1">
      <c r="A331" s="249"/>
      <c r="B331" s="250">
        <f>SUM(B306:B330)</f>
        <v>306725421.17019844</v>
      </c>
      <c r="C331" s="251" t="s">
        <v>409</v>
      </c>
      <c r="D331" s="250">
        <f>SUM(D306:D330)</f>
        <v>306725421.17019844</v>
      </c>
      <c r="E331" s="252"/>
      <c r="F331" s="253"/>
      <c r="G331" s="252"/>
      <c r="H331" s="254"/>
      <c r="I331" s="254"/>
      <c r="J331" s="254"/>
      <c r="K331" s="254"/>
      <c r="L331" s="254"/>
      <c r="M331" s="250">
        <f>SUM(M306:M330)</f>
        <v>286396800.90764642</v>
      </c>
      <c r="N331" s="250">
        <f t="shared" ref="N331:Q331" si="29">SUM(N306:N330)</f>
        <v>1814321.7599543601</v>
      </c>
      <c r="O331" s="250">
        <f t="shared" si="29"/>
        <v>7205237.5857733767</v>
      </c>
      <c r="P331" s="250">
        <f t="shared" si="29"/>
        <v>274882338.21723354</v>
      </c>
      <c r="Q331" s="250">
        <f t="shared" si="29"/>
        <v>20328620.262552094</v>
      </c>
      <c r="R331" s="255"/>
      <c r="T331" s="40"/>
      <c r="U331" s="40"/>
      <c r="V331" s="40"/>
    </row>
    <row r="332" spans="1:22" ht="60">
      <c r="A332" s="468" t="s">
        <v>410</v>
      </c>
      <c r="B332" s="610">
        <f>+D336</f>
        <v>164389411</v>
      </c>
      <c r="C332" s="659" t="s">
        <v>791</v>
      </c>
      <c r="D332" s="470">
        <v>164389411</v>
      </c>
      <c r="E332" s="181" t="s">
        <v>412</v>
      </c>
      <c r="F332" s="182">
        <v>830043325</v>
      </c>
      <c r="G332" s="62" t="s">
        <v>792</v>
      </c>
      <c r="H332" s="64" t="s">
        <v>793</v>
      </c>
      <c r="I332" s="422">
        <v>45638</v>
      </c>
      <c r="J332" s="48" t="s">
        <v>794</v>
      </c>
      <c r="K332" s="422">
        <v>45644</v>
      </c>
      <c r="L332" s="65" t="s">
        <v>70</v>
      </c>
      <c r="M332" s="52">
        <v>64920589</v>
      </c>
      <c r="N332" s="52">
        <v>0</v>
      </c>
      <c r="O332" s="52">
        <v>0</v>
      </c>
      <c r="P332" s="52">
        <f>+M332-N332-O332</f>
        <v>64920589</v>
      </c>
      <c r="Q332" s="470">
        <f>+D332-M332-M334-M335-M333</f>
        <v>1506809</v>
      </c>
      <c r="R332" s="183"/>
    </row>
    <row r="333" spans="1:22" ht="60">
      <c r="A333" s="469"/>
      <c r="B333" s="579"/>
      <c r="C333" s="660"/>
      <c r="D333" s="470"/>
      <c r="E333" s="181" t="s">
        <v>412</v>
      </c>
      <c r="F333" s="182">
        <v>830043325</v>
      </c>
      <c r="G333" s="235" t="s">
        <v>792</v>
      </c>
      <c r="H333" s="37" t="s">
        <v>795</v>
      </c>
      <c r="I333" s="392">
        <v>45686</v>
      </c>
      <c r="J333" s="36" t="s">
        <v>796</v>
      </c>
      <c r="K333" s="392">
        <v>45692</v>
      </c>
      <c r="L333" s="427" t="s">
        <v>70</v>
      </c>
      <c r="M333" s="51">
        <v>59317013</v>
      </c>
      <c r="N333" s="51">
        <v>1581007</v>
      </c>
      <c r="O333" s="51">
        <v>6546614</v>
      </c>
      <c r="P333" s="51">
        <f>+M333-N333-O333</f>
        <v>51189392</v>
      </c>
      <c r="Q333" s="470"/>
      <c r="R333" s="335"/>
    </row>
    <row r="334" spans="1:22" ht="62.1" customHeight="1">
      <c r="A334" s="469"/>
      <c r="B334" s="579"/>
      <c r="C334" s="661"/>
      <c r="D334" s="470"/>
      <c r="E334" s="181" t="s">
        <v>412</v>
      </c>
      <c r="F334" s="182">
        <v>830043325</v>
      </c>
      <c r="G334" s="235" t="s">
        <v>792</v>
      </c>
      <c r="H334" s="37" t="s">
        <v>795</v>
      </c>
      <c r="I334" s="392">
        <v>45686</v>
      </c>
      <c r="J334" s="36" t="s">
        <v>797</v>
      </c>
      <c r="K334" s="392">
        <v>45692</v>
      </c>
      <c r="L334" s="428" t="s">
        <v>70</v>
      </c>
      <c r="M334" s="34">
        <v>30345000</v>
      </c>
      <c r="N334" s="34">
        <v>0</v>
      </c>
      <c r="O334" s="34">
        <v>0</v>
      </c>
      <c r="P334" s="210">
        <f>+M334-N334-O334</f>
        <v>30345000</v>
      </c>
      <c r="Q334" s="470"/>
      <c r="R334" s="335"/>
    </row>
    <row r="335" spans="1:22" ht="75.95" thickBot="1">
      <c r="A335" s="469"/>
      <c r="B335" s="611"/>
      <c r="C335" s="274" t="s">
        <v>416</v>
      </c>
      <c r="D335" s="470"/>
      <c r="E335" s="72" t="s">
        <v>417</v>
      </c>
      <c r="F335" s="59" t="s">
        <v>798</v>
      </c>
      <c r="G335" s="68" t="s">
        <v>418</v>
      </c>
      <c r="H335" s="64" t="s">
        <v>419</v>
      </c>
      <c r="I335" s="422">
        <v>45656</v>
      </c>
      <c r="J335" s="48" t="s">
        <v>420</v>
      </c>
      <c r="K335" s="422">
        <v>45660</v>
      </c>
      <c r="L335" s="49" t="s">
        <v>70</v>
      </c>
      <c r="M335" s="51">
        <f>16600000/2</f>
        <v>8300000</v>
      </c>
      <c r="N335" s="51">
        <f>134753/2</f>
        <v>67376.5</v>
      </c>
      <c r="O335" s="51">
        <f>557983/2</f>
        <v>278991.5</v>
      </c>
      <c r="P335" s="50">
        <f>+M335-N335-O335</f>
        <v>7953632</v>
      </c>
      <c r="Q335" s="470"/>
      <c r="R335" s="230"/>
    </row>
    <row r="336" spans="1:22" ht="30.95" thickBot="1">
      <c r="A336" s="268"/>
      <c r="B336" s="250">
        <f>SUM(B332:B332)</f>
        <v>164389411</v>
      </c>
      <c r="C336" s="270" t="s">
        <v>429</v>
      </c>
      <c r="D336" s="250">
        <f>SUM(D332:D335)</f>
        <v>164389411</v>
      </c>
      <c r="E336" s="270"/>
      <c r="F336" s="271"/>
      <c r="G336" s="270"/>
      <c r="H336" s="254"/>
      <c r="I336" s="254"/>
      <c r="J336" s="254"/>
      <c r="K336" s="254"/>
      <c r="L336" s="254"/>
      <c r="M336" s="269">
        <f>+SUM(M332:M335)</f>
        <v>162882602</v>
      </c>
      <c r="N336" s="269">
        <f t="shared" ref="N336:Q336" si="30">+SUM(N332:N335)</f>
        <v>1648383.5</v>
      </c>
      <c r="O336" s="269">
        <f t="shared" si="30"/>
        <v>6825605.5</v>
      </c>
      <c r="P336" s="269">
        <f t="shared" si="30"/>
        <v>154408613</v>
      </c>
      <c r="Q336" s="269">
        <f t="shared" si="30"/>
        <v>1506809</v>
      </c>
      <c r="R336" s="272"/>
      <c r="T336" s="40"/>
      <c r="U336" s="40"/>
      <c r="V336" s="40"/>
    </row>
    <row r="337" spans="1:18" ht="41.1" customHeight="1" thickBot="1">
      <c r="A337" s="451" t="s">
        <v>430</v>
      </c>
      <c r="B337" s="454">
        <f>+D377</f>
        <v>263189821</v>
      </c>
      <c r="C337" s="139"/>
      <c r="D337" s="114">
        <f>263189821-D338-D341-D345-D348-D352-D355-D356-D357-D358-D359-D362-D363-D365-D366-D367-D368-D369-D372-D375</f>
        <v>46323042.133333325</v>
      </c>
      <c r="E337" s="115"/>
      <c r="F337" s="140"/>
      <c r="G337" s="141"/>
      <c r="H337" s="118"/>
      <c r="I337" s="407"/>
      <c r="J337" s="127"/>
      <c r="K337" s="407"/>
      <c r="L337" s="118"/>
      <c r="M337" s="114"/>
      <c r="N337" s="114"/>
      <c r="O337" s="114"/>
      <c r="P337" s="114"/>
      <c r="Q337" s="114">
        <f>+D337-M337</f>
        <v>46323042.133333325</v>
      </c>
      <c r="R337" s="348"/>
    </row>
    <row r="338" spans="1:18" ht="57" customHeight="1">
      <c r="A338" s="452"/>
      <c r="B338" s="455"/>
      <c r="C338" s="568" t="s">
        <v>435</v>
      </c>
      <c r="D338" s="571">
        <v>16500000</v>
      </c>
      <c r="E338" s="573" t="s">
        <v>436</v>
      </c>
      <c r="F338" s="621">
        <v>52010203</v>
      </c>
      <c r="G338" s="93" t="s">
        <v>437</v>
      </c>
      <c r="H338" s="94">
        <v>1</v>
      </c>
      <c r="I338" s="386">
        <v>45597</v>
      </c>
      <c r="J338" s="94" t="s">
        <v>799</v>
      </c>
      <c r="K338" s="386">
        <v>45601</v>
      </c>
      <c r="L338" s="94" t="s">
        <v>70</v>
      </c>
      <c r="M338" s="75">
        <v>5133334</v>
      </c>
      <c r="N338" s="75">
        <v>49588</v>
      </c>
      <c r="O338" s="75">
        <v>150000</v>
      </c>
      <c r="P338" s="75">
        <f t="shared" ref="P338:P344" si="31">+M338-N338-O338</f>
        <v>4933746</v>
      </c>
      <c r="Q338" s="605">
        <f>+D338-M338-M339-M340</f>
        <v>4216666</v>
      </c>
      <c r="R338" s="180"/>
    </row>
    <row r="339" spans="1:18" ht="57" customHeight="1">
      <c r="A339" s="452"/>
      <c r="B339" s="455"/>
      <c r="C339" s="569"/>
      <c r="D339" s="491"/>
      <c r="E339" s="488"/>
      <c r="F339" s="622"/>
      <c r="G339" s="33" t="s">
        <v>439</v>
      </c>
      <c r="H339" s="37">
        <v>2</v>
      </c>
      <c r="I339" s="384">
        <v>45630</v>
      </c>
      <c r="J339" s="36" t="s">
        <v>440</v>
      </c>
      <c r="K339" s="384">
        <v>45632</v>
      </c>
      <c r="L339" s="37" t="s">
        <v>70</v>
      </c>
      <c r="M339" s="34">
        <f>11000000/2</f>
        <v>5500000</v>
      </c>
      <c r="N339" s="34">
        <f>106260/2</f>
        <v>53130</v>
      </c>
      <c r="O339" s="34">
        <f>383000/2</f>
        <v>191500</v>
      </c>
      <c r="P339" s="51">
        <f t="shared" si="31"/>
        <v>5255370</v>
      </c>
      <c r="Q339" s="603"/>
      <c r="R339" s="229"/>
    </row>
    <row r="340" spans="1:18" ht="57" customHeight="1" thickBot="1">
      <c r="A340" s="452"/>
      <c r="B340" s="455"/>
      <c r="C340" s="570"/>
      <c r="D340" s="572"/>
      <c r="E340" s="574"/>
      <c r="F340" s="623"/>
      <c r="G340" s="96" t="s">
        <v>441</v>
      </c>
      <c r="H340" s="98">
        <v>3</v>
      </c>
      <c r="I340" s="385">
        <v>45656</v>
      </c>
      <c r="J340" s="101" t="s">
        <v>442</v>
      </c>
      <c r="K340" s="385">
        <v>45657</v>
      </c>
      <c r="L340" s="98" t="s">
        <v>70</v>
      </c>
      <c r="M340" s="76">
        <f>3300000/2</f>
        <v>1650000</v>
      </c>
      <c r="N340" s="76">
        <v>15939</v>
      </c>
      <c r="O340" s="76"/>
      <c r="P340" s="76">
        <f t="shared" si="31"/>
        <v>1634061</v>
      </c>
      <c r="Q340" s="604"/>
      <c r="R340" s="179"/>
    </row>
    <row r="341" spans="1:18" ht="54" customHeight="1">
      <c r="A341" s="452"/>
      <c r="B341" s="455"/>
      <c r="C341" s="624" t="s">
        <v>443</v>
      </c>
      <c r="D341" s="571">
        <f>16500000+5133333</f>
        <v>21633333</v>
      </c>
      <c r="E341" s="573" t="s">
        <v>444</v>
      </c>
      <c r="F341" s="644">
        <v>52883642</v>
      </c>
      <c r="G341" s="84" t="s">
        <v>445</v>
      </c>
      <c r="H341" s="94">
        <v>1</v>
      </c>
      <c r="I341" s="386">
        <v>45597</v>
      </c>
      <c r="J341" s="94" t="s">
        <v>446</v>
      </c>
      <c r="K341" s="386">
        <v>45604</v>
      </c>
      <c r="L341" s="94" t="s">
        <v>70</v>
      </c>
      <c r="M341" s="75">
        <v>5133333</v>
      </c>
      <c r="N341" s="75">
        <v>49588</v>
      </c>
      <c r="O341" s="75">
        <v>150000</v>
      </c>
      <c r="P341" s="75">
        <f t="shared" si="31"/>
        <v>4933745</v>
      </c>
      <c r="Q341" s="605">
        <f>+D341-M341-M342-M343-M344</f>
        <v>0</v>
      </c>
      <c r="R341" s="180"/>
    </row>
    <row r="342" spans="1:18" ht="54" customHeight="1">
      <c r="A342" s="452"/>
      <c r="B342" s="455"/>
      <c r="C342" s="625"/>
      <c r="D342" s="491"/>
      <c r="E342" s="488"/>
      <c r="F342" s="645"/>
      <c r="G342" s="24" t="s">
        <v>447</v>
      </c>
      <c r="H342" s="37">
        <v>2</v>
      </c>
      <c r="I342" s="384">
        <v>45627</v>
      </c>
      <c r="J342" s="36" t="s">
        <v>448</v>
      </c>
      <c r="K342" s="384">
        <v>45632</v>
      </c>
      <c r="L342" s="37" t="s">
        <v>70</v>
      </c>
      <c r="M342" s="34">
        <f>11000000/2</f>
        <v>5500000</v>
      </c>
      <c r="N342" s="34">
        <f>106260/2</f>
        <v>53130</v>
      </c>
      <c r="O342" s="34">
        <f>383000/2</f>
        <v>191500</v>
      </c>
      <c r="P342" s="51">
        <f t="shared" si="31"/>
        <v>5255370</v>
      </c>
      <c r="Q342" s="603"/>
      <c r="R342" s="229"/>
    </row>
    <row r="343" spans="1:18" ht="54" customHeight="1">
      <c r="A343" s="452"/>
      <c r="B343" s="455"/>
      <c r="C343" s="625"/>
      <c r="D343" s="491"/>
      <c r="E343" s="488"/>
      <c r="F343" s="645"/>
      <c r="G343" s="24" t="s">
        <v>449</v>
      </c>
      <c r="H343" s="37">
        <v>3</v>
      </c>
      <c r="I343" s="384">
        <v>45665</v>
      </c>
      <c r="J343" s="36" t="s">
        <v>450</v>
      </c>
      <c r="K343" s="384">
        <v>45666</v>
      </c>
      <c r="L343" s="37" t="s">
        <v>70</v>
      </c>
      <c r="M343" s="34">
        <f>11000000/2</f>
        <v>5500000</v>
      </c>
      <c r="N343" s="34">
        <f>106260/2</f>
        <v>53130</v>
      </c>
      <c r="O343" s="34">
        <f>333000/2</f>
        <v>166500</v>
      </c>
      <c r="P343" s="34">
        <f t="shared" si="31"/>
        <v>5280370</v>
      </c>
      <c r="Q343" s="603"/>
      <c r="R343" s="230"/>
    </row>
    <row r="344" spans="1:18" ht="54" customHeight="1" thickBot="1">
      <c r="A344" s="452"/>
      <c r="B344" s="455"/>
      <c r="C344" s="626"/>
      <c r="D344" s="572"/>
      <c r="E344" s="574"/>
      <c r="F344" s="646"/>
      <c r="G344" s="85" t="s">
        <v>451</v>
      </c>
      <c r="H344" s="98">
        <v>4</v>
      </c>
      <c r="I344" s="385">
        <v>45694</v>
      </c>
      <c r="J344" s="101" t="s">
        <v>452</v>
      </c>
      <c r="K344" s="385">
        <v>45699</v>
      </c>
      <c r="L344" s="98" t="s">
        <v>70</v>
      </c>
      <c r="M344" s="76">
        <f>11000000/2</f>
        <v>5500000</v>
      </c>
      <c r="N344" s="76">
        <f>106260/2</f>
        <v>53130</v>
      </c>
      <c r="O344" s="76">
        <f>279000/2</f>
        <v>139500</v>
      </c>
      <c r="P344" s="76">
        <f t="shared" si="31"/>
        <v>5307370</v>
      </c>
      <c r="Q344" s="604"/>
      <c r="R344" s="179"/>
    </row>
    <row r="345" spans="1:18" ht="54" customHeight="1">
      <c r="A345" s="452"/>
      <c r="B345" s="455"/>
      <c r="C345" s="568" t="s">
        <v>453</v>
      </c>
      <c r="D345" s="571">
        <v>21250000</v>
      </c>
      <c r="E345" s="573" t="s">
        <v>800</v>
      </c>
      <c r="F345" s="618">
        <v>80145955</v>
      </c>
      <c r="G345" s="93" t="s">
        <v>801</v>
      </c>
      <c r="H345" s="94">
        <v>1</v>
      </c>
      <c r="I345" s="386">
        <v>45597</v>
      </c>
      <c r="J345" s="94" t="s">
        <v>802</v>
      </c>
      <c r="K345" s="386">
        <v>45597</v>
      </c>
      <c r="L345" s="94" t="s">
        <v>70</v>
      </c>
      <c r="M345" s="75">
        <v>4533333</v>
      </c>
      <c r="N345" s="75">
        <v>43792</v>
      </c>
      <c r="O345" s="75">
        <v>0</v>
      </c>
      <c r="P345" s="75">
        <f t="shared" ref="P345" si="32">+M345-O345</f>
        <v>4533333</v>
      </c>
      <c r="Q345" s="605">
        <f>+D345-M345-M346-M347</f>
        <v>0</v>
      </c>
      <c r="R345" s="180"/>
    </row>
    <row r="346" spans="1:18" ht="54" customHeight="1">
      <c r="A346" s="452"/>
      <c r="B346" s="455"/>
      <c r="C346" s="569"/>
      <c r="D346" s="491"/>
      <c r="E346" s="488"/>
      <c r="F346" s="619"/>
      <c r="G346" s="33" t="s">
        <v>803</v>
      </c>
      <c r="H346" s="37">
        <v>2</v>
      </c>
      <c r="I346" s="384">
        <v>45643</v>
      </c>
      <c r="J346" s="37" t="s">
        <v>804</v>
      </c>
      <c r="K346" s="384">
        <v>45632</v>
      </c>
      <c r="L346" s="37" t="s">
        <v>70</v>
      </c>
      <c r="M346" s="34">
        <v>8500000</v>
      </c>
      <c r="N346" s="34">
        <v>82110</v>
      </c>
      <c r="O346" s="34">
        <v>224000</v>
      </c>
      <c r="P346" s="34">
        <v>8193890</v>
      </c>
      <c r="Q346" s="603"/>
      <c r="R346" s="229"/>
    </row>
    <row r="347" spans="1:18" ht="54" customHeight="1" thickBot="1">
      <c r="A347" s="452"/>
      <c r="B347" s="455"/>
      <c r="C347" s="570"/>
      <c r="D347" s="572"/>
      <c r="E347" s="574"/>
      <c r="F347" s="620"/>
      <c r="G347" s="96" t="s">
        <v>805</v>
      </c>
      <c r="H347" s="98">
        <v>3</v>
      </c>
      <c r="I347" s="385">
        <v>45658</v>
      </c>
      <c r="J347" s="98" t="s">
        <v>806</v>
      </c>
      <c r="K347" s="385">
        <v>45660</v>
      </c>
      <c r="L347" s="98" t="s">
        <v>70</v>
      </c>
      <c r="M347" s="76">
        <v>8216667</v>
      </c>
      <c r="N347" s="76">
        <v>79373</v>
      </c>
      <c r="O347" s="76">
        <v>188000</v>
      </c>
      <c r="P347" s="76">
        <f>+M347-N347-O347</f>
        <v>7949294</v>
      </c>
      <c r="Q347" s="604"/>
      <c r="R347" s="179"/>
    </row>
    <row r="348" spans="1:18" ht="42" customHeight="1">
      <c r="A348" s="452"/>
      <c r="B348" s="455"/>
      <c r="C348" s="568" t="s">
        <v>463</v>
      </c>
      <c r="D348" s="571">
        <f>21250000+8500000</f>
        <v>29750000</v>
      </c>
      <c r="E348" s="573" t="s">
        <v>807</v>
      </c>
      <c r="F348" s="615">
        <v>1031140586</v>
      </c>
      <c r="G348" s="84" t="s">
        <v>808</v>
      </c>
      <c r="H348" s="94">
        <v>1</v>
      </c>
      <c r="I348" s="386">
        <v>45597</v>
      </c>
      <c r="J348" s="94" t="s">
        <v>809</v>
      </c>
      <c r="K348" s="386">
        <v>45597</v>
      </c>
      <c r="L348" s="94" t="s">
        <v>70</v>
      </c>
      <c r="M348" s="75">
        <v>4533333</v>
      </c>
      <c r="N348" s="75">
        <v>43792</v>
      </c>
      <c r="O348" s="75">
        <v>0</v>
      </c>
      <c r="P348" s="75">
        <v>4533333</v>
      </c>
      <c r="Q348" s="605">
        <f>+D348-M348-M349-M350-M351</f>
        <v>0</v>
      </c>
      <c r="R348" s="180" t="s">
        <v>515</v>
      </c>
    </row>
    <row r="349" spans="1:18" ht="42" customHeight="1">
      <c r="A349" s="452"/>
      <c r="B349" s="455"/>
      <c r="C349" s="569"/>
      <c r="D349" s="491"/>
      <c r="E349" s="488"/>
      <c r="F349" s="616"/>
      <c r="G349" s="24" t="s">
        <v>810</v>
      </c>
      <c r="H349" s="37">
        <v>2</v>
      </c>
      <c r="I349" s="384">
        <v>45628</v>
      </c>
      <c r="J349" s="36" t="s">
        <v>811</v>
      </c>
      <c r="K349" s="384">
        <v>45644</v>
      </c>
      <c r="L349" s="37" t="s">
        <v>70</v>
      </c>
      <c r="M349" s="34">
        <v>8500000</v>
      </c>
      <c r="N349" s="34">
        <v>82110</v>
      </c>
      <c r="O349" s="34">
        <v>224000</v>
      </c>
      <c r="P349" s="51">
        <v>8193890</v>
      </c>
      <c r="Q349" s="603"/>
      <c r="R349" s="229" t="s">
        <v>515</v>
      </c>
    </row>
    <row r="350" spans="1:18" ht="42" customHeight="1">
      <c r="A350" s="452"/>
      <c r="B350" s="455"/>
      <c r="C350" s="569"/>
      <c r="D350" s="491"/>
      <c r="E350" s="488"/>
      <c r="F350" s="616"/>
      <c r="G350" s="24" t="s">
        <v>812</v>
      </c>
      <c r="H350" s="37">
        <v>3</v>
      </c>
      <c r="I350" s="384">
        <v>45656</v>
      </c>
      <c r="J350" s="36" t="s">
        <v>813</v>
      </c>
      <c r="K350" s="384">
        <v>45660</v>
      </c>
      <c r="L350" s="37" t="s">
        <v>70</v>
      </c>
      <c r="M350" s="34">
        <v>8216667</v>
      </c>
      <c r="N350" s="34">
        <v>79373</v>
      </c>
      <c r="O350" s="34">
        <v>188000</v>
      </c>
      <c r="P350" s="34">
        <v>7949294</v>
      </c>
      <c r="Q350" s="603"/>
      <c r="R350" s="230"/>
    </row>
    <row r="351" spans="1:18" ht="42" customHeight="1" thickBot="1">
      <c r="A351" s="452"/>
      <c r="B351" s="455"/>
      <c r="C351" s="570"/>
      <c r="D351" s="572"/>
      <c r="E351" s="574"/>
      <c r="F351" s="617"/>
      <c r="G351" s="85" t="s">
        <v>814</v>
      </c>
      <c r="H351" s="98">
        <v>4</v>
      </c>
      <c r="I351" s="385">
        <v>45693</v>
      </c>
      <c r="J351" s="101" t="s">
        <v>815</v>
      </c>
      <c r="K351" s="385">
        <v>45695</v>
      </c>
      <c r="L351" s="98" t="s">
        <v>70</v>
      </c>
      <c r="M351" s="76">
        <v>8500000</v>
      </c>
      <c r="N351" s="76">
        <v>82110</v>
      </c>
      <c r="O351" s="76">
        <v>174000</v>
      </c>
      <c r="P351" s="76">
        <v>7949294</v>
      </c>
      <c r="Q351" s="604"/>
      <c r="R351" s="179" t="s">
        <v>515</v>
      </c>
    </row>
    <row r="352" spans="1:18" ht="41.1" customHeight="1">
      <c r="A352" s="452"/>
      <c r="B352" s="455"/>
      <c r="C352" s="568" t="s">
        <v>816</v>
      </c>
      <c r="D352" s="571">
        <v>16250000</v>
      </c>
      <c r="E352" s="573" t="s">
        <v>817</v>
      </c>
      <c r="F352" s="615">
        <v>1018461192</v>
      </c>
      <c r="G352" s="84" t="s">
        <v>818</v>
      </c>
      <c r="H352" s="94">
        <v>1</v>
      </c>
      <c r="I352" s="397">
        <v>45597</v>
      </c>
      <c r="J352" s="94" t="s">
        <v>819</v>
      </c>
      <c r="K352" s="397">
        <v>45602</v>
      </c>
      <c r="L352" s="122" t="s">
        <v>70</v>
      </c>
      <c r="M352" s="75">
        <v>3250000</v>
      </c>
      <c r="N352" s="75">
        <v>0</v>
      </c>
      <c r="O352" s="75">
        <v>0</v>
      </c>
      <c r="P352" s="75">
        <f t="shared" ref="P352" si="33">+M352-O352</f>
        <v>3250000</v>
      </c>
      <c r="Q352" s="605">
        <f>+D352-M352-M353-M354</f>
        <v>0</v>
      </c>
      <c r="R352" s="180"/>
    </row>
    <row r="353" spans="1:18" ht="41.1" customHeight="1">
      <c r="A353" s="452"/>
      <c r="B353" s="455"/>
      <c r="C353" s="569"/>
      <c r="D353" s="491"/>
      <c r="E353" s="488"/>
      <c r="F353" s="616"/>
      <c r="G353" s="24" t="s">
        <v>820</v>
      </c>
      <c r="H353" s="37">
        <v>2</v>
      </c>
      <c r="I353" s="392">
        <v>45627</v>
      </c>
      <c r="J353" s="37" t="s">
        <v>821</v>
      </c>
      <c r="K353" s="392">
        <v>45630</v>
      </c>
      <c r="L353" s="37" t="s">
        <v>70</v>
      </c>
      <c r="M353" s="34">
        <v>6500000</v>
      </c>
      <c r="N353" s="34">
        <v>0</v>
      </c>
      <c r="O353" s="34">
        <v>0</v>
      </c>
      <c r="P353" s="34">
        <f>+M353-N353-O353</f>
        <v>6500000</v>
      </c>
      <c r="Q353" s="603"/>
      <c r="R353" s="229"/>
    </row>
    <row r="354" spans="1:18" ht="41.1" customHeight="1" thickBot="1">
      <c r="A354" s="452"/>
      <c r="B354" s="455"/>
      <c r="C354" s="570"/>
      <c r="D354" s="572"/>
      <c r="E354" s="574"/>
      <c r="F354" s="617"/>
      <c r="G354" s="85" t="s">
        <v>822</v>
      </c>
      <c r="H354" s="98">
        <v>3</v>
      </c>
      <c r="I354" s="393">
        <v>45657</v>
      </c>
      <c r="J354" s="98" t="s">
        <v>823</v>
      </c>
      <c r="K354" s="393">
        <v>45657</v>
      </c>
      <c r="L354" s="98" t="s">
        <v>70</v>
      </c>
      <c r="M354" s="76">
        <v>6500000</v>
      </c>
      <c r="N354" s="76">
        <v>0</v>
      </c>
      <c r="O354" s="76">
        <v>0</v>
      </c>
      <c r="P354" s="76">
        <f>+M354-N354-O354</f>
        <v>6500000</v>
      </c>
      <c r="Q354" s="604"/>
      <c r="R354" s="179"/>
    </row>
    <row r="355" spans="1:18" ht="41.1" customHeight="1" thickBot="1">
      <c r="A355" s="452"/>
      <c r="B355" s="455"/>
      <c r="C355" s="139" t="s">
        <v>431</v>
      </c>
      <c r="D355" s="114">
        <v>3800000</v>
      </c>
      <c r="E355" s="115" t="s">
        <v>432</v>
      </c>
      <c r="F355" s="116" t="s">
        <v>824</v>
      </c>
      <c r="G355" s="117" t="s">
        <v>433</v>
      </c>
      <c r="H355" s="118">
        <v>1</v>
      </c>
      <c r="I355" s="407">
        <v>45657</v>
      </c>
      <c r="J355" s="119" t="s">
        <v>434</v>
      </c>
      <c r="K355" s="407">
        <v>45660</v>
      </c>
      <c r="L355" s="118" t="s">
        <v>70</v>
      </c>
      <c r="M355" s="114">
        <f>7600000/2</f>
        <v>3800000</v>
      </c>
      <c r="N355" s="114">
        <f>110000/2</f>
        <v>55000</v>
      </c>
      <c r="O355" s="114"/>
      <c r="P355" s="114">
        <f>+M355-N355-O355</f>
        <v>3745000</v>
      </c>
      <c r="Q355" s="114">
        <f t="shared" ref="Q355:Q366" si="34">+D355-M355</f>
        <v>0</v>
      </c>
      <c r="R355" s="348"/>
    </row>
    <row r="356" spans="1:18" ht="41.1" customHeight="1" thickBot="1">
      <c r="A356" s="452"/>
      <c r="B356" s="455"/>
      <c r="C356" s="139" t="s">
        <v>496</v>
      </c>
      <c r="D356" s="114">
        <v>4648342.8666666672</v>
      </c>
      <c r="E356" s="139" t="s">
        <v>825</v>
      </c>
      <c r="F356" s="116" t="s">
        <v>826</v>
      </c>
      <c r="G356" s="113" t="s">
        <v>827</v>
      </c>
      <c r="H356" s="128">
        <v>1</v>
      </c>
      <c r="I356" s="407">
        <v>45657</v>
      </c>
      <c r="J356" s="119" t="s">
        <v>828</v>
      </c>
      <c r="K356" s="407">
        <v>45660</v>
      </c>
      <c r="L356" s="118" t="s">
        <v>70</v>
      </c>
      <c r="M356" s="114">
        <v>4648343</v>
      </c>
      <c r="N356" s="114">
        <v>44903</v>
      </c>
      <c r="O356" s="114"/>
      <c r="P356" s="114">
        <f>+M356-N356-O356</f>
        <v>4603440</v>
      </c>
      <c r="Q356" s="114">
        <f t="shared" si="34"/>
        <v>-0.13333333283662796</v>
      </c>
      <c r="R356" s="348"/>
    </row>
    <row r="357" spans="1:18" ht="59.1" customHeight="1" thickBot="1">
      <c r="A357" s="452"/>
      <c r="B357" s="455"/>
      <c r="C357" s="139" t="s">
        <v>511</v>
      </c>
      <c r="D357" s="114">
        <v>6500000</v>
      </c>
      <c r="E357" s="115" t="s">
        <v>829</v>
      </c>
      <c r="F357" s="140" t="s">
        <v>830</v>
      </c>
      <c r="G357" s="141" t="s">
        <v>831</v>
      </c>
      <c r="H357" s="118">
        <v>1</v>
      </c>
      <c r="I357" s="407">
        <v>45657</v>
      </c>
      <c r="J357" s="127" t="s">
        <v>832</v>
      </c>
      <c r="K357" s="407">
        <v>45665</v>
      </c>
      <c r="L357" s="118" t="s">
        <v>70</v>
      </c>
      <c r="M357" s="114">
        <v>6500000</v>
      </c>
      <c r="N357" s="114">
        <v>62790</v>
      </c>
      <c r="O357" s="114"/>
      <c r="P357" s="114">
        <f>+M357-N357-O357</f>
        <v>6437210</v>
      </c>
      <c r="Q357" s="114">
        <f t="shared" si="34"/>
        <v>0</v>
      </c>
      <c r="R357" s="348"/>
    </row>
    <row r="358" spans="1:18" ht="48" customHeight="1" thickBot="1">
      <c r="A358" s="452"/>
      <c r="B358" s="455"/>
      <c r="C358" s="139" t="s">
        <v>496</v>
      </c>
      <c r="D358" s="114">
        <v>4648342</v>
      </c>
      <c r="E358" s="115" t="s">
        <v>833</v>
      </c>
      <c r="F358" s="140" t="s">
        <v>834</v>
      </c>
      <c r="G358" s="141" t="s">
        <v>835</v>
      </c>
      <c r="H358" s="118">
        <v>1</v>
      </c>
      <c r="I358" s="407">
        <v>45994</v>
      </c>
      <c r="J358" s="127" t="s">
        <v>836</v>
      </c>
      <c r="K358" s="407">
        <v>45666</v>
      </c>
      <c r="L358" s="118" t="s">
        <v>70</v>
      </c>
      <c r="M358" s="114">
        <v>4648343</v>
      </c>
      <c r="N358" s="114">
        <v>44903</v>
      </c>
      <c r="O358" s="114"/>
      <c r="P358" s="114">
        <f>+M358-N358</f>
        <v>4603440</v>
      </c>
      <c r="Q358" s="114">
        <f t="shared" si="34"/>
        <v>-1</v>
      </c>
      <c r="R358" s="343"/>
    </row>
    <row r="359" spans="1:18" ht="48" customHeight="1">
      <c r="A359" s="452"/>
      <c r="B359" s="455"/>
      <c r="C359" s="627" t="s">
        <v>500</v>
      </c>
      <c r="D359" s="571">
        <f>+M359+M360+M361</f>
        <v>11257718</v>
      </c>
      <c r="E359" s="573" t="s">
        <v>501</v>
      </c>
      <c r="F359" s="575" t="s">
        <v>837</v>
      </c>
      <c r="G359" s="93" t="s">
        <v>502</v>
      </c>
      <c r="H359" s="94">
        <v>1</v>
      </c>
      <c r="I359" s="402">
        <v>45664</v>
      </c>
      <c r="J359" s="223" t="s">
        <v>503</v>
      </c>
      <c r="K359" s="402">
        <v>45666</v>
      </c>
      <c r="L359" s="94" t="s">
        <v>70</v>
      </c>
      <c r="M359" s="75">
        <f>8143881/2</f>
        <v>4071940.5</v>
      </c>
      <c r="N359" s="75">
        <f>78670/2</f>
        <v>39335</v>
      </c>
      <c r="O359" s="75">
        <f>129000/2</f>
        <v>64500</v>
      </c>
      <c r="P359" s="75">
        <f t="shared" ref="P359" si="35">+M359-N359-O359</f>
        <v>3968105.5</v>
      </c>
      <c r="Q359" s="571">
        <f>+D359-M359-M361-M360</f>
        <v>0</v>
      </c>
      <c r="R359" s="342"/>
    </row>
    <row r="360" spans="1:18" ht="48" customHeight="1">
      <c r="A360" s="452"/>
      <c r="B360" s="455"/>
      <c r="C360" s="629"/>
      <c r="D360" s="491"/>
      <c r="E360" s="488"/>
      <c r="F360" s="576"/>
      <c r="G360" s="33" t="s">
        <v>504</v>
      </c>
      <c r="H360" s="37">
        <v>2</v>
      </c>
      <c r="I360" s="392">
        <v>45698</v>
      </c>
      <c r="J360" s="36" t="s">
        <v>505</v>
      </c>
      <c r="K360" s="392">
        <v>45699</v>
      </c>
      <c r="L360" s="37" t="s">
        <v>70</v>
      </c>
      <c r="M360" s="34">
        <f>7185777/2</f>
        <v>3592888.5</v>
      </c>
      <c r="N360" s="34">
        <f>69415/2</f>
        <v>34707.5</v>
      </c>
      <c r="O360" s="34">
        <v>4000</v>
      </c>
      <c r="P360" s="34">
        <f>+M360-N360-O360</f>
        <v>3554181</v>
      </c>
      <c r="Q360" s="491"/>
      <c r="R360" s="340"/>
    </row>
    <row r="361" spans="1:18" ht="48" customHeight="1" thickBot="1">
      <c r="A361" s="452"/>
      <c r="B361" s="455"/>
      <c r="C361" s="628"/>
      <c r="D361" s="572"/>
      <c r="E361" s="574"/>
      <c r="F361" s="577"/>
      <c r="G361" s="96" t="s">
        <v>506</v>
      </c>
      <c r="H361" s="98">
        <v>3</v>
      </c>
      <c r="I361" s="393">
        <v>45719</v>
      </c>
      <c r="J361" s="101" t="s">
        <v>507</v>
      </c>
      <c r="K361" s="393">
        <v>45720</v>
      </c>
      <c r="L361" s="98" t="s">
        <v>70</v>
      </c>
      <c r="M361" s="76">
        <v>3592889</v>
      </c>
      <c r="N361" s="76">
        <f>69415/2</f>
        <v>34707.5</v>
      </c>
      <c r="O361" s="76">
        <v>4000</v>
      </c>
      <c r="P361" s="76">
        <f>+M361-N361-O361</f>
        <v>3554181.5</v>
      </c>
      <c r="Q361" s="572"/>
      <c r="R361" s="341"/>
    </row>
    <row r="362" spans="1:18" ht="59.1" customHeight="1" thickBot="1">
      <c r="A362" s="452"/>
      <c r="B362" s="455"/>
      <c r="C362" s="155" t="s">
        <v>511</v>
      </c>
      <c r="D362" s="124">
        <v>6500000</v>
      </c>
      <c r="E362" s="125" t="s">
        <v>838</v>
      </c>
      <c r="F362" s="126" t="s">
        <v>839</v>
      </c>
      <c r="G362" s="115" t="s">
        <v>840</v>
      </c>
      <c r="H362" s="118">
        <v>1</v>
      </c>
      <c r="I362" s="407">
        <v>45664</v>
      </c>
      <c r="J362" s="127" t="s">
        <v>841</v>
      </c>
      <c r="K362" s="407">
        <v>45667</v>
      </c>
      <c r="L362" s="118" t="s">
        <v>70</v>
      </c>
      <c r="M362" s="114">
        <v>6500000</v>
      </c>
      <c r="N362" s="114">
        <v>62790</v>
      </c>
      <c r="O362" s="114"/>
      <c r="P362" s="114">
        <f>+M362-N362-O362</f>
        <v>6437210</v>
      </c>
      <c r="Q362" s="114">
        <f t="shared" si="34"/>
        <v>0</v>
      </c>
      <c r="R362" s="343"/>
    </row>
    <row r="363" spans="1:18" ht="59.1" customHeight="1">
      <c r="A363" s="452"/>
      <c r="B363" s="455"/>
      <c r="C363" s="627" t="s">
        <v>842</v>
      </c>
      <c r="D363" s="571">
        <v>13000000</v>
      </c>
      <c r="E363" s="573" t="s">
        <v>843</v>
      </c>
      <c r="F363" s="575" t="s">
        <v>844</v>
      </c>
      <c r="G363" s="84" t="s">
        <v>845</v>
      </c>
      <c r="H363" s="94">
        <v>1</v>
      </c>
      <c r="I363" s="397">
        <v>45664</v>
      </c>
      <c r="J363" s="94" t="s">
        <v>846</v>
      </c>
      <c r="K363" s="397">
        <v>45667</v>
      </c>
      <c r="L363" s="122" t="s">
        <v>70</v>
      </c>
      <c r="M363" s="75">
        <v>6500000</v>
      </c>
      <c r="N363" s="75">
        <v>56290</v>
      </c>
      <c r="O363" s="75"/>
      <c r="P363" s="75">
        <f>+M363-N363</f>
        <v>6443710</v>
      </c>
      <c r="Q363" s="571">
        <f>+D363-M363-M364</f>
        <v>0</v>
      </c>
      <c r="R363" s="180"/>
    </row>
    <row r="364" spans="1:18" ht="59.1" customHeight="1" thickBot="1">
      <c r="A364" s="452"/>
      <c r="B364" s="455"/>
      <c r="C364" s="628"/>
      <c r="D364" s="572"/>
      <c r="E364" s="574"/>
      <c r="F364" s="577"/>
      <c r="G364" s="24" t="s">
        <v>845</v>
      </c>
      <c r="H364" s="37">
        <v>2</v>
      </c>
      <c r="I364" s="392">
        <v>45692</v>
      </c>
      <c r="J364" s="37" t="s">
        <v>847</v>
      </c>
      <c r="K364" s="392">
        <v>45694</v>
      </c>
      <c r="L364" s="37" t="s">
        <v>70</v>
      </c>
      <c r="M364" s="34">
        <v>6500000</v>
      </c>
      <c r="N364" s="34">
        <v>56290</v>
      </c>
      <c r="O364" s="34"/>
      <c r="P364" s="34">
        <f>+M364-N364</f>
        <v>6443710</v>
      </c>
      <c r="Q364" s="572"/>
      <c r="R364" s="229"/>
    </row>
    <row r="365" spans="1:18" ht="59.1" customHeight="1" thickBot="1">
      <c r="A365" s="452"/>
      <c r="B365" s="455"/>
      <c r="C365" s="155" t="s">
        <v>848</v>
      </c>
      <c r="D365" s="124">
        <v>6500000</v>
      </c>
      <c r="E365" s="125" t="s">
        <v>849</v>
      </c>
      <c r="F365" s="126">
        <v>1023940951</v>
      </c>
      <c r="G365" s="115" t="s">
        <v>850</v>
      </c>
      <c r="H365" s="118">
        <v>1</v>
      </c>
      <c r="I365" s="407">
        <v>45664</v>
      </c>
      <c r="J365" s="127" t="s">
        <v>851</v>
      </c>
      <c r="K365" s="407">
        <v>45670</v>
      </c>
      <c r="L365" s="118" t="s">
        <v>70</v>
      </c>
      <c r="M365" s="114">
        <v>6500000</v>
      </c>
      <c r="N365" s="114">
        <v>62790</v>
      </c>
      <c r="O365" s="114"/>
      <c r="P365" s="114">
        <f>+M365-O365</f>
        <v>6500000</v>
      </c>
      <c r="Q365" s="114">
        <f t="shared" si="34"/>
        <v>0</v>
      </c>
      <c r="R365" s="343"/>
    </row>
    <row r="366" spans="1:18" ht="59.1" customHeight="1" thickBot="1">
      <c r="A366" s="452"/>
      <c r="B366" s="455"/>
      <c r="C366" s="155" t="s">
        <v>496</v>
      </c>
      <c r="D366" s="124">
        <v>4648343</v>
      </c>
      <c r="E366" s="125" t="s">
        <v>852</v>
      </c>
      <c r="F366" s="126">
        <v>1073705529</v>
      </c>
      <c r="G366" s="115" t="s">
        <v>853</v>
      </c>
      <c r="H366" s="118">
        <v>1</v>
      </c>
      <c r="I366" s="407">
        <v>45664</v>
      </c>
      <c r="J366" s="127" t="s">
        <v>854</v>
      </c>
      <c r="K366" s="407">
        <v>45670</v>
      </c>
      <c r="L366" s="118" t="s">
        <v>70</v>
      </c>
      <c r="M366" s="114">
        <v>4648343</v>
      </c>
      <c r="N366" s="114">
        <v>44903</v>
      </c>
      <c r="O366" s="114"/>
      <c r="P366" s="114">
        <f>+M366-N366</f>
        <v>4603440</v>
      </c>
      <c r="Q366" s="114">
        <f t="shared" si="34"/>
        <v>0</v>
      </c>
      <c r="R366" s="343"/>
    </row>
    <row r="367" spans="1:18" s="32" customFormat="1" ht="59.1" customHeight="1" thickBot="1">
      <c r="A367" s="452"/>
      <c r="B367" s="455"/>
      <c r="C367" s="155" t="s">
        <v>855</v>
      </c>
      <c r="D367" s="124">
        <v>1980700</v>
      </c>
      <c r="E367" s="72" t="s">
        <v>254</v>
      </c>
      <c r="F367" s="59">
        <v>860066942</v>
      </c>
      <c r="G367" s="72" t="s">
        <v>256</v>
      </c>
      <c r="H367" s="49"/>
      <c r="I367" s="407"/>
      <c r="J367" s="127" t="s">
        <v>259</v>
      </c>
      <c r="K367" s="407">
        <v>45635</v>
      </c>
      <c r="L367" s="27" t="s">
        <v>70</v>
      </c>
      <c r="M367" s="114">
        <v>1980700</v>
      </c>
      <c r="N367" s="114"/>
      <c r="O367" s="114"/>
      <c r="P367" s="114">
        <f>+M367</f>
        <v>1980700</v>
      </c>
      <c r="Q367" s="114">
        <v>0</v>
      </c>
      <c r="R367" s="349"/>
    </row>
    <row r="368" spans="1:18" ht="59.1" customHeight="1" thickBot="1">
      <c r="A368" s="452"/>
      <c r="B368" s="455"/>
      <c r="C368" s="161" t="s">
        <v>842</v>
      </c>
      <c r="D368" s="145">
        <v>6500000</v>
      </c>
      <c r="E368" s="149" t="s">
        <v>856</v>
      </c>
      <c r="F368" s="144">
        <v>80182675</v>
      </c>
      <c r="G368" s="121" t="s">
        <v>857</v>
      </c>
      <c r="H368" s="122">
        <v>1</v>
      </c>
      <c r="I368" s="408">
        <v>45672</v>
      </c>
      <c r="J368" s="162" t="s">
        <v>858</v>
      </c>
      <c r="K368" s="408">
        <v>45677</v>
      </c>
      <c r="L368" s="122" t="s">
        <v>70</v>
      </c>
      <c r="M368" s="120">
        <v>6500000</v>
      </c>
      <c r="N368" s="120">
        <v>62790</v>
      </c>
      <c r="O368" s="120"/>
      <c r="P368" s="120">
        <f>+M368-N368</f>
        <v>6437210</v>
      </c>
      <c r="Q368" s="120">
        <f>+D368-M368</f>
        <v>0</v>
      </c>
      <c r="R368" s="344"/>
    </row>
    <row r="369" spans="1:22" ht="59.1" customHeight="1">
      <c r="A369" s="452"/>
      <c r="B369" s="455"/>
      <c r="C369" s="627" t="s">
        <v>522</v>
      </c>
      <c r="D369" s="571">
        <v>22500000</v>
      </c>
      <c r="E369" s="573" t="s">
        <v>523</v>
      </c>
      <c r="F369" s="575">
        <v>52644626</v>
      </c>
      <c r="G369" s="84" t="s">
        <v>524</v>
      </c>
      <c r="H369" s="94" t="s">
        <v>525</v>
      </c>
      <c r="I369" s="397">
        <v>45690</v>
      </c>
      <c r="J369" s="94" t="s">
        <v>526</v>
      </c>
      <c r="K369" s="397">
        <v>45692</v>
      </c>
      <c r="L369" s="122" t="s">
        <v>70</v>
      </c>
      <c r="M369" s="75">
        <v>7500000</v>
      </c>
      <c r="N369" s="75">
        <v>60882.5</v>
      </c>
      <c r="O369" s="75">
        <v>256500</v>
      </c>
      <c r="P369" s="75">
        <f>+M369-N369-O369</f>
        <v>7182617.5</v>
      </c>
      <c r="Q369" s="571">
        <f>+D369-M369-M371-M370</f>
        <v>0</v>
      </c>
      <c r="R369" s="180"/>
    </row>
    <row r="370" spans="1:22" ht="59.1" customHeight="1">
      <c r="A370" s="452"/>
      <c r="B370" s="455"/>
      <c r="C370" s="629"/>
      <c r="D370" s="491"/>
      <c r="E370" s="488"/>
      <c r="F370" s="576"/>
      <c r="G370" s="24" t="s">
        <v>527</v>
      </c>
      <c r="H370" s="37" t="s">
        <v>528</v>
      </c>
      <c r="I370" s="392">
        <v>45718</v>
      </c>
      <c r="J370" s="37" t="s">
        <v>529</v>
      </c>
      <c r="K370" s="392">
        <v>45720</v>
      </c>
      <c r="L370" s="37" t="s">
        <v>70</v>
      </c>
      <c r="M370" s="34">
        <v>7500000</v>
      </c>
      <c r="N370" s="34">
        <f>109160/2</f>
        <v>54580</v>
      </c>
      <c r="O370" s="34">
        <f>513000/2</f>
        <v>256500</v>
      </c>
      <c r="P370" s="34">
        <f>+M370-N370-O370</f>
        <v>7188920</v>
      </c>
      <c r="Q370" s="491"/>
      <c r="R370" s="183"/>
    </row>
    <row r="371" spans="1:22" ht="59.1" customHeight="1" thickBot="1">
      <c r="A371" s="452"/>
      <c r="B371" s="455"/>
      <c r="C371" s="628"/>
      <c r="D371" s="572"/>
      <c r="E371" s="574"/>
      <c r="F371" s="577"/>
      <c r="G371" s="24" t="s">
        <v>530</v>
      </c>
      <c r="H371" s="37" t="s">
        <v>859</v>
      </c>
      <c r="I371" s="392">
        <v>45744</v>
      </c>
      <c r="J371" s="37" t="s">
        <v>860</v>
      </c>
      <c r="K371" s="392">
        <v>45744</v>
      </c>
      <c r="L371" s="37" t="s">
        <v>70</v>
      </c>
      <c r="M371" s="34">
        <v>7500000</v>
      </c>
      <c r="N371" s="34">
        <f>109160/2</f>
        <v>54580</v>
      </c>
      <c r="O371" s="34">
        <f>513000/2</f>
        <v>256500</v>
      </c>
      <c r="P371" s="34">
        <f>+M371-N371-O371</f>
        <v>7188920</v>
      </c>
      <c r="Q371" s="572"/>
      <c r="R371" s="229"/>
    </row>
    <row r="372" spans="1:22" ht="59.1" customHeight="1">
      <c r="A372" s="452"/>
      <c r="B372" s="455"/>
      <c r="C372" s="627" t="s">
        <v>500</v>
      </c>
      <c r="D372" s="571">
        <f>8000000+4000000</f>
        <v>12000000</v>
      </c>
      <c r="E372" s="573" t="s">
        <v>531</v>
      </c>
      <c r="F372" s="575">
        <v>1013644198</v>
      </c>
      <c r="G372" s="84" t="s">
        <v>532</v>
      </c>
      <c r="H372" s="94">
        <v>1</v>
      </c>
      <c r="I372" s="397">
        <v>45699</v>
      </c>
      <c r="J372" s="94" t="s">
        <v>533</v>
      </c>
      <c r="K372" s="397">
        <v>45702</v>
      </c>
      <c r="L372" s="122" t="s">
        <v>70</v>
      </c>
      <c r="M372" s="75">
        <f>8000000/2</f>
        <v>4000000</v>
      </c>
      <c r="N372" s="75">
        <f>77280/2</f>
        <v>38640</v>
      </c>
      <c r="O372" s="75"/>
      <c r="P372" s="75">
        <f>+M372-N372-O372</f>
        <v>3961360</v>
      </c>
      <c r="Q372" s="571">
        <f>+D372-M372-M374-M373</f>
        <v>0</v>
      </c>
      <c r="R372" s="180"/>
    </row>
    <row r="373" spans="1:22" ht="59.1" customHeight="1">
      <c r="A373" s="452"/>
      <c r="B373" s="455"/>
      <c r="C373" s="629"/>
      <c r="D373" s="491"/>
      <c r="E373" s="488"/>
      <c r="F373" s="576"/>
      <c r="G373" s="24" t="s">
        <v>534</v>
      </c>
      <c r="H373" s="37">
        <v>2</v>
      </c>
      <c r="I373" s="392">
        <v>45719</v>
      </c>
      <c r="J373" s="37" t="s">
        <v>535</v>
      </c>
      <c r="K373" s="392">
        <v>45720</v>
      </c>
      <c r="L373" s="37" t="s">
        <v>70</v>
      </c>
      <c r="M373" s="34">
        <f>8000000/2</f>
        <v>4000000</v>
      </c>
      <c r="N373" s="34">
        <f>77280/2</f>
        <v>38640</v>
      </c>
      <c r="O373" s="34"/>
      <c r="P373" s="34">
        <f>+M373-N373-O373</f>
        <v>3961360</v>
      </c>
      <c r="Q373" s="491"/>
      <c r="R373" s="183"/>
    </row>
    <row r="374" spans="1:22" ht="59.1" customHeight="1" thickBot="1">
      <c r="A374" s="452"/>
      <c r="B374" s="455"/>
      <c r="C374" s="628"/>
      <c r="D374" s="572"/>
      <c r="E374" s="574"/>
      <c r="F374" s="577"/>
      <c r="G374" s="24" t="s">
        <v>536</v>
      </c>
      <c r="H374" s="37">
        <v>3</v>
      </c>
      <c r="I374" s="392">
        <v>45744</v>
      </c>
      <c r="J374" s="37" t="s">
        <v>861</v>
      </c>
      <c r="K374" s="392">
        <v>45744</v>
      </c>
      <c r="L374" s="37" t="s">
        <v>70</v>
      </c>
      <c r="M374" s="34">
        <f>8000000/2</f>
        <v>4000000</v>
      </c>
      <c r="N374" s="34">
        <f>77280/2</f>
        <v>38640</v>
      </c>
      <c r="O374" s="34"/>
      <c r="P374" s="34">
        <f>+M374-N374-O374</f>
        <v>3961360</v>
      </c>
      <c r="Q374" s="572"/>
      <c r="R374" s="229"/>
    </row>
    <row r="375" spans="1:22" ht="41.1" customHeight="1">
      <c r="A375" s="452"/>
      <c r="B375" s="455"/>
      <c r="C375" s="612" t="s">
        <v>481</v>
      </c>
      <c r="D375" s="606">
        <v>7000000</v>
      </c>
      <c r="E375" s="614" t="s">
        <v>482</v>
      </c>
      <c r="F375" s="483">
        <v>80767738</v>
      </c>
      <c r="G375" s="163" t="s">
        <v>483</v>
      </c>
      <c r="H375" s="156">
        <v>1</v>
      </c>
      <c r="I375" s="421">
        <v>45676</v>
      </c>
      <c r="J375" s="157" t="s">
        <v>484</v>
      </c>
      <c r="K375" s="421">
        <v>45677</v>
      </c>
      <c r="L375" s="156" t="s">
        <v>70</v>
      </c>
      <c r="M375" s="164">
        <f>7000000/2</f>
        <v>3500000</v>
      </c>
      <c r="N375" s="164">
        <f>53620/2</f>
        <v>26810</v>
      </c>
      <c r="O375" s="164"/>
      <c r="P375" s="164">
        <f>+M375-N375</f>
        <v>3473190</v>
      </c>
      <c r="Q375" s="606">
        <f>+D375-M375-M376</f>
        <v>0</v>
      </c>
      <c r="R375" s="165"/>
    </row>
    <row r="376" spans="1:22" ht="41.1" customHeight="1" thickBot="1">
      <c r="A376" s="453"/>
      <c r="B376" s="456"/>
      <c r="C376" s="613"/>
      <c r="D376" s="470"/>
      <c r="E376" s="516"/>
      <c r="F376" s="545"/>
      <c r="G376" s="58" t="s">
        <v>485</v>
      </c>
      <c r="H376" s="49">
        <v>2</v>
      </c>
      <c r="I376" s="387">
        <v>45676</v>
      </c>
      <c r="J376" s="47" t="s">
        <v>486</v>
      </c>
      <c r="K376" s="387">
        <v>45677</v>
      </c>
      <c r="L376" s="49" t="s">
        <v>70</v>
      </c>
      <c r="M376" s="69">
        <f>7000000/2</f>
        <v>3500000</v>
      </c>
      <c r="N376" s="69">
        <f>53620/2</f>
        <v>26810</v>
      </c>
      <c r="O376" s="69"/>
      <c r="P376" s="69">
        <f>+M376-N376</f>
        <v>3473190</v>
      </c>
      <c r="Q376" s="470"/>
      <c r="R376" s="230"/>
    </row>
    <row r="377" spans="1:22" ht="27" customHeight="1">
      <c r="A377" s="564" t="s">
        <v>537</v>
      </c>
      <c r="B377" s="565"/>
      <c r="C377" s="566"/>
      <c r="D377" s="275">
        <f>+SUM(D337:D376)</f>
        <v>263189821</v>
      </c>
      <c r="E377" s="301"/>
      <c r="F377" s="302"/>
      <c r="G377" s="301"/>
      <c r="H377" s="276"/>
      <c r="I377" s="276"/>
      <c r="J377" s="302"/>
      <c r="K377" s="276"/>
      <c r="L377" s="276"/>
      <c r="M377" s="275">
        <f>+SUM(M337:M376)</f>
        <v>212650114</v>
      </c>
      <c r="N377" s="275">
        <f t="shared" ref="N377:Q377" si="36">+SUM(N337:N376)</f>
        <v>1822076.5</v>
      </c>
      <c r="O377" s="275">
        <f t="shared" si="36"/>
        <v>2829000</v>
      </c>
      <c r="P377" s="275">
        <f t="shared" si="36"/>
        <v>207854815.5</v>
      </c>
      <c r="Q377" s="275">
        <f t="shared" si="36"/>
        <v>50539706.999999993</v>
      </c>
      <c r="R377" s="303"/>
    </row>
    <row r="378" spans="1:22" ht="27" customHeight="1">
      <c r="A378" s="546" t="s">
        <v>862</v>
      </c>
      <c r="B378" s="547"/>
      <c r="C378" s="548"/>
      <c r="D378" s="28">
        <f>+D221</f>
        <v>1715883335</v>
      </c>
      <c r="E378" s="30"/>
      <c r="F378" s="31"/>
      <c r="G378" s="30"/>
      <c r="H378" s="66"/>
      <c r="I378" s="66"/>
      <c r="J378" s="31"/>
      <c r="K378" s="66"/>
      <c r="L378" s="66"/>
      <c r="M378" s="28">
        <f>+M221</f>
        <v>1712556304.7659609</v>
      </c>
      <c r="N378" s="28">
        <f>+N221</f>
        <v>13523682.783414949</v>
      </c>
      <c r="O378" s="28">
        <f>+O221</f>
        <v>55649409.770916469</v>
      </c>
      <c r="P378" s="28">
        <f>+P221</f>
        <v>1643383212.2116296</v>
      </c>
      <c r="Q378" s="28">
        <f>+Q221</f>
        <v>3327030.2340390235</v>
      </c>
      <c r="R378" s="304"/>
    </row>
    <row r="379" spans="1:22" ht="30" customHeight="1">
      <c r="A379" s="546" t="s">
        <v>863</v>
      </c>
      <c r="B379" s="547"/>
      <c r="C379" s="548"/>
      <c r="D379" s="28">
        <f>+D290+D305+D331+D336+D377</f>
        <v>2667060011.9709964</v>
      </c>
      <c r="E379" s="30"/>
      <c r="F379" s="31"/>
      <c r="G379" s="30"/>
      <c r="H379" s="66"/>
      <c r="I379" s="66"/>
      <c r="J379" s="73"/>
      <c r="K379" s="67"/>
      <c r="L379" s="66"/>
      <c r="M379" s="28">
        <f>+M290+M305+M331+M336+M377</f>
        <v>2465989126.7280455</v>
      </c>
      <c r="N379" s="28">
        <f>+N290+N305+N331+N336+N377</f>
        <v>38891913.759954363</v>
      </c>
      <c r="O379" s="28">
        <f>+O290+O305+O331+O336+O377</f>
        <v>67508478.085773379</v>
      </c>
      <c r="P379" s="28">
        <f>+P290+P305+P331+P336+P377</f>
        <v>2356949609.5376325</v>
      </c>
      <c r="Q379" s="28">
        <f>+Q290+Q305+Q331+Q336+Q377</f>
        <v>201070885.7429511</v>
      </c>
      <c r="R379" s="304"/>
    </row>
    <row r="380" spans="1:22" ht="30" customHeight="1">
      <c r="A380" s="546" t="s">
        <v>864</v>
      </c>
      <c r="B380" s="547"/>
      <c r="C380" s="548"/>
      <c r="D380" s="28">
        <f>+D378+D379+D208</f>
        <v>7805007959.7417316</v>
      </c>
      <c r="E380" s="299"/>
      <c r="F380" s="73"/>
      <c r="G380" s="299"/>
      <c r="H380" s="67"/>
      <c r="I380" s="429"/>
      <c r="J380" s="435"/>
      <c r="K380" s="435"/>
      <c r="L380" s="430"/>
      <c r="M380" s="28">
        <f>+M378+M379+M208</f>
        <v>7442932440.7020855</v>
      </c>
      <c r="N380" s="28">
        <f>+N378+N379+N208</f>
        <v>66789245.512674205</v>
      </c>
      <c r="O380" s="28">
        <f>+O378+O379+O208</f>
        <v>194150280.15600085</v>
      </c>
      <c r="P380" s="28">
        <f>+P378+P379+P208</f>
        <v>7179549391.9015274</v>
      </c>
      <c r="Q380" s="28">
        <f>+Q378+Q379+Q208</f>
        <v>362075519.84524661</v>
      </c>
      <c r="R380" s="305"/>
      <c r="T380" s="40"/>
      <c r="U380" s="40"/>
      <c r="V380" s="40"/>
    </row>
    <row r="381" spans="1:22" ht="53.1" customHeight="1">
      <c r="A381" s="453" t="s">
        <v>865</v>
      </c>
      <c r="B381" s="554"/>
      <c r="C381" s="554"/>
      <c r="D381" s="556">
        <v>468300478</v>
      </c>
      <c r="E381" s="558" t="s">
        <v>866</v>
      </c>
      <c r="F381" s="560">
        <v>901345524</v>
      </c>
      <c r="G381" s="58" t="s">
        <v>867</v>
      </c>
      <c r="H381" s="433" t="s">
        <v>868</v>
      </c>
      <c r="I381" s="438">
        <v>45716</v>
      </c>
      <c r="J381" s="209" t="s">
        <v>869</v>
      </c>
      <c r="K381" s="380">
        <v>45716</v>
      </c>
      <c r="L381" s="208" t="s">
        <v>70</v>
      </c>
      <c r="M381" s="434">
        <v>389369565</v>
      </c>
      <c r="N381" s="300"/>
      <c r="O381" s="300"/>
      <c r="P381" s="357">
        <f>+M381-N381-O381</f>
        <v>389369565</v>
      </c>
      <c r="Q381" s="562">
        <f>+D381-M381-M382</f>
        <v>0</v>
      </c>
      <c r="R381" s="306"/>
      <c r="T381" s="40"/>
      <c r="U381" s="40"/>
      <c r="V381" s="40"/>
    </row>
    <row r="382" spans="1:22" ht="53.1" customHeight="1">
      <c r="A382" s="451"/>
      <c r="B382" s="555"/>
      <c r="C382" s="555"/>
      <c r="D382" s="557"/>
      <c r="E382" s="559"/>
      <c r="F382" s="561"/>
      <c r="G382" s="58" t="s">
        <v>867</v>
      </c>
      <c r="H382" s="433">
        <v>9667</v>
      </c>
      <c r="I382" s="438">
        <v>45744</v>
      </c>
      <c r="J382" s="209" t="s">
        <v>870</v>
      </c>
      <c r="K382" s="380">
        <v>45744</v>
      </c>
      <c r="L382" s="208" t="s">
        <v>70</v>
      </c>
      <c r="M382" s="434">
        <v>78930913</v>
      </c>
      <c r="N382" s="300"/>
      <c r="O382" s="300"/>
      <c r="P382" s="357">
        <f>+M382-N382-O382</f>
        <v>78930913</v>
      </c>
      <c r="Q382" s="563"/>
      <c r="R382" s="431"/>
      <c r="T382" s="40"/>
      <c r="U382" s="40"/>
      <c r="V382" s="40"/>
    </row>
    <row r="383" spans="1:22" ht="37.5" customHeight="1" thickBot="1">
      <c r="A383" s="552" t="s">
        <v>871</v>
      </c>
      <c r="B383" s="553"/>
      <c r="C383" s="553"/>
      <c r="D383" s="307">
        <f>D380+D381</f>
        <v>8273308437.7417316</v>
      </c>
      <c r="E383" s="307"/>
      <c r="F383" s="307"/>
      <c r="G383" s="307"/>
      <c r="H383" s="308"/>
      <c r="I383" s="436"/>
      <c r="J383" s="437"/>
      <c r="K383" s="436"/>
      <c r="L383" s="436"/>
      <c r="M383" s="307">
        <f>M380+M381+M382</f>
        <v>7911232918.7020855</v>
      </c>
      <c r="N383" s="307">
        <f t="shared" ref="N383:Q383" si="37">N380+N381+N382</f>
        <v>66789245.512674205</v>
      </c>
      <c r="O383" s="307">
        <f t="shared" si="37"/>
        <v>194150280.15600085</v>
      </c>
      <c r="P383" s="307">
        <f t="shared" si="37"/>
        <v>7647849869.9015274</v>
      </c>
      <c r="Q383" s="307">
        <f t="shared" si="37"/>
        <v>362075519.84524661</v>
      </c>
      <c r="R383" s="309"/>
    </row>
    <row r="385" spans="1:17">
      <c r="D385" s="45"/>
      <c r="M385" s="40"/>
      <c r="P385" s="40"/>
    </row>
    <row r="386" spans="1:17">
      <c r="D386" s="74"/>
      <c r="M386" s="43"/>
      <c r="N386" s="142"/>
      <c r="O386" s="143"/>
    </row>
    <row r="387" spans="1:17">
      <c r="D387" s="40"/>
      <c r="O387" s="44"/>
    </row>
    <row r="388" spans="1:17" ht="14.1" customHeight="1">
      <c r="A388" s="549" t="s">
        <v>872</v>
      </c>
      <c r="B388" s="549"/>
      <c r="C388" s="549"/>
      <c r="D388" s="549"/>
      <c r="E388" s="549"/>
      <c r="F388" s="549"/>
      <c r="G388" s="549"/>
      <c r="H388" s="549"/>
      <c r="I388" s="549"/>
      <c r="J388" s="549"/>
      <c r="K388" s="549"/>
      <c r="L388" s="549"/>
      <c r="M388" s="549"/>
      <c r="N388" s="549"/>
      <c r="O388" s="549"/>
      <c r="P388" s="549"/>
      <c r="Q388" s="549"/>
    </row>
    <row r="389" spans="1:17" ht="14.1" customHeight="1">
      <c r="A389" s="549"/>
      <c r="B389" s="549"/>
      <c r="C389" s="549"/>
      <c r="D389" s="549"/>
      <c r="E389" s="549"/>
      <c r="F389" s="549"/>
      <c r="G389" s="549"/>
      <c r="H389" s="549"/>
      <c r="I389" s="549"/>
      <c r="J389" s="549"/>
      <c r="K389" s="549"/>
      <c r="L389" s="549"/>
      <c r="M389" s="549"/>
      <c r="N389" s="549"/>
      <c r="O389" s="549"/>
      <c r="P389" s="549"/>
      <c r="Q389" s="549"/>
    </row>
    <row r="390" spans="1:17" ht="14.1" customHeight="1">
      <c r="A390" s="549"/>
      <c r="B390" s="549"/>
      <c r="C390" s="549"/>
      <c r="D390" s="549"/>
      <c r="E390" s="549"/>
      <c r="F390" s="549"/>
      <c r="G390" s="549"/>
      <c r="H390" s="549"/>
      <c r="I390" s="549"/>
      <c r="J390" s="549"/>
      <c r="K390" s="549"/>
      <c r="L390" s="549"/>
      <c r="M390" s="549"/>
      <c r="N390" s="549"/>
      <c r="O390" s="549"/>
      <c r="P390" s="549"/>
      <c r="Q390" s="549"/>
    </row>
    <row r="391" spans="1:17" ht="14.1" customHeight="1">
      <c r="A391" s="549"/>
      <c r="B391" s="549"/>
      <c r="C391" s="549"/>
      <c r="D391" s="549"/>
      <c r="E391" s="549"/>
      <c r="F391" s="549"/>
      <c r="G391" s="549"/>
      <c r="H391" s="549"/>
      <c r="I391" s="549"/>
      <c r="J391" s="549"/>
      <c r="K391" s="549"/>
      <c r="L391" s="549"/>
      <c r="M391" s="549"/>
      <c r="N391" s="549"/>
      <c r="O391" s="549"/>
      <c r="P391" s="549"/>
      <c r="Q391" s="549"/>
    </row>
    <row r="392" spans="1:17" ht="14.25"/>
    <row r="393" spans="1:17" ht="24" customHeight="1">
      <c r="A393" s="550" t="s">
        <v>873</v>
      </c>
      <c r="B393" s="550"/>
      <c r="C393" s="550"/>
      <c r="D393" s="550"/>
    </row>
    <row r="394" spans="1:17" ht="14.1" customHeight="1">
      <c r="A394" s="550"/>
      <c r="B394" s="550"/>
      <c r="C394" s="550"/>
      <c r="D394" s="550"/>
    </row>
    <row r="395" spans="1:17" ht="24.95" customHeight="1">
      <c r="A395" s="550"/>
      <c r="B395" s="550"/>
      <c r="C395" s="550"/>
      <c r="D395" s="550"/>
    </row>
    <row r="396" spans="1:17" ht="24.95" customHeight="1">
      <c r="A396" s="550"/>
      <c r="B396" s="550"/>
      <c r="C396" s="550"/>
      <c r="D396" s="550"/>
    </row>
    <row r="397" spans="1:17" ht="14.1" customHeight="1">
      <c r="A397" s="550"/>
      <c r="B397" s="550"/>
      <c r="C397" s="550"/>
      <c r="D397" s="550"/>
      <c r="E397" s="150" t="s">
        <v>874</v>
      </c>
      <c r="F397" s="551"/>
      <c r="G397" s="551"/>
      <c r="H397" s="551"/>
      <c r="K397" s="150" t="s">
        <v>874</v>
      </c>
      <c r="L397" s="551"/>
      <c r="M397" s="551"/>
      <c r="N397" s="551"/>
      <c r="O397" s="551"/>
      <c r="P397" s="551"/>
    </row>
    <row r="398" spans="1:17" ht="23.1" customHeight="1">
      <c r="A398" s="550"/>
      <c r="B398" s="550"/>
      <c r="C398" s="550"/>
      <c r="D398" s="550"/>
      <c r="E398" s="150"/>
      <c r="F398" s="20" t="s">
        <v>875</v>
      </c>
      <c r="G398" s="41" t="s">
        <v>876</v>
      </c>
      <c r="K398" s="150"/>
      <c r="L398" s="56" t="s">
        <v>875</v>
      </c>
      <c r="M398" s="41" t="s">
        <v>877</v>
      </c>
    </row>
    <row r="399" spans="1:17" ht="14.1" customHeight="1">
      <c r="A399" s="550"/>
      <c r="B399" s="550"/>
      <c r="C399" s="550"/>
      <c r="D399" s="550"/>
      <c r="F399" s="20" t="s">
        <v>878</v>
      </c>
      <c r="G399" s="42">
        <v>39775455</v>
      </c>
      <c r="L399" s="56" t="s">
        <v>879</v>
      </c>
      <c r="M399" s="42">
        <v>1022347139</v>
      </c>
    </row>
    <row r="400" spans="1:17" ht="19.5" customHeight="1">
      <c r="A400" s="550"/>
      <c r="B400" s="550"/>
      <c r="C400" s="550"/>
      <c r="D400" s="550"/>
      <c r="F400" s="21" t="s">
        <v>880</v>
      </c>
      <c r="L400" s="63" t="s">
        <v>881</v>
      </c>
      <c r="M400" s="41"/>
    </row>
    <row r="401" spans="1:13" ht="14.25">
      <c r="A401" s="550"/>
      <c r="B401" s="550"/>
      <c r="C401" s="550"/>
      <c r="D401" s="550"/>
      <c r="L401" s="56" t="s">
        <v>882</v>
      </c>
      <c r="M401" s="41" t="s">
        <v>883</v>
      </c>
    </row>
    <row r="402" spans="1:13" ht="14.1" customHeight="1">
      <c r="A402" s="550"/>
      <c r="B402" s="550"/>
      <c r="C402" s="550"/>
      <c r="D402" s="550"/>
      <c r="L402" s="56" t="s">
        <v>884</v>
      </c>
    </row>
    <row r="403" spans="1:13" ht="14.1" customHeight="1">
      <c r="A403" s="550"/>
      <c r="B403" s="550"/>
      <c r="C403" s="550"/>
      <c r="D403" s="550"/>
    </row>
    <row r="404" spans="1:13" ht="14.25"/>
  </sheetData>
  <sheetProtection selectLockedCells="1" selectUnlockedCells="1"/>
  <autoFilter ref="H22:Q385" xr:uid="{00000000-0009-0000-0000-000000000000}"/>
  <mergeCells count="345">
    <mergeCell ref="C372:C374"/>
    <mergeCell ref="D372:D374"/>
    <mergeCell ref="E372:E374"/>
    <mergeCell ref="F372:F374"/>
    <mergeCell ref="Q372:Q374"/>
    <mergeCell ref="M20:P20"/>
    <mergeCell ref="C332:C334"/>
    <mergeCell ref="B163:B166"/>
    <mergeCell ref="C165:C166"/>
    <mergeCell ref="D165:D166"/>
    <mergeCell ref="E165:E166"/>
    <mergeCell ref="F165:F166"/>
    <mergeCell ref="Q163:Q166"/>
    <mergeCell ref="C328:C329"/>
    <mergeCell ref="D328:D329"/>
    <mergeCell ref="E328:E329"/>
    <mergeCell ref="F328:F329"/>
    <mergeCell ref="Q328:Q329"/>
    <mergeCell ref="C369:C371"/>
    <mergeCell ref="D369:D371"/>
    <mergeCell ref="E369:E371"/>
    <mergeCell ref="F369:F371"/>
    <mergeCell ref="Q369:Q371"/>
    <mergeCell ref="C203:C205"/>
    <mergeCell ref="D203:D205"/>
    <mergeCell ref="E203:E205"/>
    <mergeCell ref="F203:F205"/>
    <mergeCell ref="Q203:Q205"/>
    <mergeCell ref="D314:D315"/>
    <mergeCell ref="E314:E315"/>
    <mergeCell ref="F314:F315"/>
    <mergeCell ref="C314:C315"/>
    <mergeCell ref="Q314:Q315"/>
    <mergeCell ref="C230:C233"/>
    <mergeCell ref="D230:D233"/>
    <mergeCell ref="Q230:Q233"/>
    <mergeCell ref="D298:D299"/>
    <mergeCell ref="C301:C302"/>
    <mergeCell ref="C200:C202"/>
    <mergeCell ref="D200:D202"/>
    <mergeCell ref="E200:E202"/>
    <mergeCell ref="F200:F202"/>
    <mergeCell ref="Q200:Q202"/>
    <mergeCell ref="C148:C149"/>
    <mergeCell ref="C172:C175"/>
    <mergeCell ref="D172:D175"/>
    <mergeCell ref="E172:E175"/>
    <mergeCell ref="Q172:Q175"/>
    <mergeCell ref="E169:E171"/>
    <mergeCell ref="E184:E186"/>
    <mergeCell ref="C169:C171"/>
    <mergeCell ref="D169:D171"/>
    <mergeCell ref="D184:D186"/>
    <mergeCell ref="C189:C190"/>
    <mergeCell ref="D189:D190"/>
    <mergeCell ref="E189:E190"/>
    <mergeCell ref="C176:C179"/>
    <mergeCell ref="D176:D179"/>
    <mergeCell ref="E176:E179"/>
    <mergeCell ref="F176:F179"/>
    <mergeCell ref="F184:F186"/>
    <mergeCell ref="F341:F344"/>
    <mergeCell ref="G26:G27"/>
    <mergeCell ref="H26:H27"/>
    <mergeCell ref="I26:I27"/>
    <mergeCell ref="J26:J27"/>
    <mergeCell ref="K26:K27"/>
    <mergeCell ref="L26:L27"/>
    <mergeCell ref="M26:M27"/>
    <mergeCell ref="N26:N27"/>
    <mergeCell ref="F172:F175"/>
    <mergeCell ref="F169:F171"/>
    <mergeCell ref="F189:F190"/>
    <mergeCell ref="A210:G210"/>
    <mergeCell ref="D187:D188"/>
    <mergeCell ref="B218:B219"/>
    <mergeCell ref="C35:C117"/>
    <mergeCell ref="F130:F131"/>
    <mergeCell ref="C130:C131"/>
    <mergeCell ref="D130:D131"/>
    <mergeCell ref="E187:E188"/>
    <mergeCell ref="F187:F188"/>
    <mergeCell ref="E130:E131"/>
    <mergeCell ref="C124:C125"/>
    <mergeCell ref="D124:D125"/>
    <mergeCell ref="O26:O27"/>
    <mergeCell ref="G30:G32"/>
    <mergeCell ref="H30:H32"/>
    <mergeCell ref="I30:I32"/>
    <mergeCell ref="J30:J32"/>
    <mergeCell ref="K30:K32"/>
    <mergeCell ref="L30:L32"/>
    <mergeCell ref="M30:M32"/>
    <mergeCell ref="N30:N32"/>
    <mergeCell ref="O30:O32"/>
    <mergeCell ref="G28:G29"/>
    <mergeCell ref="H28:H29"/>
    <mergeCell ref="I28:I29"/>
    <mergeCell ref="J28:J29"/>
    <mergeCell ref="K28:K29"/>
    <mergeCell ref="L28:L29"/>
    <mergeCell ref="M28:M29"/>
    <mergeCell ref="N28:N29"/>
    <mergeCell ref="O28:O29"/>
    <mergeCell ref="C363:C364"/>
    <mergeCell ref="D363:D364"/>
    <mergeCell ref="E363:E364"/>
    <mergeCell ref="F363:F364"/>
    <mergeCell ref="Q363:Q364"/>
    <mergeCell ref="C193:C195"/>
    <mergeCell ref="D193:D195"/>
    <mergeCell ref="E193:E195"/>
    <mergeCell ref="F193:F195"/>
    <mergeCell ref="Q193:Q195"/>
    <mergeCell ref="C359:C361"/>
    <mergeCell ref="D359:D361"/>
    <mergeCell ref="E359:E361"/>
    <mergeCell ref="F359:F361"/>
    <mergeCell ref="Q359:Q361"/>
    <mergeCell ref="Q312:Q313"/>
    <mergeCell ref="C312:C313"/>
    <mergeCell ref="D312:D313"/>
    <mergeCell ref="E312:E313"/>
    <mergeCell ref="D228:D229"/>
    <mergeCell ref="Q298:Q299"/>
    <mergeCell ref="C294:C299"/>
    <mergeCell ref="C241:C289"/>
    <mergeCell ref="D241:D289"/>
    <mergeCell ref="B332:B335"/>
    <mergeCell ref="Q332:Q335"/>
    <mergeCell ref="Q338:Q340"/>
    <mergeCell ref="Q341:Q344"/>
    <mergeCell ref="Q345:Q347"/>
    <mergeCell ref="Q348:Q351"/>
    <mergeCell ref="Q352:Q354"/>
    <mergeCell ref="Q375:Q376"/>
    <mergeCell ref="C375:C376"/>
    <mergeCell ref="D375:D376"/>
    <mergeCell ref="E375:E376"/>
    <mergeCell ref="F375:F376"/>
    <mergeCell ref="E348:E351"/>
    <mergeCell ref="F348:F351"/>
    <mergeCell ref="F352:F354"/>
    <mergeCell ref="C345:C347"/>
    <mergeCell ref="D345:D347"/>
    <mergeCell ref="E345:E347"/>
    <mergeCell ref="F345:F347"/>
    <mergeCell ref="E338:E340"/>
    <mergeCell ref="F338:F340"/>
    <mergeCell ref="C341:C344"/>
    <mergeCell ref="D341:D344"/>
    <mergeCell ref="E341:E344"/>
    <mergeCell ref="B223:B289"/>
    <mergeCell ref="A223:A289"/>
    <mergeCell ref="Q326:Q327"/>
    <mergeCell ref="Q322:Q323"/>
    <mergeCell ref="Q324:Q325"/>
    <mergeCell ref="P326:P327"/>
    <mergeCell ref="Q241:Q289"/>
    <mergeCell ref="C318:C319"/>
    <mergeCell ref="D318:D319"/>
    <mergeCell ref="E318:E319"/>
    <mergeCell ref="F318:F319"/>
    <mergeCell ref="Q318:Q319"/>
    <mergeCell ref="E292:E293"/>
    <mergeCell ref="C291:C293"/>
    <mergeCell ref="D292:D293"/>
    <mergeCell ref="F292:F293"/>
    <mergeCell ref="Q292:Q293"/>
    <mergeCell ref="D294:D295"/>
    <mergeCell ref="E294:E295"/>
    <mergeCell ref="F294:F295"/>
    <mergeCell ref="Q235:Q240"/>
    <mergeCell ref="Q306:Q307"/>
    <mergeCell ref="C228:C229"/>
    <mergeCell ref="F312:F313"/>
    <mergeCell ref="P30:P32"/>
    <mergeCell ref="Q228:Q229"/>
    <mergeCell ref="Q189:Q190"/>
    <mergeCell ref="Q211:Q213"/>
    <mergeCell ref="Q145:Q147"/>
    <mergeCell ref="Q121:Q122"/>
    <mergeCell ref="P28:P29"/>
    <mergeCell ref="Q130:Q131"/>
    <mergeCell ref="Q150:Q151"/>
    <mergeCell ref="Q154:Q155"/>
    <mergeCell ref="Q134:Q135"/>
    <mergeCell ref="Q124:Q125"/>
    <mergeCell ref="Q126:Q129"/>
    <mergeCell ref="Q132:Q133"/>
    <mergeCell ref="Q169:Q171"/>
    <mergeCell ref="Q176:Q179"/>
    <mergeCell ref="Q156:Q158"/>
    <mergeCell ref="Q180:Q183"/>
    <mergeCell ref="Q184:Q186"/>
    <mergeCell ref="Q187:Q188"/>
    <mergeCell ref="Q148:Q149"/>
    <mergeCell ref="D326:D327"/>
    <mergeCell ref="D332:D335"/>
    <mergeCell ref="E132:E133"/>
    <mergeCell ref="F132:F133"/>
    <mergeCell ref="C306:C307"/>
    <mergeCell ref="D306:D307"/>
    <mergeCell ref="E306:E307"/>
    <mergeCell ref="F306:F307"/>
    <mergeCell ref="E298:E299"/>
    <mergeCell ref="F298:F299"/>
    <mergeCell ref="D301:D302"/>
    <mergeCell ref="E301:E302"/>
    <mergeCell ref="F301:F302"/>
    <mergeCell ref="C322:C325"/>
    <mergeCell ref="D324:D325"/>
    <mergeCell ref="E324:E325"/>
    <mergeCell ref="F324:F325"/>
    <mergeCell ref="C187:C188"/>
    <mergeCell ref="C154:C155"/>
    <mergeCell ref="D150:D151"/>
    <mergeCell ref="C150:C151"/>
    <mergeCell ref="C132:C133"/>
    <mergeCell ref="D132:D133"/>
    <mergeCell ref="C145:C147"/>
    <mergeCell ref="A377:C377"/>
    <mergeCell ref="A222:G222"/>
    <mergeCell ref="A306:A330"/>
    <mergeCell ref="C180:C183"/>
    <mergeCell ref="D180:D183"/>
    <mergeCell ref="E180:E183"/>
    <mergeCell ref="F180:F183"/>
    <mergeCell ref="E211:E213"/>
    <mergeCell ref="F211:F213"/>
    <mergeCell ref="E235:E240"/>
    <mergeCell ref="F235:F240"/>
    <mergeCell ref="C338:C340"/>
    <mergeCell ref="A211:A213"/>
    <mergeCell ref="B211:B213"/>
    <mergeCell ref="C211:C213"/>
    <mergeCell ref="D211:D213"/>
    <mergeCell ref="D348:D351"/>
    <mergeCell ref="C348:C351"/>
    <mergeCell ref="C184:C186"/>
    <mergeCell ref="C352:C354"/>
    <mergeCell ref="D352:D354"/>
    <mergeCell ref="E352:E354"/>
    <mergeCell ref="C326:C327"/>
    <mergeCell ref="D338:D340"/>
    <mergeCell ref="A378:C378"/>
    <mergeCell ref="A379:C379"/>
    <mergeCell ref="A380:C380"/>
    <mergeCell ref="A388:Q391"/>
    <mergeCell ref="F397:H397"/>
    <mergeCell ref="L397:P397"/>
    <mergeCell ref="A383:C383"/>
    <mergeCell ref="A381:C382"/>
    <mergeCell ref="D381:D382"/>
    <mergeCell ref="E381:E382"/>
    <mergeCell ref="F381:F382"/>
    <mergeCell ref="Q381:Q382"/>
    <mergeCell ref="A393:D403"/>
    <mergeCell ref="A18:C18"/>
    <mergeCell ref="A20:D20"/>
    <mergeCell ref="E20:L20"/>
    <mergeCell ref="Q20:Q21"/>
    <mergeCell ref="A22:G22"/>
    <mergeCell ref="C121:C122"/>
    <mergeCell ref="D121:D122"/>
    <mergeCell ref="C33:C34"/>
    <mergeCell ref="D33:D34"/>
    <mergeCell ref="E33:E34"/>
    <mergeCell ref="F33:F34"/>
    <mergeCell ref="Q33:Q34"/>
    <mergeCell ref="G23:G25"/>
    <mergeCell ref="P23:P25"/>
    <mergeCell ref="H23:H25"/>
    <mergeCell ref="I23:I25"/>
    <mergeCell ref="E121:E122"/>
    <mergeCell ref="F121:F122"/>
    <mergeCell ref="N23:N25"/>
    <mergeCell ref="O23:O25"/>
    <mergeCell ref="J23:J25"/>
    <mergeCell ref="Q35:Q117"/>
    <mergeCell ref="Q118:Q120"/>
    <mergeCell ref="P26:P27"/>
    <mergeCell ref="M23:M25"/>
    <mergeCell ref="D145:D147"/>
    <mergeCell ref="E145:E147"/>
    <mergeCell ref="F145:F147"/>
    <mergeCell ref="D154:D155"/>
    <mergeCell ref="E126:E127"/>
    <mergeCell ref="D126:D129"/>
    <mergeCell ref="C126:C129"/>
    <mergeCell ref="F126:F127"/>
    <mergeCell ref="C134:C135"/>
    <mergeCell ref="D134:D135"/>
    <mergeCell ref="E134:E135"/>
    <mergeCell ref="F134:F135"/>
    <mergeCell ref="E148:E149"/>
    <mergeCell ref="F148:F149"/>
    <mergeCell ref="A141:A161"/>
    <mergeCell ref="B141:B161"/>
    <mergeCell ref="C156:C158"/>
    <mergeCell ref="D156:D158"/>
    <mergeCell ref="E156:E158"/>
    <mergeCell ref="F156:F158"/>
    <mergeCell ref="D148:D149"/>
    <mergeCell ref="A4:R4"/>
    <mergeCell ref="A1:B3"/>
    <mergeCell ref="C1:O3"/>
    <mergeCell ref="Q1:R1"/>
    <mergeCell ref="Q2:R2"/>
    <mergeCell ref="Q3:R3"/>
    <mergeCell ref="C8:R8"/>
    <mergeCell ref="D118:D120"/>
    <mergeCell ref="E128:E129"/>
    <mergeCell ref="F128:F129"/>
    <mergeCell ref="C118:C120"/>
    <mergeCell ref="B124:B139"/>
    <mergeCell ref="A124:A139"/>
    <mergeCell ref="Q23:Q32"/>
    <mergeCell ref="D35:D117"/>
    <mergeCell ref="K23:K25"/>
    <mergeCell ref="L23:L25"/>
    <mergeCell ref="A163:A166"/>
    <mergeCell ref="R20:R21"/>
    <mergeCell ref="D18:R18"/>
    <mergeCell ref="E23:E32"/>
    <mergeCell ref="F23:F32"/>
    <mergeCell ref="A337:A376"/>
    <mergeCell ref="B337:B376"/>
    <mergeCell ref="A291:A304"/>
    <mergeCell ref="B291:B304"/>
    <mergeCell ref="Q294:Q295"/>
    <mergeCell ref="B23:B122"/>
    <mergeCell ref="A23:A122"/>
    <mergeCell ref="B168:B206"/>
    <mergeCell ref="A168:A206"/>
    <mergeCell ref="A332:A335"/>
    <mergeCell ref="Q301:Q302"/>
    <mergeCell ref="A215:A216"/>
    <mergeCell ref="B215:B216"/>
    <mergeCell ref="A209:G209"/>
    <mergeCell ref="B306:B330"/>
    <mergeCell ref="A218:A219"/>
    <mergeCell ref="D322:D323"/>
    <mergeCell ref="E322:E323"/>
    <mergeCell ref="F322:F323"/>
  </mergeCells>
  <printOptions horizontalCentered="1"/>
  <pageMargins left="0.23622047244094491" right="0.23622047244094491" top="0.19685039370078741" bottom="0.19685039370078741" header="0.31496062992125984" footer="0.31496062992125984"/>
  <pageSetup paperSize="5" scale="50" fitToWidth="0" fitToHeight="0" orientation="landscape" useFirstPageNumber="1" errors="blank" r:id="rId1"/>
  <headerFooter>
    <oddFooter>&amp;CPágina &amp;P de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R82"/>
  <sheetViews>
    <sheetView topLeftCell="A5" zoomScale="80" zoomScaleNormal="80" workbookViewId="0">
      <selection activeCell="H19" sqref="H19"/>
    </sheetView>
  </sheetViews>
  <sheetFormatPr defaultColWidth="11.42578125" defaultRowHeight="12.95"/>
  <cols>
    <col min="1" max="1" width="11.42578125" style="1"/>
    <col min="2" max="2" width="23.140625" style="1" customWidth="1"/>
    <col min="3" max="3" width="13.7109375" style="1" customWidth="1"/>
    <col min="4" max="4" width="34.140625" style="1" customWidth="1"/>
    <col min="5" max="5" width="14.7109375" style="1" customWidth="1"/>
    <col min="6" max="6" width="37" style="1" customWidth="1"/>
    <col min="7" max="7" width="12.7109375" style="1" customWidth="1"/>
    <col min="8" max="8" width="48.140625" style="1" customWidth="1"/>
    <col min="9" max="13" width="11.42578125" style="1"/>
    <col min="14" max="14" width="13.42578125" style="1" customWidth="1"/>
    <col min="15" max="15" width="11.42578125" style="1"/>
    <col min="16" max="16" width="13.42578125" style="1" customWidth="1"/>
    <col min="17" max="17" width="13.7109375" style="1" customWidth="1"/>
    <col min="18" max="18" width="12.42578125" style="1" customWidth="1"/>
    <col min="19" max="16384" width="11.42578125" style="1"/>
  </cols>
  <sheetData>
    <row r="1" spans="2:18" ht="18">
      <c r="B1" s="674" t="s">
        <v>885</v>
      </c>
      <c r="C1" s="674"/>
      <c r="D1" s="674"/>
      <c r="E1" s="674"/>
      <c r="F1" s="674"/>
      <c r="G1" s="674"/>
      <c r="H1" s="674"/>
      <c r="I1" s="674"/>
      <c r="J1" s="674"/>
      <c r="K1" s="674"/>
      <c r="L1" s="674"/>
      <c r="M1" s="674"/>
      <c r="N1" s="674"/>
      <c r="O1" s="674"/>
      <c r="P1" s="674"/>
      <c r="Q1" s="674"/>
      <c r="R1" s="674"/>
    </row>
    <row r="2" spans="2:18" ht="18">
      <c r="B2" s="15"/>
    </row>
    <row r="3" spans="2:18" ht="14.1">
      <c r="B3" s="675" t="s">
        <v>886</v>
      </c>
      <c r="C3" s="675"/>
      <c r="D3" s="675"/>
      <c r="E3" s="675"/>
      <c r="F3" s="675"/>
      <c r="G3" s="675"/>
      <c r="H3" s="675"/>
      <c r="I3" s="675"/>
      <c r="J3" s="675"/>
      <c r="K3" s="675"/>
      <c r="L3" s="675"/>
      <c r="M3" s="675"/>
      <c r="N3" s="675"/>
      <c r="O3" s="675"/>
      <c r="P3" s="675"/>
      <c r="Q3" s="675"/>
      <c r="R3" s="675"/>
    </row>
    <row r="4" spans="2:18">
      <c r="B4" s="2"/>
    </row>
    <row r="5" spans="2:18">
      <c r="B5" s="683" t="s">
        <v>887</v>
      </c>
      <c r="C5" s="683"/>
      <c r="D5" s="683"/>
      <c r="E5" s="676" t="s">
        <v>888</v>
      </c>
      <c r="F5" s="676"/>
      <c r="G5" s="676"/>
      <c r="H5" s="676"/>
      <c r="I5" s="676"/>
      <c r="J5" s="676"/>
      <c r="K5" s="676"/>
      <c r="L5" s="676"/>
      <c r="M5" s="676"/>
      <c r="N5" s="676"/>
      <c r="O5" s="676"/>
      <c r="P5" s="676"/>
      <c r="Q5" s="676"/>
      <c r="R5" s="676"/>
    </row>
    <row r="6" spans="2:18">
      <c r="B6" s="2"/>
      <c r="E6" s="3"/>
    </row>
    <row r="7" spans="2:18">
      <c r="B7" s="683" t="s">
        <v>889</v>
      </c>
      <c r="C7" s="683"/>
      <c r="D7" s="683"/>
      <c r="E7" s="676" t="s">
        <v>890</v>
      </c>
      <c r="F7" s="676"/>
      <c r="G7" s="676"/>
      <c r="H7" s="676"/>
      <c r="I7" s="676"/>
      <c r="J7" s="676"/>
      <c r="K7" s="676"/>
      <c r="L7" s="676"/>
      <c r="M7" s="676"/>
      <c r="N7" s="676"/>
      <c r="O7" s="676"/>
      <c r="P7" s="676"/>
      <c r="Q7" s="676"/>
      <c r="R7" s="676"/>
    </row>
    <row r="8" spans="2:18">
      <c r="B8" s="2"/>
      <c r="E8" s="3"/>
    </row>
    <row r="9" spans="2:18">
      <c r="B9" s="683" t="s">
        <v>891</v>
      </c>
      <c r="C9" s="683"/>
      <c r="D9" s="683"/>
      <c r="E9" s="676" t="s">
        <v>892</v>
      </c>
      <c r="F9" s="676"/>
      <c r="G9" s="676"/>
      <c r="H9" s="676"/>
      <c r="I9" s="676"/>
      <c r="J9" s="676"/>
      <c r="K9" s="676"/>
      <c r="L9" s="676"/>
      <c r="M9" s="676"/>
      <c r="N9" s="676"/>
      <c r="O9" s="676"/>
      <c r="P9" s="676"/>
      <c r="Q9" s="676"/>
      <c r="R9" s="676"/>
    </row>
    <row r="10" spans="2:18">
      <c r="B10" s="2"/>
      <c r="E10" s="676"/>
      <c r="F10" s="676"/>
      <c r="G10" s="676"/>
      <c r="H10" s="676"/>
      <c r="I10" s="676"/>
      <c r="J10" s="676"/>
      <c r="K10" s="676"/>
      <c r="L10" s="676"/>
      <c r="M10" s="676"/>
      <c r="N10" s="676"/>
      <c r="O10" s="676"/>
      <c r="P10" s="676"/>
      <c r="Q10" s="676"/>
      <c r="R10" s="676"/>
    </row>
    <row r="11" spans="2:18">
      <c r="B11" s="2"/>
      <c r="E11" s="3"/>
    </row>
    <row r="12" spans="2:18">
      <c r="B12" s="683" t="s">
        <v>893</v>
      </c>
      <c r="C12" s="683"/>
      <c r="D12" s="683"/>
      <c r="E12" s="676" t="s">
        <v>894</v>
      </c>
      <c r="F12" s="676"/>
      <c r="G12" s="676"/>
      <c r="H12" s="676"/>
      <c r="I12" s="676"/>
      <c r="J12" s="676"/>
      <c r="K12" s="676"/>
      <c r="L12" s="676"/>
      <c r="M12" s="676"/>
      <c r="N12" s="676"/>
      <c r="O12" s="676"/>
      <c r="P12" s="676"/>
      <c r="Q12" s="676"/>
      <c r="R12" s="676"/>
    </row>
    <row r="14" spans="2:18">
      <c r="B14" s="677" t="s">
        <v>24</v>
      </c>
      <c r="C14" s="677"/>
      <c r="D14" s="677"/>
      <c r="E14" s="677"/>
      <c r="F14" s="677" t="s">
        <v>25</v>
      </c>
      <c r="G14" s="677"/>
      <c r="H14" s="677"/>
      <c r="I14" s="677"/>
      <c r="J14" s="677"/>
      <c r="K14" s="677"/>
      <c r="L14" s="677"/>
      <c r="M14" s="677"/>
      <c r="N14" s="677" t="s">
        <v>26</v>
      </c>
      <c r="O14" s="677"/>
      <c r="P14" s="677"/>
      <c r="Q14" s="678" t="s">
        <v>27</v>
      </c>
      <c r="R14" s="678" t="s">
        <v>28</v>
      </c>
    </row>
    <row r="15" spans="2:18" s="3" customFormat="1" ht="56.1">
      <c r="B15" s="5" t="s">
        <v>895</v>
      </c>
      <c r="C15" s="4" t="s">
        <v>896</v>
      </c>
      <c r="D15" s="5" t="s">
        <v>897</v>
      </c>
      <c r="E15" s="4" t="s">
        <v>898</v>
      </c>
      <c r="F15" s="5" t="s">
        <v>33</v>
      </c>
      <c r="G15" s="4" t="s">
        <v>34</v>
      </c>
      <c r="H15" s="4" t="s">
        <v>35</v>
      </c>
      <c r="I15" s="5" t="s">
        <v>36</v>
      </c>
      <c r="J15" s="4" t="s">
        <v>37</v>
      </c>
      <c r="K15" s="4" t="s">
        <v>38</v>
      </c>
      <c r="L15" s="4" t="s">
        <v>899</v>
      </c>
      <c r="M15" s="4" t="s">
        <v>900</v>
      </c>
      <c r="N15" s="4" t="s">
        <v>41</v>
      </c>
      <c r="O15" s="4" t="s">
        <v>43</v>
      </c>
      <c r="P15" s="4" t="s">
        <v>44</v>
      </c>
      <c r="Q15" s="678"/>
      <c r="R15" s="678"/>
    </row>
    <row r="16" spans="2:18" ht="14.1">
      <c r="B16" s="680" t="s">
        <v>901</v>
      </c>
      <c r="C16" s="681">
        <v>10000000</v>
      </c>
      <c r="D16" s="6" t="s">
        <v>902</v>
      </c>
      <c r="E16" s="7">
        <v>8000000</v>
      </c>
      <c r="F16" s="6" t="s">
        <v>903</v>
      </c>
      <c r="G16" s="8">
        <v>2222</v>
      </c>
      <c r="H16" s="6" t="s">
        <v>904</v>
      </c>
      <c r="I16" s="6" t="s">
        <v>905</v>
      </c>
      <c r="J16" s="16">
        <v>40271</v>
      </c>
      <c r="K16" s="8">
        <v>45</v>
      </c>
      <c r="L16" s="16">
        <v>40272</v>
      </c>
      <c r="M16" s="8" t="s">
        <v>906</v>
      </c>
      <c r="N16" s="7">
        <v>2000000</v>
      </c>
      <c r="O16" s="7">
        <v>200000</v>
      </c>
      <c r="P16" s="7">
        <f t="shared" ref="P16:P22" si="0">+N16-O16</f>
        <v>1800000</v>
      </c>
      <c r="Q16" s="7"/>
      <c r="R16" s="8">
        <v>3</v>
      </c>
    </row>
    <row r="17" spans="2:18" ht="14.1">
      <c r="B17" s="680"/>
      <c r="C17" s="681"/>
      <c r="D17" s="6"/>
      <c r="E17" s="7"/>
      <c r="F17" s="6" t="s">
        <v>907</v>
      </c>
      <c r="G17" s="8">
        <v>3333</v>
      </c>
      <c r="H17" s="6" t="s">
        <v>908</v>
      </c>
      <c r="I17" s="6" t="s">
        <v>909</v>
      </c>
      <c r="J17" s="16">
        <v>40271</v>
      </c>
      <c r="K17" s="8">
        <v>46</v>
      </c>
      <c r="L17" s="16">
        <v>40272</v>
      </c>
      <c r="M17" s="8" t="s">
        <v>910</v>
      </c>
      <c r="N17" s="7">
        <v>2000000</v>
      </c>
      <c r="O17" s="7">
        <v>200000</v>
      </c>
      <c r="P17" s="7">
        <f t="shared" si="0"/>
        <v>1800000</v>
      </c>
      <c r="Q17" s="7"/>
      <c r="R17" s="8">
        <v>4</v>
      </c>
    </row>
    <row r="18" spans="2:18" ht="14.1">
      <c r="B18" s="680"/>
      <c r="C18" s="681"/>
      <c r="D18" s="6"/>
      <c r="E18" s="7"/>
      <c r="F18" s="6" t="s">
        <v>911</v>
      </c>
      <c r="G18" s="8">
        <v>4444</v>
      </c>
      <c r="H18" s="6" t="s">
        <v>912</v>
      </c>
      <c r="I18" s="6" t="s">
        <v>913</v>
      </c>
      <c r="J18" s="16">
        <v>40271</v>
      </c>
      <c r="K18" s="8">
        <v>47</v>
      </c>
      <c r="L18" s="16">
        <v>40272</v>
      </c>
      <c r="M18" s="8" t="s">
        <v>914</v>
      </c>
      <c r="N18" s="7">
        <v>2000000</v>
      </c>
      <c r="O18" s="7">
        <v>200000</v>
      </c>
      <c r="P18" s="7">
        <f t="shared" si="0"/>
        <v>1800000</v>
      </c>
      <c r="Q18" s="7"/>
      <c r="R18" s="8">
        <v>7</v>
      </c>
    </row>
    <row r="19" spans="2:18" ht="14.1">
      <c r="B19" s="680"/>
      <c r="C19" s="681"/>
      <c r="D19" s="6"/>
      <c r="E19" s="7"/>
      <c r="F19" s="6" t="s">
        <v>915</v>
      </c>
      <c r="G19" s="8">
        <v>5555</v>
      </c>
      <c r="H19" s="6" t="s">
        <v>916</v>
      </c>
      <c r="I19" s="6" t="s">
        <v>917</v>
      </c>
      <c r="J19" s="16">
        <v>40272</v>
      </c>
      <c r="K19" s="8">
        <v>50</v>
      </c>
      <c r="L19" s="16">
        <v>40275</v>
      </c>
      <c r="M19" s="8" t="s">
        <v>918</v>
      </c>
      <c r="N19" s="7">
        <v>2000000</v>
      </c>
      <c r="O19" s="7">
        <v>200000</v>
      </c>
      <c r="P19" s="7">
        <f t="shared" si="0"/>
        <v>1800000</v>
      </c>
      <c r="Q19" s="7">
        <f>+E16-SUM(N16:N19)</f>
        <v>0</v>
      </c>
      <c r="R19" s="8">
        <v>9</v>
      </c>
    </row>
    <row r="20" spans="2:18" ht="27.95">
      <c r="B20" s="680"/>
      <c r="C20" s="681"/>
      <c r="D20" s="6" t="s">
        <v>919</v>
      </c>
      <c r="E20" s="7">
        <v>1000000</v>
      </c>
      <c r="F20" s="6" t="s">
        <v>920</v>
      </c>
      <c r="G20" s="8">
        <v>6666</v>
      </c>
      <c r="H20" s="6" t="s">
        <v>921</v>
      </c>
      <c r="I20" s="6" t="s">
        <v>922</v>
      </c>
      <c r="J20" s="16">
        <v>40239</v>
      </c>
      <c r="K20" s="8">
        <v>14</v>
      </c>
      <c r="L20" s="16">
        <v>40241</v>
      </c>
      <c r="M20" s="8" t="s">
        <v>923</v>
      </c>
      <c r="N20" s="7">
        <v>1000000</v>
      </c>
      <c r="O20" s="7">
        <v>35000</v>
      </c>
      <c r="P20" s="7">
        <f t="shared" si="0"/>
        <v>965000</v>
      </c>
      <c r="Q20" s="7">
        <f>+E20-N20</f>
        <v>0</v>
      </c>
      <c r="R20" s="8">
        <v>11</v>
      </c>
    </row>
    <row r="21" spans="2:18" ht="27.95">
      <c r="B21" s="680"/>
      <c r="C21" s="681"/>
      <c r="D21" s="6" t="s">
        <v>924</v>
      </c>
      <c r="E21" s="7">
        <v>1000000</v>
      </c>
      <c r="F21" s="6" t="s">
        <v>925</v>
      </c>
      <c r="G21" s="8">
        <v>7777</v>
      </c>
      <c r="H21" s="6" t="s">
        <v>926</v>
      </c>
      <c r="I21" s="6" t="s">
        <v>927</v>
      </c>
      <c r="J21" s="16">
        <v>40242</v>
      </c>
      <c r="K21" s="8">
        <v>18</v>
      </c>
      <c r="L21" s="16">
        <v>40242</v>
      </c>
      <c r="M21" s="8" t="s">
        <v>928</v>
      </c>
      <c r="N21" s="7">
        <v>200000</v>
      </c>
      <c r="O21" s="7">
        <v>20000</v>
      </c>
      <c r="P21" s="7">
        <f t="shared" si="0"/>
        <v>180000</v>
      </c>
      <c r="Q21" s="7"/>
      <c r="R21" s="8">
        <v>13</v>
      </c>
    </row>
    <row r="22" spans="2:18" ht="14.1">
      <c r="B22" s="680"/>
      <c r="C22" s="681"/>
      <c r="D22" s="6"/>
      <c r="E22" s="7"/>
      <c r="F22" s="6" t="s">
        <v>929</v>
      </c>
      <c r="G22" s="8">
        <v>8888</v>
      </c>
      <c r="H22" s="6" t="s">
        <v>930</v>
      </c>
      <c r="I22" s="6" t="s">
        <v>931</v>
      </c>
      <c r="J22" s="16">
        <v>40249</v>
      </c>
      <c r="K22" s="8">
        <v>31</v>
      </c>
      <c r="L22" s="16">
        <v>40250</v>
      </c>
      <c r="M22" s="8" t="s">
        <v>932</v>
      </c>
      <c r="N22" s="7">
        <v>800000</v>
      </c>
      <c r="O22" s="7">
        <v>28000</v>
      </c>
      <c r="P22" s="7">
        <f t="shared" si="0"/>
        <v>772000</v>
      </c>
      <c r="Q22" s="7">
        <f>+E21-N21-N22</f>
        <v>0</v>
      </c>
      <c r="R22" s="8">
        <v>15</v>
      </c>
    </row>
    <row r="23" spans="2:18">
      <c r="B23" s="680"/>
      <c r="C23" s="681"/>
      <c r="D23" s="6"/>
      <c r="E23" s="7"/>
      <c r="F23" s="6"/>
      <c r="G23" s="8"/>
      <c r="H23" s="6"/>
      <c r="I23" s="6"/>
      <c r="J23" s="8"/>
      <c r="K23" s="8"/>
      <c r="L23" s="8"/>
      <c r="M23" s="8"/>
      <c r="N23" s="7"/>
      <c r="O23" s="7"/>
      <c r="P23" s="7"/>
      <c r="Q23" s="7"/>
      <c r="R23" s="8"/>
    </row>
    <row r="24" spans="2:18">
      <c r="B24" s="680"/>
      <c r="C24" s="681"/>
      <c r="D24" s="6"/>
      <c r="E24" s="7"/>
      <c r="F24" s="6"/>
      <c r="G24" s="8"/>
      <c r="H24" s="6"/>
      <c r="I24" s="6"/>
      <c r="J24" s="8"/>
      <c r="K24" s="8"/>
      <c r="L24" s="8"/>
      <c r="M24" s="8"/>
      <c r="N24" s="7"/>
      <c r="O24" s="7"/>
      <c r="P24" s="7"/>
      <c r="Q24" s="7"/>
      <c r="R24" s="8"/>
    </row>
    <row r="25" spans="2:18">
      <c r="B25" s="4"/>
      <c r="C25" s="9">
        <f>SUM(C16:C24)</f>
        <v>10000000</v>
      </c>
      <c r="D25" s="10"/>
      <c r="E25" s="11">
        <f>SUM(E16:E24)</f>
        <v>10000000</v>
      </c>
      <c r="F25" s="10"/>
      <c r="G25" s="12"/>
      <c r="H25" s="10"/>
      <c r="I25" s="10"/>
      <c r="J25" s="12"/>
      <c r="K25" s="12"/>
      <c r="L25" s="12"/>
      <c r="M25" s="12"/>
      <c r="N25" s="11">
        <f>SUM(N16:N24)</f>
        <v>10000000</v>
      </c>
      <c r="O25" s="11">
        <f>SUM(O16:O24)</f>
        <v>883000</v>
      </c>
      <c r="P25" s="11">
        <f>SUM(P16:P24)</f>
        <v>9117000</v>
      </c>
      <c r="Q25" s="11">
        <f>SUM(Q16:Q24)</f>
        <v>0</v>
      </c>
      <c r="R25" s="12"/>
    </row>
    <row r="26" spans="2:18" ht="27.95">
      <c r="B26" s="680" t="s">
        <v>933</v>
      </c>
      <c r="C26" s="681">
        <v>15000000</v>
      </c>
      <c r="D26" s="6" t="s">
        <v>934</v>
      </c>
      <c r="E26" s="7">
        <v>13200000</v>
      </c>
      <c r="F26" s="6" t="s">
        <v>935</v>
      </c>
      <c r="G26" s="8">
        <v>900999666</v>
      </c>
      <c r="H26" s="6" t="s">
        <v>936</v>
      </c>
      <c r="I26" s="6" t="s">
        <v>937</v>
      </c>
      <c r="J26" s="16">
        <v>40268</v>
      </c>
      <c r="K26" s="8">
        <v>41</v>
      </c>
      <c r="L26" s="16">
        <v>40270</v>
      </c>
      <c r="M26" s="8" t="s">
        <v>938</v>
      </c>
      <c r="N26" s="7">
        <v>1200000</v>
      </c>
      <c r="O26" s="7">
        <v>0</v>
      </c>
      <c r="P26" s="7">
        <f>+N26-O26</f>
        <v>1200000</v>
      </c>
      <c r="Q26" s="7">
        <f>+E26-N26</f>
        <v>12000000</v>
      </c>
      <c r="R26" s="8">
        <v>17</v>
      </c>
    </row>
    <row r="27" spans="2:18">
      <c r="B27" s="680"/>
      <c r="C27" s="681"/>
      <c r="D27" s="6"/>
      <c r="E27" s="7"/>
      <c r="F27" s="6"/>
      <c r="G27" s="8"/>
      <c r="H27" s="6"/>
      <c r="I27" s="6"/>
      <c r="J27" s="8"/>
      <c r="K27" s="8"/>
      <c r="L27" s="8"/>
      <c r="M27" s="8"/>
      <c r="N27" s="7"/>
      <c r="O27" s="7"/>
      <c r="P27" s="7"/>
      <c r="Q27" s="7"/>
      <c r="R27" s="8"/>
    </row>
    <row r="28" spans="2:18">
      <c r="B28" s="680"/>
      <c r="C28" s="681"/>
      <c r="D28" s="6"/>
      <c r="E28" s="7"/>
      <c r="F28" s="6"/>
      <c r="G28" s="8"/>
      <c r="H28" s="6"/>
      <c r="I28" s="6"/>
      <c r="J28" s="8"/>
      <c r="K28" s="8"/>
      <c r="L28" s="8"/>
      <c r="M28" s="8"/>
      <c r="N28" s="7"/>
      <c r="O28" s="7"/>
      <c r="P28" s="7"/>
      <c r="Q28" s="7"/>
      <c r="R28" s="8"/>
    </row>
    <row r="29" spans="2:18">
      <c r="B29" s="680"/>
      <c r="C29" s="681"/>
      <c r="D29" s="6"/>
      <c r="E29" s="7"/>
      <c r="F29" s="6"/>
      <c r="G29" s="8"/>
      <c r="H29" s="6"/>
      <c r="I29" s="6"/>
      <c r="J29" s="8"/>
      <c r="K29" s="8"/>
      <c r="L29" s="8"/>
      <c r="M29" s="8"/>
      <c r="N29" s="7"/>
      <c r="O29" s="7"/>
      <c r="P29" s="7"/>
      <c r="Q29" s="7"/>
      <c r="R29" s="8"/>
    </row>
    <row r="30" spans="2:18" ht="14.1">
      <c r="B30" s="680"/>
      <c r="C30" s="681"/>
      <c r="D30" s="6" t="s">
        <v>939</v>
      </c>
      <c r="E30" s="7">
        <v>1000000</v>
      </c>
      <c r="F30" s="6"/>
      <c r="G30" s="8"/>
      <c r="H30" s="6"/>
      <c r="I30" s="6"/>
      <c r="J30" s="8"/>
      <c r="K30" s="8"/>
      <c r="L30" s="8"/>
      <c r="M30" s="8"/>
      <c r="N30" s="7"/>
      <c r="O30" s="7"/>
      <c r="P30" s="7"/>
      <c r="Q30" s="7">
        <f>+E30-N30</f>
        <v>1000000</v>
      </c>
      <c r="R30" s="8"/>
    </row>
    <row r="31" spans="2:18">
      <c r="B31" s="680"/>
      <c r="C31" s="681"/>
      <c r="D31" s="6"/>
      <c r="E31" s="7"/>
      <c r="F31" s="6"/>
      <c r="G31" s="8"/>
      <c r="H31" s="6"/>
      <c r="I31" s="6"/>
      <c r="J31" s="8"/>
      <c r="K31" s="8"/>
      <c r="L31" s="8"/>
      <c r="M31" s="8"/>
      <c r="N31" s="7"/>
      <c r="O31" s="7"/>
      <c r="P31" s="7"/>
      <c r="Q31" s="7"/>
      <c r="R31" s="8"/>
    </row>
    <row r="32" spans="2:18">
      <c r="B32" s="680"/>
      <c r="C32" s="681"/>
      <c r="D32" s="6"/>
      <c r="E32" s="7"/>
      <c r="F32" s="6"/>
      <c r="G32" s="8"/>
      <c r="H32" s="6"/>
      <c r="I32" s="6"/>
      <c r="J32" s="8"/>
      <c r="K32" s="8"/>
      <c r="L32" s="8"/>
      <c r="M32" s="8"/>
      <c r="N32" s="7"/>
      <c r="O32" s="7"/>
      <c r="P32" s="7"/>
      <c r="Q32" s="7"/>
      <c r="R32" s="8"/>
    </row>
    <row r="33" spans="2:18" ht="14.1">
      <c r="B33" s="680"/>
      <c r="C33" s="681"/>
      <c r="D33" s="6" t="s">
        <v>940</v>
      </c>
      <c r="E33" s="7">
        <v>800000</v>
      </c>
      <c r="F33" s="6"/>
      <c r="G33" s="8"/>
      <c r="H33" s="6"/>
      <c r="I33" s="6"/>
      <c r="J33" s="8"/>
      <c r="K33" s="8"/>
      <c r="L33" s="8"/>
      <c r="M33" s="8"/>
      <c r="N33" s="7"/>
      <c r="O33" s="7"/>
      <c r="P33" s="7"/>
      <c r="Q33" s="7">
        <f>+E33-N33</f>
        <v>800000</v>
      </c>
      <c r="R33" s="8"/>
    </row>
    <row r="34" spans="2:18">
      <c r="B34" s="680"/>
      <c r="C34" s="681"/>
      <c r="D34" s="6"/>
      <c r="E34" s="7"/>
      <c r="F34" s="6"/>
      <c r="G34" s="8"/>
      <c r="H34" s="6"/>
      <c r="I34" s="6"/>
      <c r="J34" s="8"/>
      <c r="K34" s="8"/>
      <c r="L34" s="8"/>
      <c r="M34" s="8"/>
      <c r="N34" s="7"/>
      <c r="O34" s="7"/>
      <c r="P34" s="7"/>
      <c r="Q34" s="7"/>
      <c r="R34" s="8"/>
    </row>
    <row r="35" spans="2:18">
      <c r="B35" s="4"/>
      <c r="C35" s="9">
        <f>SUM(C26:C34)</f>
        <v>15000000</v>
      </c>
      <c r="D35" s="10"/>
      <c r="E35" s="11">
        <f>SUM(E26:E34)</f>
        <v>15000000</v>
      </c>
      <c r="F35" s="10"/>
      <c r="G35" s="12"/>
      <c r="H35" s="10"/>
      <c r="I35" s="10"/>
      <c r="J35" s="12"/>
      <c r="K35" s="12"/>
      <c r="L35" s="12"/>
      <c r="M35" s="12"/>
      <c r="N35" s="11">
        <f>SUM(N26:N34)</f>
        <v>1200000</v>
      </c>
      <c r="O35" s="11">
        <f>SUM(O26:O34)</f>
        <v>0</v>
      </c>
      <c r="P35" s="11">
        <f>SUM(P26:P34)</f>
        <v>1200000</v>
      </c>
      <c r="Q35" s="11">
        <f>SUM(Q26:Q34)</f>
        <v>13800000</v>
      </c>
      <c r="R35" s="12"/>
    </row>
    <row r="36" spans="2:18" ht="27.95">
      <c r="B36" s="680" t="s">
        <v>941</v>
      </c>
      <c r="C36" s="681">
        <v>5000000</v>
      </c>
      <c r="D36" s="6" t="s">
        <v>942</v>
      </c>
      <c r="E36" s="7">
        <v>2000000</v>
      </c>
      <c r="F36" s="6" t="s">
        <v>943</v>
      </c>
      <c r="G36" s="8">
        <v>65432</v>
      </c>
      <c r="H36" s="6" t="s">
        <v>944</v>
      </c>
      <c r="I36" s="6" t="s">
        <v>927</v>
      </c>
      <c r="J36" s="16">
        <v>40273</v>
      </c>
      <c r="K36" s="8">
        <v>53</v>
      </c>
      <c r="L36" s="16">
        <v>40274</v>
      </c>
      <c r="M36" s="8" t="s">
        <v>945</v>
      </c>
      <c r="N36" s="7">
        <v>500000</v>
      </c>
      <c r="O36" s="7">
        <v>50000</v>
      </c>
      <c r="P36" s="7">
        <f>+N36-O36</f>
        <v>450000</v>
      </c>
      <c r="Q36" s="7">
        <f>+E36-N36</f>
        <v>1500000</v>
      </c>
      <c r="R36" s="8">
        <v>19</v>
      </c>
    </row>
    <row r="37" spans="2:18">
      <c r="B37" s="680"/>
      <c r="C37" s="681"/>
      <c r="D37" s="6"/>
      <c r="E37" s="7"/>
      <c r="F37" s="6"/>
      <c r="G37" s="8"/>
      <c r="H37" s="6"/>
      <c r="I37" s="6"/>
      <c r="J37" s="8"/>
      <c r="K37" s="8"/>
      <c r="L37" s="8"/>
      <c r="M37" s="8"/>
      <c r="N37" s="7"/>
      <c r="O37" s="7"/>
      <c r="P37" s="7"/>
      <c r="Q37" s="7"/>
      <c r="R37" s="8"/>
    </row>
    <row r="38" spans="2:18">
      <c r="B38" s="680"/>
      <c r="C38" s="681"/>
      <c r="D38" s="6"/>
      <c r="E38" s="7"/>
      <c r="F38" s="6"/>
      <c r="G38" s="8"/>
      <c r="H38" s="6"/>
      <c r="I38" s="6"/>
      <c r="J38" s="8"/>
      <c r="K38" s="8"/>
      <c r="L38" s="8"/>
      <c r="M38" s="8"/>
      <c r="N38" s="7"/>
      <c r="O38" s="7"/>
      <c r="P38" s="7"/>
      <c r="Q38" s="7"/>
      <c r="R38" s="8"/>
    </row>
    <row r="39" spans="2:18" ht="14.1">
      <c r="B39" s="680"/>
      <c r="C39" s="681"/>
      <c r="D39" s="6" t="s">
        <v>946</v>
      </c>
      <c r="E39" s="7">
        <v>500000</v>
      </c>
      <c r="F39" s="6"/>
      <c r="G39" s="8"/>
      <c r="H39" s="6"/>
      <c r="I39" s="6"/>
      <c r="J39" s="8"/>
      <c r="K39" s="8"/>
      <c r="L39" s="8"/>
      <c r="M39" s="8"/>
      <c r="N39" s="7"/>
      <c r="O39" s="7"/>
      <c r="P39" s="7"/>
      <c r="Q39" s="7">
        <f>+E39-N39</f>
        <v>500000</v>
      </c>
      <c r="R39" s="8"/>
    </row>
    <row r="40" spans="2:18">
      <c r="B40" s="680"/>
      <c r="C40" s="681"/>
      <c r="D40" s="6"/>
      <c r="E40" s="7"/>
      <c r="F40" s="6"/>
      <c r="G40" s="8"/>
      <c r="H40" s="6"/>
      <c r="I40" s="6"/>
      <c r="J40" s="8"/>
      <c r="K40" s="8"/>
      <c r="L40" s="8"/>
      <c r="M40" s="8"/>
      <c r="N40" s="7"/>
      <c r="O40" s="7"/>
      <c r="P40" s="7"/>
      <c r="Q40" s="7"/>
      <c r="R40" s="8"/>
    </row>
    <row r="41" spans="2:18">
      <c r="B41" s="680"/>
      <c r="C41" s="681"/>
      <c r="D41" s="6"/>
      <c r="E41" s="7"/>
      <c r="F41" s="6"/>
      <c r="G41" s="8"/>
      <c r="H41" s="6"/>
      <c r="I41" s="6"/>
      <c r="J41" s="8"/>
      <c r="K41" s="8"/>
      <c r="L41" s="8"/>
      <c r="M41" s="8"/>
      <c r="N41" s="7"/>
      <c r="O41" s="7"/>
      <c r="P41" s="7"/>
      <c r="Q41" s="7"/>
      <c r="R41" s="8"/>
    </row>
    <row r="42" spans="2:18" ht="27.95">
      <c r="B42" s="680"/>
      <c r="C42" s="681"/>
      <c r="D42" s="6" t="s">
        <v>947</v>
      </c>
      <c r="E42" s="7">
        <v>2500000</v>
      </c>
      <c r="F42" s="6"/>
      <c r="G42" s="8"/>
      <c r="H42" s="6"/>
      <c r="I42" s="6"/>
      <c r="J42" s="8"/>
      <c r="K42" s="8"/>
      <c r="L42" s="8"/>
      <c r="M42" s="8"/>
      <c r="N42" s="7"/>
      <c r="O42" s="7"/>
      <c r="P42" s="7"/>
      <c r="Q42" s="7">
        <f>+E42-N42</f>
        <v>2500000</v>
      </c>
      <c r="R42" s="8"/>
    </row>
    <row r="43" spans="2:18">
      <c r="B43" s="680"/>
      <c r="C43" s="681"/>
      <c r="D43" s="6"/>
      <c r="E43" s="7"/>
      <c r="F43" s="6"/>
      <c r="G43" s="8"/>
      <c r="H43" s="6"/>
      <c r="I43" s="6"/>
      <c r="J43" s="8"/>
      <c r="K43" s="8"/>
      <c r="L43" s="8"/>
      <c r="M43" s="8"/>
      <c r="N43" s="7"/>
      <c r="O43" s="7"/>
      <c r="P43" s="7"/>
      <c r="Q43" s="7"/>
      <c r="R43" s="8"/>
    </row>
    <row r="44" spans="2:18">
      <c r="B44" s="680"/>
      <c r="C44" s="681"/>
      <c r="D44" s="6"/>
      <c r="E44" s="7"/>
      <c r="F44" s="6"/>
      <c r="G44" s="8"/>
      <c r="H44" s="6"/>
      <c r="I44" s="6"/>
      <c r="J44" s="8"/>
      <c r="K44" s="8"/>
      <c r="L44" s="8"/>
      <c r="M44" s="8"/>
      <c r="N44" s="7"/>
      <c r="O44" s="7"/>
      <c r="P44" s="7"/>
      <c r="Q44" s="7"/>
      <c r="R44" s="8"/>
    </row>
    <row r="45" spans="2:18">
      <c r="B45" s="4"/>
      <c r="C45" s="9">
        <f>SUM(C36:C44)</f>
        <v>5000000</v>
      </c>
      <c r="D45" s="10"/>
      <c r="E45" s="11">
        <f>SUM(E36:E44)</f>
        <v>5000000</v>
      </c>
      <c r="F45" s="10"/>
      <c r="G45" s="12"/>
      <c r="H45" s="10"/>
      <c r="I45" s="10"/>
      <c r="J45" s="12"/>
      <c r="K45" s="12"/>
      <c r="L45" s="12"/>
      <c r="M45" s="12"/>
      <c r="N45" s="11">
        <f>SUM(N36:N44)</f>
        <v>500000</v>
      </c>
      <c r="O45" s="11">
        <f>SUM(O36:O44)</f>
        <v>50000</v>
      </c>
      <c r="P45" s="11">
        <f>SUM(P36:P44)</f>
        <v>450000</v>
      </c>
      <c r="Q45" s="11">
        <f>SUM(Q36:Q44)</f>
        <v>4500000</v>
      </c>
      <c r="R45" s="12"/>
    </row>
    <row r="46" spans="2:18" ht="14.1">
      <c r="B46" s="680" t="s">
        <v>948</v>
      </c>
      <c r="C46" s="681">
        <v>1500000</v>
      </c>
      <c r="D46" s="6" t="s">
        <v>949</v>
      </c>
      <c r="E46" s="7">
        <v>800000</v>
      </c>
      <c r="F46" s="6" t="s">
        <v>950</v>
      </c>
      <c r="G46" s="8">
        <v>860456456</v>
      </c>
      <c r="H46" s="6" t="s">
        <v>951</v>
      </c>
      <c r="I46" s="6" t="s">
        <v>952</v>
      </c>
      <c r="J46" s="16">
        <v>40278</v>
      </c>
      <c r="K46" s="8">
        <v>65</v>
      </c>
      <c r="L46" s="16">
        <v>40279</v>
      </c>
      <c r="M46" s="8" t="s">
        <v>953</v>
      </c>
      <c r="N46" s="7">
        <v>400000</v>
      </c>
      <c r="O46" s="7">
        <v>14000</v>
      </c>
      <c r="P46" s="7">
        <f>+N46-O46</f>
        <v>386000</v>
      </c>
      <c r="Q46" s="7">
        <f>+E46-N46</f>
        <v>400000</v>
      </c>
      <c r="R46" s="8">
        <v>20</v>
      </c>
    </row>
    <row r="47" spans="2:18" ht="14.1">
      <c r="B47" s="680"/>
      <c r="C47" s="681"/>
      <c r="D47" s="6" t="s">
        <v>954</v>
      </c>
      <c r="E47" s="7">
        <v>200000</v>
      </c>
      <c r="F47" s="6" t="s">
        <v>950</v>
      </c>
      <c r="G47" s="8">
        <v>860456456</v>
      </c>
      <c r="H47" s="6" t="s">
        <v>951</v>
      </c>
      <c r="I47" s="6" t="s">
        <v>952</v>
      </c>
      <c r="J47" s="16">
        <v>40278</v>
      </c>
      <c r="K47" s="8">
        <v>65</v>
      </c>
      <c r="L47" s="16">
        <v>40279</v>
      </c>
      <c r="M47" s="8" t="s">
        <v>953</v>
      </c>
      <c r="N47" s="7">
        <v>100000</v>
      </c>
      <c r="O47" s="7">
        <v>3500</v>
      </c>
      <c r="P47" s="7">
        <f>+N47-O47</f>
        <v>96500</v>
      </c>
      <c r="Q47" s="7">
        <f>+E47-N47</f>
        <v>100000</v>
      </c>
      <c r="R47" s="8">
        <v>20</v>
      </c>
    </row>
    <row r="48" spans="2:18" ht="14.1">
      <c r="B48" s="680"/>
      <c r="C48" s="681"/>
      <c r="D48" s="6" t="s">
        <v>955</v>
      </c>
      <c r="E48" s="7">
        <v>500000</v>
      </c>
      <c r="F48" s="6" t="s">
        <v>950</v>
      </c>
      <c r="G48" s="8">
        <v>860456456</v>
      </c>
      <c r="H48" s="6" t="s">
        <v>951</v>
      </c>
      <c r="I48" s="6" t="s">
        <v>952</v>
      </c>
      <c r="J48" s="16">
        <v>40278</v>
      </c>
      <c r="K48" s="8">
        <v>65</v>
      </c>
      <c r="L48" s="16">
        <v>40279</v>
      </c>
      <c r="M48" s="8" t="s">
        <v>953</v>
      </c>
      <c r="N48" s="7">
        <v>250000</v>
      </c>
      <c r="O48" s="7">
        <v>9250</v>
      </c>
      <c r="P48" s="7">
        <f>+N48-O48</f>
        <v>240750</v>
      </c>
      <c r="Q48" s="7">
        <f>+E48-N48</f>
        <v>250000</v>
      </c>
      <c r="R48" s="8">
        <v>20</v>
      </c>
    </row>
    <row r="49" spans="2:18">
      <c r="B49" s="680"/>
      <c r="C49" s="681"/>
      <c r="D49" s="6"/>
      <c r="E49" s="7"/>
      <c r="F49" s="6"/>
      <c r="G49" s="8"/>
      <c r="H49" s="6"/>
      <c r="I49" s="6"/>
      <c r="J49" s="8"/>
      <c r="K49" s="8"/>
      <c r="L49" s="8"/>
      <c r="M49" s="8"/>
      <c r="N49" s="7"/>
      <c r="O49" s="7"/>
      <c r="P49" s="7"/>
      <c r="Q49" s="7"/>
      <c r="R49" s="8"/>
    </row>
    <row r="50" spans="2:18">
      <c r="B50" s="680"/>
      <c r="C50" s="681"/>
      <c r="D50" s="6"/>
      <c r="E50" s="7"/>
      <c r="F50" s="6"/>
      <c r="G50" s="8"/>
      <c r="H50" s="6"/>
      <c r="I50" s="6"/>
      <c r="J50" s="8"/>
      <c r="K50" s="8"/>
      <c r="L50" s="8"/>
      <c r="M50" s="8"/>
      <c r="N50" s="7"/>
      <c r="O50" s="7"/>
      <c r="P50" s="7"/>
      <c r="Q50" s="7"/>
      <c r="R50" s="8"/>
    </row>
    <row r="51" spans="2:18">
      <c r="B51" s="680"/>
      <c r="C51" s="681"/>
      <c r="D51" s="6"/>
      <c r="E51" s="7"/>
      <c r="F51" s="6"/>
      <c r="G51" s="8"/>
      <c r="H51" s="6"/>
      <c r="I51" s="6"/>
      <c r="J51" s="8"/>
      <c r="K51" s="8"/>
      <c r="L51" s="8"/>
      <c r="M51" s="8"/>
      <c r="N51" s="7"/>
      <c r="O51" s="7"/>
      <c r="P51" s="7"/>
      <c r="Q51" s="7"/>
      <c r="R51" s="8"/>
    </row>
    <row r="52" spans="2:18">
      <c r="B52" s="680"/>
      <c r="C52" s="681"/>
      <c r="D52" s="6"/>
      <c r="E52" s="7"/>
      <c r="F52" s="6"/>
      <c r="G52" s="8"/>
      <c r="H52" s="6"/>
      <c r="I52" s="6"/>
      <c r="J52" s="8"/>
      <c r="K52" s="8"/>
      <c r="L52" s="8"/>
      <c r="M52" s="8"/>
      <c r="N52" s="7"/>
      <c r="O52" s="7"/>
      <c r="P52" s="7"/>
      <c r="Q52" s="7"/>
      <c r="R52" s="8"/>
    </row>
    <row r="53" spans="2:18">
      <c r="B53" s="680"/>
      <c r="C53" s="681"/>
      <c r="D53" s="6"/>
      <c r="E53" s="7"/>
      <c r="F53" s="6"/>
      <c r="G53" s="8"/>
      <c r="H53" s="6"/>
      <c r="I53" s="6"/>
      <c r="J53" s="8"/>
      <c r="K53" s="8"/>
      <c r="L53" s="8"/>
      <c r="M53" s="8"/>
      <c r="N53" s="7"/>
      <c r="O53" s="7"/>
      <c r="P53" s="7"/>
      <c r="Q53" s="7"/>
      <c r="R53" s="8"/>
    </row>
    <row r="54" spans="2:18">
      <c r="B54" s="680"/>
      <c r="C54" s="681"/>
      <c r="D54" s="6"/>
      <c r="E54" s="7"/>
      <c r="F54" s="6"/>
      <c r="G54" s="8"/>
      <c r="H54" s="6"/>
      <c r="I54" s="6"/>
      <c r="J54" s="8"/>
      <c r="K54" s="8"/>
      <c r="L54" s="8"/>
      <c r="M54" s="8"/>
      <c r="N54" s="7"/>
      <c r="O54" s="7"/>
      <c r="P54" s="7"/>
      <c r="Q54" s="7"/>
      <c r="R54" s="8"/>
    </row>
    <row r="55" spans="2:18">
      <c r="B55" s="4"/>
      <c r="C55" s="9">
        <f>SUM(C46:C54)</f>
        <v>1500000</v>
      </c>
      <c r="D55" s="10"/>
      <c r="E55" s="11">
        <f>SUM(E46:E54)</f>
        <v>1500000</v>
      </c>
      <c r="F55" s="10"/>
      <c r="G55" s="12"/>
      <c r="H55" s="10"/>
      <c r="I55" s="10"/>
      <c r="J55" s="12"/>
      <c r="K55" s="12"/>
      <c r="L55" s="12"/>
      <c r="M55" s="12"/>
      <c r="N55" s="11">
        <f>SUM(N46:N54)</f>
        <v>750000</v>
      </c>
      <c r="O55" s="11">
        <f>SUM(O46:O54)</f>
        <v>26750</v>
      </c>
      <c r="P55" s="11">
        <f>SUM(P46:P54)</f>
        <v>723250</v>
      </c>
      <c r="Q55" s="11">
        <f>SUM(Q46:Q54)</f>
        <v>750000</v>
      </c>
      <c r="R55" s="12"/>
    </row>
    <row r="56" spans="2:18" ht="14.1">
      <c r="B56" s="680" t="s">
        <v>956</v>
      </c>
      <c r="C56" s="681">
        <v>2500000</v>
      </c>
      <c r="D56" s="6" t="s">
        <v>957</v>
      </c>
      <c r="E56" s="7">
        <v>2000000</v>
      </c>
      <c r="F56" s="6"/>
      <c r="G56" s="8"/>
      <c r="H56" s="6"/>
      <c r="I56" s="6"/>
      <c r="J56" s="8"/>
      <c r="K56" s="8"/>
      <c r="L56" s="8"/>
      <c r="M56" s="8"/>
      <c r="N56" s="7"/>
      <c r="O56" s="7"/>
      <c r="P56" s="7"/>
      <c r="Q56" s="7">
        <f>+E56-N56</f>
        <v>2000000</v>
      </c>
      <c r="R56" s="8"/>
    </row>
    <row r="57" spans="2:18">
      <c r="B57" s="680"/>
      <c r="C57" s="681"/>
      <c r="D57" s="6"/>
      <c r="E57" s="7"/>
      <c r="F57" s="6"/>
      <c r="G57" s="8"/>
      <c r="H57" s="6"/>
      <c r="I57" s="6"/>
      <c r="J57" s="8"/>
      <c r="K57" s="8"/>
      <c r="L57" s="8"/>
      <c r="M57" s="8"/>
      <c r="N57" s="7"/>
      <c r="O57" s="7"/>
      <c r="P57" s="7"/>
      <c r="Q57" s="7"/>
      <c r="R57" s="8"/>
    </row>
    <row r="58" spans="2:18" ht="27.95">
      <c r="B58" s="680"/>
      <c r="C58" s="681"/>
      <c r="D58" s="6" t="s">
        <v>958</v>
      </c>
      <c r="E58" s="7">
        <v>200000</v>
      </c>
      <c r="F58" s="6"/>
      <c r="G58" s="8"/>
      <c r="H58" s="6"/>
      <c r="I58" s="6"/>
      <c r="J58" s="8"/>
      <c r="K58" s="8"/>
      <c r="L58" s="8"/>
      <c r="M58" s="8"/>
      <c r="N58" s="7"/>
      <c r="O58" s="7"/>
      <c r="P58" s="7"/>
      <c r="Q58" s="7">
        <f>+E58-N58</f>
        <v>200000</v>
      </c>
      <c r="R58" s="8"/>
    </row>
    <row r="59" spans="2:18">
      <c r="B59" s="680"/>
      <c r="C59" s="681"/>
      <c r="D59" s="6"/>
      <c r="E59" s="7"/>
      <c r="F59" s="6"/>
      <c r="G59" s="8"/>
      <c r="H59" s="6"/>
      <c r="I59" s="6"/>
      <c r="J59" s="8"/>
      <c r="K59" s="8"/>
      <c r="L59" s="8"/>
      <c r="M59" s="8"/>
      <c r="N59" s="7"/>
      <c r="O59" s="7"/>
      <c r="P59" s="7"/>
      <c r="Q59" s="7"/>
      <c r="R59" s="8"/>
    </row>
    <row r="60" spans="2:18" ht="27.95">
      <c r="B60" s="680"/>
      <c r="C60" s="681"/>
      <c r="D60" s="6" t="s">
        <v>959</v>
      </c>
      <c r="E60" s="7">
        <v>300000</v>
      </c>
      <c r="F60" s="6"/>
      <c r="G60" s="8"/>
      <c r="H60" s="6"/>
      <c r="I60" s="6"/>
      <c r="J60" s="8"/>
      <c r="K60" s="8"/>
      <c r="L60" s="8"/>
      <c r="M60" s="8"/>
      <c r="N60" s="7"/>
      <c r="O60" s="7"/>
      <c r="P60" s="7"/>
      <c r="Q60" s="7">
        <f>+E60-N60</f>
        <v>300000</v>
      </c>
      <c r="R60" s="8"/>
    </row>
    <row r="61" spans="2:18">
      <c r="B61" s="680"/>
      <c r="C61" s="681"/>
      <c r="D61" s="6"/>
      <c r="E61" s="7"/>
      <c r="F61" s="6"/>
      <c r="G61" s="8"/>
      <c r="H61" s="6"/>
      <c r="I61" s="6"/>
      <c r="J61" s="8"/>
      <c r="K61" s="8"/>
      <c r="L61" s="8"/>
      <c r="M61" s="8"/>
      <c r="N61" s="7"/>
      <c r="O61" s="7"/>
      <c r="P61" s="7"/>
      <c r="Q61" s="7"/>
      <c r="R61" s="8"/>
    </row>
    <row r="62" spans="2:18">
      <c r="B62" s="680"/>
      <c r="C62" s="681"/>
      <c r="D62" s="6"/>
      <c r="E62" s="7"/>
      <c r="F62" s="6"/>
      <c r="G62" s="8"/>
      <c r="H62" s="6"/>
      <c r="I62" s="6"/>
      <c r="J62" s="8"/>
      <c r="K62" s="8"/>
      <c r="L62" s="8"/>
      <c r="M62" s="8"/>
      <c r="N62" s="7"/>
      <c r="O62" s="7"/>
      <c r="P62" s="7"/>
      <c r="Q62" s="7"/>
      <c r="R62" s="8"/>
    </row>
    <row r="63" spans="2:18">
      <c r="B63" s="680"/>
      <c r="C63" s="681"/>
      <c r="D63" s="6"/>
      <c r="E63" s="7"/>
      <c r="F63" s="6"/>
      <c r="G63" s="8"/>
      <c r="H63" s="6"/>
      <c r="I63" s="6"/>
      <c r="J63" s="8"/>
      <c r="K63" s="8"/>
      <c r="L63" s="8"/>
      <c r="M63" s="8"/>
      <c r="N63" s="7"/>
      <c r="O63" s="7"/>
      <c r="P63" s="7"/>
      <c r="Q63" s="7"/>
      <c r="R63" s="8"/>
    </row>
    <row r="64" spans="2:18">
      <c r="B64" s="680"/>
      <c r="C64" s="681"/>
      <c r="D64" s="6"/>
      <c r="E64" s="7"/>
      <c r="F64" s="6"/>
      <c r="G64" s="8"/>
      <c r="H64" s="6"/>
      <c r="I64" s="6"/>
      <c r="J64" s="8"/>
      <c r="K64" s="8"/>
      <c r="L64" s="8"/>
      <c r="M64" s="8"/>
      <c r="N64" s="7"/>
      <c r="O64" s="7"/>
      <c r="P64" s="7"/>
      <c r="Q64" s="7"/>
      <c r="R64" s="8"/>
    </row>
    <row r="65" spans="1:18">
      <c r="B65" s="12"/>
      <c r="C65" s="9">
        <f>SUM(C56:C64)</f>
        <v>2500000</v>
      </c>
      <c r="D65" s="10"/>
      <c r="E65" s="11">
        <f>SUM(E56:E64)</f>
        <v>2500000</v>
      </c>
      <c r="F65" s="10"/>
      <c r="G65" s="12"/>
      <c r="H65" s="10"/>
      <c r="I65" s="12"/>
      <c r="J65" s="12"/>
      <c r="K65" s="12"/>
      <c r="L65" s="12"/>
      <c r="M65" s="12"/>
      <c r="N65" s="11">
        <f>SUM(N56:N64)</f>
        <v>0</v>
      </c>
      <c r="O65" s="11">
        <f>SUM(O56:O64)</f>
        <v>0</v>
      </c>
      <c r="P65" s="11">
        <f>SUM(P56:P64)</f>
        <v>0</v>
      </c>
      <c r="Q65" s="11">
        <f>SUM(Q56:Q64)</f>
        <v>2500000</v>
      </c>
      <c r="R65" s="12"/>
    </row>
    <row r="66" spans="1:18">
      <c r="B66" s="12"/>
      <c r="C66" s="11">
        <f>SUM(C65,C55,C45,C35,C25)</f>
        <v>34000000</v>
      </c>
      <c r="D66" s="10"/>
      <c r="E66" s="11">
        <f>SUM(E65,E55,E45,E35,E25)</f>
        <v>34000000</v>
      </c>
      <c r="F66" s="10"/>
      <c r="G66" s="12"/>
      <c r="H66" s="10"/>
      <c r="I66" s="12"/>
      <c r="J66" s="12"/>
      <c r="K66" s="12"/>
      <c r="L66" s="12"/>
      <c r="M66" s="12"/>
      <c r="N66" s="11">
        <f>SUM(N65,N55,N45,N35,N25)</f>
        <v>12450000</v>
      </c>
      <c r="O66" s="11">
        <f>SUM(O65,O55,O45,O35,O25)</f>
        <v>959750</v>
      </c>
      <c r="P66" s="11">
        <f>SUM(P65,P55,P45,P35,P25)</f>
        <v>11490250</v>
      </c>
      <c r="Q66" s="11">
        <f>SUM(Q65,Q55,Q45,Q35,Q25)</f>
        <v>21550000</v>
      </c>
      <c r="R66" s="12"/>
    </row>
    <row r="68" spans="1:18">
      <c r="B68" s="676" t="s">
        <v>960</v>
      </c>
      <c r="C68" s="676"/>
      <c r="D68" s="676"/>
      <c r="E68" s="676"/>
      <c r="F68" s="676"/>
      <c r="G68" s="676"/>
      <c r="H68" s="676"/>
      <c r="I68" s="676"/>
      <c r="J68" s="676"/>
      <c r="K68" s="676"/>
      <c r="L68" s="676"/>
      <c r="M68" s="676"/>
      <c r="N68" s="676"/>
      <c r="O68" s="676"/>
      <c r="P68" s="676"/>
      <c r="Q68" s="676"/>
      <c r="R68" s="676"/>
    </row>
    <row r="69" spans="1:18">
      <c r="B69" s="676"/>
      <c r="C69" s="676"/>
      <c r="D69" s="676"/>
      <c r="E69" s="676"/>
      <c r="F69" s="676"/>
      <c r="G69" s="676"/>
      <c r="H69" s="676"/>
      <c r="I69" s="676"/>
      <c r="J69" s="676"/>
      <c r="K69" s="676"/>
      <c r="L69" s="676"/>
      <c r="M69" s="676"/>
      <c r="N69" s="676"/>
      <c r="O69" s="676"/>
      <c r="P69" s="676"/>
      <c r="Q69" s="676"/>
      <c r="R69" s="676"/>
    </row>
    <row r="70" spans="1:18">
      <c r="B70" s="676"/>
      <c r="C70" s="676"/>
      <c r="D70" s="676"/>
      <c r="E70" s="676"/>
      <c r="F70" s="676"/>
      <c r="G70" s="676"/>
      <c r="H70" s="676"/>
      <c r="I70" s="676"/>
      <c r="J70" s="676"/>
      <c r="K70" s="676"/>
      <c r="L70" s="676"/>
      <c r="M70" s="676"/>
      <c r="N70" s="676"/>
      <c r="O70" s="676"/>
      <c r="P70" s="676"/>
      <c r="Q70" s="676"/>
      <c r="R70" s="676"/>
    </row>
    <row r="71" spans="1:18">
      <c r="B71" s="676"/>
      <c r="C71" s="676"/>
      <c r="D71" s="676"/>
      <c r="E71" s="676"/>
      <c r="F71" s="676"/>
      <c r="G71" s="676"/>
      <c r="H71" s="676"/>
      <c r="I71" s="676"/>
      <c r="J71" s="676"/>
      <c r="K71" s="676"/>
      <c r="L71" s="676"/>
      <c r="M71" s="676"/>
      <c r="N71" s="676"/>
      <c r="O71" s="676"/>
      <c r="P71" s="676"/>
      <c r="Q71" s="676"/>
      <c r="R71" s="676"/>
    </row>
    <row r="73" spans="1:18" ht="12.2" customHeight="1">
      <c r="A73" s="3"/>
      <c r="B73" s="679" t="s">
        <v>961</v>
      </c>
      <c r="C73" s="679"/>
      <c r="D73" s="679"/>
      <c r="E73" s="679"/>
    </row>
    <row r="74" spans="1:18">
      <c r="A74" s="3"/>
      <c r="B74" s="679"/>
      <c r="C74" s="679"/>
      <c r="D74" s="679"/>
      <c r="E74" s="679"/>
    </row>
    <row r="75" spans="1:18">
      <c r="A75" s="3"/>
      <c r="B75" s="679"/>
      <c r="C75" s="679"/>
      <c r="D75" s="679"/>
      <c r="E75" s="679"/>
    </row>
    <row r="76" spans="1:18">
      <c r="A76" s="3"/>
      <c r="B76" s="679"/>
      <c r="C76" s="679"/>
      <c r="D76" s="679"/>
      <c r="E76" s="679"/>
    </row>
    <row r="77" spans="1:18">
      <c r="A77" s="3"/>
      <c r="B77" s="679"/>
      <c r="C77" s="679"/>
      <c r="D77" s="679"/>
      <c r="E77" s="679"/>
      <c r="F77" s="13" t="s">
        <v>874</v>
      </c>
      <c r="G77" s="684"/>
      <c r="H77" s="684"/>
      <c r="I77" s="684"/>
      <c r="L77" s="13" t="s">
        <v>874</v>
      </c>
      <c r="M77" s="684"/>
      <c r="N77" s="684"/>
      <c r="O77" s="684"/>
      <c r="P77" s="684"/>
      <c r="Q77" s="684"/>
    </row>
    <row r="78" spans="1:18">
      <c r="A78" s="3"/>
      <c r="B78" s="679"/>
      <c r="C78" s="679"/>
      <c r="D78" s="679"/>
      <c r="E78" s="679"/>
      <c r="F78" s="13"/>
      <c r="G78" s="1" t="s">
        <v>875</v>
      </c>
      <c r="L78" s="13"/>
      <c r="M78" s="1" t="s">
        <v>875</v>
      </c>
    </row>
    <row r="79" spans="1:18">
      <c r="A79" s="3"/>
      <c r="B79" s="679"/>
      <c r="C79" s="679"/>
      <c r="D79" s="679"/>
      <c r="E79" s="679"/>
      <c r="G79" s="1" t="s">
        <v>878</v>
      </c>
      <c r="M79" s="1" t="s">
        <v>879</v>
      </c>
    </row>
    <row r="80" spans="1:18">
      <c r="A80" s="3"/>
      <c r="B80" s="679"/>
      <c r="C80" s="679"/>
      <c r="D80" s="679"/>
      <c r="E80" s="679"/>
      <c r="G80" s="2" t="s">
        <v>880</v>
      </c>
      <c r="M80" s="2" t="s">
        <v>962</v>
      </c>
    </row>
    <row r="81" spans="1:13">
      <c r="A81" s="3"/>
      <c r="B81" s="679"/>
      <c r="C81" s="679"/>
      <c r="D81" s="679"/>
      <c r="E81" s="679"/>
      <c r="J81"/>
      <c r="L81"/>
      <c r="M81" s="1" t="s">
        <v>882</v>
      </c>
    </row>
    <row r="82" spans="1:13">
      <c r="M82" s="14" t="s">
        <v>884</v>
      </c>
    </row>
  </sheetData>
  <sheetProtection selectLockedCells="1" selectUnlockedCells="1"/>
  <mergeCells count="29">
    <mergeCell ref="B73:E81"/>
    <mergeCell ref="G77:I77"/>
    <mergeCell ref="M77:Q77"/>
    <mergeCell ref="B16:B24"/>
    <mergeCell ref="C16:C24"/>
    <mergeCell ref="B26:B34"/>
    <mergeCell ref="C26:C34"/>
    <mergeCell ref="B36:B44"/>
    <mergeCell ref="C36:C44"/>
    <mergeCell ref="B46:B54"/>
    <mergeCell ref="C46:C54"/>
    <mergeCell ref="B56:B64"/>
    <mergeCell ref="C56:C64"/>
    <mergeCell ref="B68:R71"/>
    <mergeCell ref="B9:D9"/>
    <mergeCell ref="E9:R10"/>
    <mergeCell ref="B12:D12"/>
    <mergeCell ref="E12:R12"/>
    <mergeCell ref="B14:E14"/>
    <mergeCell ref="F14:M14"/>
    <mergeCell ref="N14:P14"/>
    <mergeCell ref="Q14:Q15"/>
    <mergeCell ref="R14:R15"/>
    <mergeCell ref="B1:R1"/>
    <mergeCell ref="B3:R3"/>
    <mergeCell ref="B5:D5"/>
    <mergeCell ref="E5:R5"/>
    <mergeCell ref="B7:D7"/>
    <mergeCell ref="E7:R7"/>
  </mergeCells>
  <pageMargins left="1.2201388888888889" right="0.59027777777777779" top="0.78749999999999998" bottom="0.59027777777777779" header="0.51180555555555551" footer="0.51180555555555551"/>
  <pageSetup paperSize="5" firstPageNumber="0" orientation="landscape" horizontalDpi="300" verticalDpi="300"/>
  <headerFooter alignWithMargins="0"/>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S52"/>
  <sheetViews>
    <sheetView topLeftCell="B1" workbookViewId="0">
      <selection activeCell="B2" sqref="B2:S52"/>
    </sheetView>
  </sheetViews>
  <sheetFormatPr defaultColWidth="11.42578125" defaultRowHeight="12.95"/>
  <sheetData>
    <row r="2" spans="2:19" ht="12.2" customHeight="1">
      <c r="B2" s="682" t="s">
        <v>963</v>
      </c>
      <c r="C2" s="682"/>
      <c r="D2" s="682"/>
      <c r="E2" s="682"/>
      <c r="F2" s="682"/>
      <c r="G2" s="682"/>
      <c r="H2" s="682"/>
      <c r="I2" s="682"/>
      <c r="J2" s="682"/>
      <c r="K2" s="682"/>
      <c r="L2" s="682"/>
      <c r="M2" s="682"/>
      <c r="N2" s="682"/>
      <c r="O2" s="682"/>
      <c r="P2" s="682"/>
      <c r="Q2" s="682"/>
      <c r="R2" s="682"/>
      <c r="S2" s="682"/>
    </row>
    <row r="3" spans="2:19">
      <c r="B3" s="682"/>
      <c r="C3" s="682"/>
      <c r="D3" s="682"/>
      <c r="E3" s="682"/>
      <c r="F3" s="682"/>
      <c r="G3" s="682"/>
      <c r="H3" s="682"/>
      <c r="I3" s="682"/>
      <c r="J3" s="682"/>
      <c r="K3" s="682"/>
      <c r="L3" s="682"/>
      <c r="M3" s="682"/>
      <c r="N3" s="682"/>
      <c r="O3" s="682"/>
      <c r="P3" s="682"/>
      <c r="Q3" s="682"/>
      <c r="R3" s="682"/>
      <c r="S3" s="682"/>
    </row>
    <row r="4" spans="2:19">
      <c r="B4" s="682"/>
      <c r="C4" s="682"/>
      <c r="D4" s="682"/>
      <c r="E4" s="682"/>
      <c r="F4" s="682"/>
      <c r="G4" s="682"/>
      <c r="H4" s="682"/>
      <c r="I4" s="682"/>
      <c r="J4" s="682"/>
      <c r="K4" s="682"/>
      <c r="L4" s="682"/>
      <c r="M4" s="682"/>
      <c r="N4" s="682"/>
      <c r="O4" s="682"/>
      <c r="P4" s="682"/>
      <c r="Q4" s="682"/>
      <c r="R4" s="682"/>
      <c r="S4" s="682"/>
    </row>
    <row r="5" spans="2:19">
      <c r="B5" s="682"/>
      <c r="C5" s="682"/>
      <c r="D5" s="682"/>
      <c r="E5" s="682"/>
      <c r="F5" s="682"/>
      <c r="G5" s="682"/>
      <c r="H5" s="682"/>
      <c r="I5" s="682"/>
      <c r="J5" s="682"/>
      <c r="K5" s="682"/>
      <c r="L5" s="682"/>
      <c r="M5" s="682"/>
      <c r="N5" s="682"/>
      <c r="O5" s="682"/>
      <c r="P5" s="682"/>
      <c r="Q5" s="682"/>
      <c r="R5" s="682"/>
      <c r="S5" s="682"/>
    </row>
    <row r="6" spans="2:19">
      <c r="B6" s="682"/>
      <c r="C6" s="682"/>
      <c r="D6" s="682"/>
      <c r="E6" s="682"/>
      <c r="F6" s="682"/>
      <c r="G6" s="682"/>
      <c r="H6" s="682"/>
      <c r="I6" s="682"/>
      <c r="J6" s="682"/>
      <c r="K6" s="682"/>
      <c r="L6" s="682"/>
      <c r="M6" s="682"/>
      <c r="N6" s="682"/>
      <c r="O6" s="682"/>
      <c r="P6" s="682"/>
      <c r="Q6" s="682"/>
      <c r="R6" s="682"/>
      <c r="S6" s="682"/>
    </row>
    <row r="7" spans="2:19">
      <c r="B7" s="682"/>
      <c r="C7" s="682"/>
      <c r="D7" s="682"/>
      <c r="E7" s="682"/>
      <c r="F7" s="682"/>
      <c r="G7" s="682"/>
      <c r="H7" s="682"/>
      <c r="I7" s="682"/>
      <c r="J7" s="682"/>
      <c r="K7" s="682"/>
      <c r="L7" s="682"/>
      <c r="M7" s="682"/>
      <c r="N7" s="682"/>
      <c r="O7" s="682"/>
      <c r="P7" s="682"/>
      <c r="Q7" s="682"/>
      <c r="R7" s="682"/>
      <c r="S7" s="682"/>
    </row>
    <row r="8" spans="2:19">
      <c r="B8" s="682"/>
      <c r="C8" s="682"/>
      <c r="D8" s="682"/>
      <c r="E8" s="682"/>
      <c r="F8" s="682"/>
      <c r="G8" s="682"/>
      <c r="H8" s="682"/>
      <c r="I8" s="682"/>
      <c r="J8" s="682"/>
      <c r="K8" s="682"/>
      <c r="L8" s="682"/>
      <c r="M8" s="682"/>
      <c r="N8" s="682"/>
      <c r="O8" s="682"/>
      <c r="P8" s="682"/>
      <c r="Q8" s="682"/>
      <c r="R8" s="682"/>
      <c r="S8" s="682"/>
    </row>
    <row r="9" spans="2:19">
      <c r="B9" s="682"/>
      <c r="C9" s="682"/>
      <c r="D9" s="682"/>
      <c r="E9" s="682"/>
      <c r="F9" s="682"/>
      <c r="G9" s="682"/>
      <c r="H9" s="682"/>
      <c r="I9" s="682"/>
      <c r="J9" s="682"/>
      <c r="K9" s="682"/>
      <c r="L9" s="682"/>
      <c r="M9" s="682"/>
      <c r="N9" s="682"/>
      <c r="O9" s="682"/>
      <c r="P9" s="682"/>
      <c r="Q9" s="682"/>
      <c r="R9" s="682"/>
      <c r="S9" s="682"/>
    </row>
    <row r="10" spans="2:19">
      <c r="B10" s="682"/>
      <c r="C10" s="682"/>
      <c r="D10" s="682"/>
      <c r="E10" s="682"/>
      <c r="F10" s="682"/>
      <c r="G10" s="682"/>
      <c r="H10" s="682"/>
      <c r="I10" s="682"/>
      <c r="J10" s="682"/>
      <c r="K10" s="682"/>
      <c r="L10" s="682"/>
      <c r="M10" s="682"/>
      <c r="N10" s="682"/>
      <c r="O10" s="682"/>
      <c r="P10" s="682"/>
      <c r="Q10" s="682"/>
      <c r="R10" s="682"/>
      <c r="S10" s="682"/>
    </row>
    <row r="11" spans="2:19">
      <c r="B11" s="682"/>
      <c r="C11" s="682"/>
      <c r="D11" s="682"/>
      <c r="E11" s="682"/>
      <c r="F11" s="682"/>
      <c r="G11" s="682"/>
      <c r="H11" s="682"/>
      <c r="I11" s="682"/>
      <c r="J11" s="682"/>
      <c r="K11" s="682"/>
      <c r="L11" s="682"/>
      <c r="M11" s="682"/>
      <c r="N11" s="682"/>
      <c r="O11" s="682"/>
      <c r="P11" s="682"/>
      <c r="Q11" s="682"/>
      <c r="R11" s="682"/>
      <c r="S11" s="682"/>
    </row>
    <row r="12" spans="2:19">
      <c r="B12" s="682"/>
      <c r="C12" s="682"/>
      <c r="D12" s="682"/>
      <c r="E12" s="682"/>
      <c r="F12" s="682"/>
      <c r="G12" s="682"/>
      <c r="H12" s="682"/>
      <c r="I12" s="682"/>
      <c r="J12" s="682"/>
      <c r="K12" s="682"/>
      <c r="L12" s="682"/>
      <c r="M12" s="682"/>
      <c r="N12" s="682"/>
      <c r="O12" s="682"/>
      <c r="P12" s="682"/>
      <c r="Q12" s="682"/>
      <c r="R12" s="682"/>
      <c r="S12" s="682"/>
    </row>
    <row r="13" spans="2:19">
      <c r="B13" s="682"/>
      <c r="C13" s="682"/>
      <c r="D13" s="682"/>
      <c r="E13" s="682"/>
      <c r="F13" s="682"/>
      <c r="G13" s="682"/>
      <c r="H13" s="682"/>
      <c r="I13" s="682"/>
      <c r="J13" s="682"/>
      <c r="K13" s="682"/>
      <c r="L13" s="682"/>
      <c r="M13" s="682"/>
      <c r="N13" s="682"/>
      <c r="O13" s="682"/>
      <c r="P13" s="682"/>
      <c r="Q13" s="682"/>
      <c r="R13" s="682"/>
      <c r="S13" s="682"/>
    </row>
    <row r="14" spans="2:19">
      <c r="B14" s="682"/>
      <c r="C14" s="682"/>
      <c r="D14" s="682"/>
      <c r="E14" s="682"/>
      <c r="F14" s="682"/>
      <c r="G14" s="682"/>
      <c r="H14" s="682"/>
      <c r="I14" s="682"/>
      <c r="J14" s="682"/>
      <c r="K14" s="682"/>
      <c r="L14" s="682"/>
      <c r="M14" s="682"/>
      <c r="N14" s="682"/>
      <c r="O14" s="682"/>
      <c r="P14" s="682"/>
      <c r="Q14" s="682"/>
      <c r="R14" s="682"/>
      <c r="S14" s="682"/>
    </row>
    <row r="15" spans="2:19">
      <c r="B15" s="682"/>
      <c r="C15" s="682"/>
      <c r="D15" s="682"/>
      <c r="E15" s="682"/>
      <c r="F15" s="682"/>
      <c r="G15" s="682"/>
      <c r="H15" s="682"/>
      <c r="I15" s="682"/>
      <c r="J15" s="682"/>
      <c r="K15" s="682"/>
      <c r="L15" s="682"/>
      <c r="M15" s="682"/>
      <c r="N15" s="682"/>
      <c r="O15" s="682"/>
      <c r="P15" s="682"/>
      <c r="Q15" s="682"/>
      <c r="R15" s="682"/>
      <c r="S15" s="682"/>
    </row>
    <row r="16" spans="2:19">
      <c r="B16" s="682"/>
      <c r="C16" s="682"/>
      <c r="D16" s="682"/>
      <c r="E16" s="682"/>
      <c r="F16" s="682"/>
      <c r="G16" s="682"/>
      <c r="H16" s="682"/>
      <c r="I16" s="682"/>
      <c r="J16" s="682"/>
      <c r="K16" s="682"/>
      <c r="L16" s="682"/>
      <c r="M16" s="682"/>
      <c r="N16" s="682"/>
      <c r="O16" s="682"/>
      <c r="P16" s="682"/>
      <c r="Q16" s="682"/>
      <c r="R16" s="682"/>
      <c r="S16" s="682"/>
    </row>
    <row r="17" spans="2:19">
      <c r="B17" s="682"/>
      <c r="C17" s="682"/>
      <c r="D17" s="682"/>
      <c r="E17" s="682"/>
      <c r="F17" s="682"/>
      <c r="G17" s="682"/>
      <c r="H17" s="682"/>
      <c r="I17" s="682"/>
      <c r="J17" s="682"/>
      <c r="K17" s="682"/>
      <c r="L17" s="682"/>
      <c r="M17" s="682"/>
      <c r="N17" s="682"/>
      <c r="O17" s="682"/>
      <c r="P17" s="682"/>
      <c r="Q17" s="682"/>
      <c r="R17" s="682"/>
      <c r="S17" s="682"/>
    </row>
    <row r="18" spans="2:19">
      <c r="B18" s="682"/>
      <c r="C18" s="682"/>
      <c r="D18" s="682"/>
      <c r="E18" s="682"/>
      <c r="F18" s="682"/>
      <c r="G18" s="682"/>
      <c r="H18" s="682"/>
      <c r="I18" s="682"/>
      <c r="J18" s="682"/>
      <c r="K18" s="682"/>
      <c r="L18" s="682"/>
      <c r="M18" s="682"/>
      <c r="N18" s="682"/>
      <c r="O18" s="682"/>
      <c r="P18" s="682"/>
      <c r="Q18" s="682"/>
      <c r="R18" s="682"/>
      <c r="S18" s="682"/>
    </row>
    <row r="19" spans="2:19">
      <c r="B19" s="682"/>
      <c r="C19" s="682"/>
      <c r="D19" s="682"/>
      <c r="E19" s="682"/>
      <c r="F19" s="682"/>
      <c r="G19" s="682"/>
      <c r="H19" s="682"/>
      <c r="I19" s="682"/>
      <c r="J19" s="682"/>
      <c r="K19" s="682"/>
      <c r="L19" s="682"/>
      <c r="M19" s="682"/>
      <c r="N19" s="682"/>
      <c r="O19" s="682"/>
      <c r="P19" s="682"/>
      <c r="Q19" s="682"/>
      <c r="R19" s="682"/>
      <c r="S19" s="682"/>
    </row>
    <row r="20" spans="2:19">
      <c r="B20" s="682"/>
      <c r="C20" s="682"/>
      <c r="D20" s="682"/>
      <c r="E20" s="682"/>
      <c r="F20" s="682"/>
      <c r="G20" s="682"/>
      <c r="H20" s="682"/>
      <c r="I20" s="682"/>
      <c r="J20" s="682"/>
      <c r="K20" s="682"/>
      <c r="L20" s="682"/>
      <c r="M20" s="682"/>
      <c r="N20" s="682"/>
      <c r="O20" s="682"/>
      <c r="P20" s="682"/>
      <c r="Q20" s="682"/>
      <c r="R20" s="682"/>
      <c r="S20" s="682"/>
    </row>
    <row r="21" spans="2:19">
      <c r="B21" s="682"/>
      <c r="C21" s="682"/>
      <c r="D21" s="682"/>
      <c r="E21" s="682"/>
      <c r="F21" s="682"/>
      <c r="G21" s="682"/>
      <c r="H21" s="682"/>
      <c r="I21" s="682"/>
      <c r="J21" s="682"/>
      <c r="K21" s="682"/>
      <c r="L21" s="682"/>
      <c r="M21" s="682"/>
      <c r="N21" s="682"/>
      <c r="O21" s="682"/>
      <c r="P21" s="682"/>
      <c r="Q21" s="682"/>
      <c r="R21" s="682"/>
      <c r="S21" s="682"/>
    </row>
    <row r="22" spans="2:19">
      <c r="B22" s="682"/>
      <c r="C22" s="682"/>
      <c r="D22" s="682"/>
      <c r="E22" s="682"/>
      <c r="F22" s="682"/>
      <c r="G22" s="682"/>
      <c r="H22" s="682"/>
      <c r="I22" s="682"/>
      <c r="J22" s="682"/>
      <c r="K22" s="682"/>
      <c r="L22" s="682"/>
      <c r="M22" s="682"/>
      <c r="N22" s="682"/>
      <c r="O22" s="682"/>
      <c r="P22" s="682"/>
      <c r="Q22" s="682"/>
      <c r="R22" s="682"/>
      <c r="S22" s="682"/>
    </row>
    <row r="23" spans="2:19">
      <c r="B23" s="682"/>
      <c r="C23" s="682"/>
      <c r="D23" s="682"/>
      <c r="E23" s="682"/>
      <c r="F23" s="682"/>
      <c r="G23" s="682"/>
      <c r="H23" s="682"/>
      <c r="I23" s="682"/>
      <c r="J23" s="682"/>
      <c r="K23" s="682"/>
      <c r="L23" s="682"/>
      <c r="M23" s="682"/>
      <c r="N23" s="682"/>
      <c r="O23" s="682"/>
      <c r="P23" s="682"/>
      <c r="Q23" s="682"/>
      <c r="R23" s="682"/>
      <c r="S23" s="682"/>
    </row>
    <row r="24" spans="2:19">
      <c r="B24" s="682"/>
      <c r="C24" s="682"/>
      <c r="D24" s="682"/>
      <c r="E24" s="682"/>
      <c r="F24" s="682"/>
      <c r="G24" s="682"/>
      <c r="H24" s="682"/>
      <c r="I24" s="682"/>
      <c r="J24" s="682"/>
      <c r="K24" s="682"/>
      <c r="L24" s="682"/>
      <c r="M24" s="682"/>
      <c r="N24" s="682"/>
      <c r="O24" s="682"/>
      <c r="P24" s="682"/>
      <c r="Q24" s="682"/>
      <c r="R24" s="682"/>
      <c r="S24" s="682"/>
    </row>
    <row r="25" spans="2:19">
      <c r="B25" s="682"/>
      <c r="C25" s="682"/>
      <c r="D25" s="682"/>
      <c r="E25" s="682"/>
      <c r="F25" s="682"/>
      <c r="G25" s="682"/>
      <c r="H25" s="682"/>
      <c r="I25" s="682"/>
      <c r="J25" s="682"/>
      <c r="K25" s="682"/>
      <c r="L25" s="682"/>
      <c r="M25" s="682"/>
      <c r="N25" s="682"/>
      <c r="O25" s="682"/>
      <c r="P25" s="682"/>
      <c r="Q25" s="682"/>
      <c r="R25" s="682"/>
      <c r="S25" s="682"/>
    </row>
    <row r="26" spans="2:19">
      <c r="B26" s="682"/>
      <c r="C26" s="682"/>
      <c r="D26" s="682"/>
      <c r="E26" s="682"/>
      <c r="F26" s="682"/>
      <c r="G26" s="682"/>
      <c r="H26" s="682"/>
      <c r="I26" s="682"/>
      <c r="J26" s="682"/>
      <c r="K26" s="682"/>
      <c r="L26" s="682"/>
      <c r="M26" s="682"/>
      <c r="N26" s="682"/>
      <c r="O26" s="682"/>
      <c r="P26" s="682"/>
      <c r="Q26" s="682"/>
      <c r="R26" s="682"/>
      <c r="S26" s="682"/>
    </row>
    <row r="27" spans="2:19">
      <c r="B27" s="682"/>
      <c r="C27" s="682"/>
      <c r="D27" s="682"/>
      <c r="E27" s="682"/>
      <c r="F27" s="682"/>
      <c r="G27" s="682"/>
      <c r="H27" s="682"/>
      <c r="I27" s="682"/>
      <c r="J27" s="682"/>
      <c r="K27" s="682"/>
      <c r="L27" s="682"/>
      <c r="M27" s="682"/>
      <c r="N27" s="682"/>
      <c r="O27" s="682"/>
      <c r="P27" s="682"/>
      <c r="Q27" s="682"/>
      <c r="R27" s="682"/>
      <c r="S27" s="682"/>
    </row>
    <row r="28" spans="2:19">
      <c r="B28" s="682"/>
      <c r="C28" s="682"/>
      <c r="D28" s="682"/>
      <c r="E28" s="682"/>
      <c r="F28" s="682"/>
      <c r="G28" s="682"/>
      <c r="H28" s="682"/>
      <c r="I28" s="682"/>
      <c r="J28" s="682"/>
      <c r="K28" s="682"/>
      <c r="L28" s="682"/>
      <c r="M28" s="682"/>
      <c r="N28" s="682"/>
      <c r="O28" s="682"/>
      <c r="P28" s="682"/>
      <c r="Q28" s="682"/>
      <c r="R28" s="682"/>
      <c r="S28" s="682"/>
    </row>
    <row r="29" spans="2:19">
      <c r="B29" s="682"/>
      <c r="C29" s="682"/>
      <c r="D29" s="682"/>
      <c r="E29" s="682"/>
      <c r="F29" s="682"/>
      <c r="G29" s="682"/>
      <c r="H29" s="682"/>
      <c r="I29" s="682"/>
      <c r="J29" s="682"/>
      <c r="K29" s="682"/>
      <c r="L29" s="682"/>
      <c r="M29" s="682"/>
      <c r="N29" s="682"/>
      <c r="O29" s="682"/>
      <c r="P29" s="682"/>
      <c r="Q29" s="682"/>
      <c r="R29" s="682"/>
      <c r="S29" s="682"/>
    </row>
    <row r="30" spans="2:19">
      <c r="B30" s="682"/>
      <c r="C30" s="682"/>
      <c r="D30" s="682"/>
      <c r="E30" s="682"/>
      <c r="F30" s="682"/>
      <c r="G30" s="682"/>
      <c r="H30" s="682"/>
      <c r="I30" s="682"/>
      <c r="J30" s="682"/>
      <c r="K30" s="682"/>
      <c r="L30" s="682"/>
      <c r="M30" s="682"/>
      <c r="N30" s="682"/>
      <c r="O30" s="682"/>
      <c r="P30" s="682"/>
      <c r="Q30" s="682"/>
      <c r="R30" s="682"/>
      <c r="S30" s="682"/>
    </row>
    <row r="31" spans="2:19">
      <c r="B31" s="682"/>
      <c r="C31" s="682"/>
      <c r="D31" s="682"/>
      <c r="E31" s="682"/>
      <c r="F31" s="682"/>
      <c r="G31" s="682"/>
      <c r="H31" s="682"/>
      <c r="I31" s="682"/>
      <c r="J31" s="682"/>
      <c r="K31" s="682"/>
      <c r="L31" s="682"/>
      <c r="M31" s="682"/>
      <c r="N31" s="682"/>
      <c r="O31" s="682"/>
      <c r="P31" s="682"/>
      <c r="Q31" s="682"/>
      <c r="R31" s="682"/>
      <c r="S31" s="682"/>
    </row>
    <row r="32" spans="2:19">
      <c r="B32" s="682"/>
      <c r="C32" s="682"/>
      <c r="D32" s="682"/>
      <c r="E32" s="682"/>
      <c r="F32" s="682"/>
      <c r="G32" s="682"/>
      <c r="H32" s="682"/>
      <c r="I32" s="682"/>
      <c r="J32" s="682"/>
      <c r="K32" s="682"/>
      <c r="L32" s="682"/>
      <c r="M32" s="682"/>
      <c r="N32" s="682"/>
      <c r="O32" s="682"/>
      <c r="P32" s="682"/>
      <c r="Q32" s="682"/>
      <c r="R32" s="682"/>
      <c r="S32" s="682"/>
    </row>
    <row r="33" spans="2:19">
      <c r="B33" s="682"/>
      <c r="C33" s="682"/>
      <c r="D33" s="682"/>
      <c r="E33" s="682"/>
      <c r="F33" s="682"/>
      <c r="G33" s="682"/>
      <c r="H33" s="682"/>
      <c r="I33" s="682"/>
      <c r="J33" s="682"/>
      <c r="K33" s="682"/>
      <c r="L33" s="682"/>
      <c r="M33" s="682"/>
      <c r="N33" s="682"/>
      <c r="O33" s="682"/>
      <c r="P33" s="682"/>
      <c r="Q33" s="682"/>
      <c r="R33" s="682"/>
      <c r="S33" s="682"/>
    </row>
    <row r="34" spans="2:19">
      <c r="B34" s="682"/>
      <c r="C34" s="682"/>
      <c r="D34" s="682"/>
      <c r="E34" s="682"/>
      <c r="F34" s="682"/>
      <c r="G34" s="682"/>
      <c r="H34" s="682"/>
      <c r="I34" s="682"/>
      <c r="J34" s="682"/>
      <c r="K34" s="682"/>
      <c r="L34" s="682"/>
      <c r="M34" s="682"/>
      <c r="N34" s="682"/>
      <c r="O34" s="682"/>
      <c r="P34" s="682"/>
      <c r="Q34" s="682"/>
      <c r="R34" s="682"/>
      <c r="S34" s="682"/>
    </row>
    <row r="35" spans="2:19">
      <c r="B35" s="682"/>
      <c r="C35" s="682"/>
      <c r="D35" s="682"/>
      <c r="E35" s="682"/>
      <c r="F35" s="682"/>
      <c r="G35" s="682"/>
      <c r="H35" s="682"/>
      <c r="I35" s="682"/>
      <c r="J35" s="682"/>
      <c r="K35" s="682"/>
      <c r="L35" s="682"/>
      <c r="M35" s="682"/>
      <c r="N35" s="682"/>
      <c r="O35" s="682"/>
      <c r="P35" s="682"/>
      <c r="Q35" s="682"/>
      <c r="R35" s="682"/>
      <c r="S35" s="682"/>
    </row>
    <row r="36" spans="2:19">
      <c r="B36" s="682"/>
      <c r="C36" s="682"/>
      <c r="D36" s="682"/>
      <c r="E36" s="682"/>
      <c r="F36" s="682"/>
      <c r="G36" s="682"/>
      <c r="H36" s="682"/>
      <c r="I36" s="682"/>
      <c r="J36" s="682"/>
      <c r="K36" s="682"/>
      <c r="L36" s="682"/>
      <c r="M36" s="682"/>
      <c r="N36" s="682"/>
      <c r="O36" s="682"/>
      <c r="P36" s="682"/>
      <c r="Q36" s="682"/>
      <c r="R36" s="682"/>
      <c r="S36" s="682"/>
    </row>
    <row r="37" spans="2:19">
      <c r="B37" s="682"/>
      <c r="C37" s="682"/>
      <c r="D37" s="682"/>
      <c r="E37" s="682"/>
      <c r="F37" s="682"/>
      <c r="G37" s="682"/>
      <c r="H37" s="682"/>
      <c r="I37" s="682"/>
      <c r="J37" s="682"/>
      <c r="K37" s="682"/>
      <c r="L37" s="682"/>
      <c r="M37" s="682"/>
      <c r="N37" s="682"/>
      <c r="O37" s="682"/>
      <c r="P37" s="682"/>
      <c r="Q37" s="682"/>
      <c r="R37" s="682"/>
      <c r="S37" s="682"/>
    </row>
    <row r="38" spans="2:19">
      <c r="B38" s="682"/>
      <c r="C38" s="682"/>
      <c r="D38" s="682"/>
      <c r="E38" s="682"/>
      <c r="F38" s="682"/>
      <c r="G38" s="682"/>
      <c r="H38" s="682"/>
      <c r="I38" s="682"/>
      <c r="J38" s="682"/>
      <c r="K38" s="682"/>
      <c r="L38" s="682"/>
      <c r="M38" s="682"/>
      <c r="N38" s="682"/>
      <c r="O38" s="682"/>
      <c r="P38" s="682"/>
      <c r="Q38" s="682"/>
      <c r="R38" s="682"/>
      <c r="S38" s="682"/>
    </row>
    <row r="39" spans="2:19">
      <c r="B39" s="682"/>
      <c r="C39" s="682"/>
      <c r="D39" s="682"/>
      <c r="E39" s="682"/>
      <c r="F39" s="682"/>
      <c r="G39" s="682"/>
      <c r="H39" s="682"/>
      <c r="I39" s="682"/>
      <c r="J39" s="682"/>
      <c r="K39" s="682"/>
      <c r="L39" s="682"/>
      <c r="M39" s="682"/>
      <c r="N39" s="682"/>
      <c r="O39" s="682"/>
      <c r="P39" s="682"/>
      <c r="Q39" s="682"/>
      <c r="R39" s="682"/>
      <c r="S39" s="682"/>
    </row>
    <row r="40" spans="2:19">
      <c r="B40" s="682"/>
      <c r="C40" s="682"/>
      <c r="D40" s="682"/>
      <c r="E40" s="682"/>
      <c r="F40" s="682"/>
      <c r="G40" s="682"/>
      <c r="H40" s="682"/>
      <c r="I40" s="682"/>
      <c r="J40" s="682"/>
      <c r="K40" s="682"/>
      <c r="L40" s="682"/>
      <c r="M40" s="682"/>
      <c r="N40" s="682"/>
      <c r="O40" s="682"/>
      <c r="P40" s="682"/>
      <c r="Q40" s="682"/>
      <c r="R40" s="682"/>
      <c r="S40" s="682"/>
    </row>
    <row r="41" spans="2:19">
      <c r="B41" s="682"/>
      <c r="C41" s="682"/>
      <c r="D41" s="682"/>
      <c r="E41" s="682"/>
      <c r="F41" s="682"/>
      <c r="G41" s="682"/>
      <c r="H41" s="682"/>
      <c r="I41" s="682"/>
      <c r="J41" s="682"/>
      <c r="K41" s="682"/>
      <c r="L41" s="682"/>
      <c r="M41" s="682"/>
      <c r="N41" s="682"/>
      <c r="O41" s="682"/>
      <c r="P41" s="682"/>
      <c r="Q41" s="682"/>
      <c r="R41" s="682"/>
      <c r="S41" s="682"/>
    </row>
    <row r="42" spans="2:19">
      <c r="B42" s="682"/>
      <c r="C42" s="682"/>
      <c r="D42" s="682"/>
      <c r="E42" s="682"/>
      <c r="F42" s="682"/>
      <c r="G42" s="682"/>
      <c r="H42" s="682"/>
      <c r="I42" s="682"/>
      <c r="J42" s="682"/>
      <c r="K42" s="682"/>
      <c r="L42" s="682"/>
      <c r="M42" s="682"/>
      <c r="N42" s="682"/>
      <c r="O42" s="682"/>
      <c r="P42" s="682"/>
      <c r="Q42" s="682"/>
      <c r="R42" s="682"/>
      <c r="S42" s="682"/>
    </row>
    <row r="43" spans="2:19">
      <c r="B43" s="682"/>
      <c r="C43" s="682"/>
      <c r="D43" s="682"/>
      <c r="E43" s="682"/>
      <c r="F43" s="682"/>
      <c r="G43" s="682"/>
      <c r="H43" s="682"/>
      <c r="I43" s="682"/>
      <c r="J43" s="682"/>
      <c r="K43" s="682"/>
      <c r="L43" s="682"/>
      <c r="M43" s="682"/>
      <c r="N43" s="682"/>
      <c r="O43" s="682"/>
      <c r="P43" s="682"/>
      <c r="Q43" s="682"/>
      <c r="R43" s="682"/>
      <c r="S43" s="682"/>
    </row>
    <row r="44" spans="2:19">
      <c r="B44" s="682"/>
      <c r="C44" s="682"/>
      <c r="D44" s="682"/>
      <c r="E44" s="682"/>
      <c r="F44" s="682"/>
      <c r="G44" s="682"/>
      <c r="H44" s="682"/>
      <c r="I44" s="682"/>
      <c r="J44" s="682"/>
      <c r="K44" s="682"/>
      <c r="L44" s="682"/>
      <c r="M44" s="682"/>
      <c r="N44" s="682"/>
      <c r="O44" s="682"/>
      <c r="P44" s="682"/>
      <c r="Q44" s="682"/>
      <c r="R44" s="682"/>
      <c r="S44" s="682"/>
    </row>
    <row r="45" spans="2:19">
      <c r="B45" s="682"/>
      <c r="C45" s="682"/>
      <c r="D45" s="682"/>
      <c r="E45" s="682"/>
      <c r="F45" s="682"/>
      <c r="G45" s="682"/>
      <c r="H45" s="682"/>
      <c r="I45" s="682"/>
      <c r="J45" s="682"/>
      <c r="K45" s="682"/>
      <c r="L45" s="682"/>
      <c r="M45" s="682"/>
      <c r="N45" s="682"/>
      <c r="O45" s="682"/>
      <c r="P45" s="682"/>
      <c r="Q45" s="682"/>
      <c r="R45" s="682"/>
      <c r="S45" s="682"/>
    </row>
    <row r="46" spans="2:19">
      <c r="B46" s="682"/>
      <c r="C46" s="682"/>
      <c r="D46" s="682"/>
      <c r="E46" s="682"/>
      <c r="F46" s="682"/>
      <c r="G46" s="682"/>
      <c r="H46" s="682"/>
      <c r="I46" s="682"/>
      <c r="J46" s="682"/>
      <c r="K46" s="682"/>
      <c r="L46" s="682"/>
      <c r="M46" s="682"/>
      <c r="N46" s="682"/>
      <c r="O46" s="682"/>
      <c r="P46" s="682"/>
      <c r="Q46" s="682"/>
      <c r="R46" s="682"/>
      <c r="S46" s="682"/>
    </row>
    <row r="47" spans="2:19">
      <c r="B47" s="682"/>
      <c r="C47" s="682"/>
      <c r="D47" s="682"/>
      <c r="E47" s="682"/>
      <c r="F47" s="682"/>
      <c r="G47" s="682"/>
      <c r="H47" s="682"/>
      <c r="I47" s="682"/>
      <c r="J47" s="682"/>
      <c r="K47" s="682"/>
      <c r="L47" s="682"/>
      <c r="M47" s="682"/>
      <c r="N47" s="682"/>
      <c r="O47" s="682"/>
      <c r="P47" s="682"/>
      <c r="Q47" s="682"/>
      <c r="R47" s="682"/>
      <c r="S47" s="682"/>
    </row>
    <row r="48" spans="2:19">
      <c r="B48" s="682"/>
      <c r="C48" s="682"/>
      <c r="D48" s="682"/>
      <c r="E48" s="682"/>
      <c r="F48" s="682"/>
      <c r="G48" s="682"/>
      <c r="H48" s="682"/>
      <c r="I48" s="682"/>
      <c r="J48" s="682"/>
      <c r="K48" s="682"/>
      <c r="L48" s="682"/>
      <c r="M48" s="682"/>
      <c r="N48" s="682"/>
      <c r="O48" s="682"/>
      <c r="P48" s="682"/>
      <c r="Q48" s="682"/>
      <c r="R48" s="682"/>
      <c r="S48" s="682"/>
    </row>
    <row r="49" spans="2:19">
      <c r="B49" s="682"/>
      <c r="C49" s="682"/>
      <c r="D49" s="682"/>
      <c r="E49" s="682"/>
      <c r="F49" s="682"/>
      <c r="G49" s="682"/>
      <c r="H49" s="682"/>
      <c r="I49" s="682"/>
      <c r="J49" s="682"/>
      <c r="K49" s="682"/>
      <c r="L49" s="682"/>
      <c r="M49" s="682"/>
      <c r="N49" s="682"/>
      <c r="O49" s="682"/>
      <c r="P49" s="682"/>
      <c r="Q49" s="682"/>
      <c r="R49" s="682"/>
      <c r="S49" s="682"/>
    </row>
    <row r="50" spans="2:19">
      <c r="B50" s="682"/>
      <c r="C50" s="682"/>
      <c r="D50" s="682"/>
      <c r="E50" s="682"/>
      <c r="F50" s="682"/>
      <c r="G50" s="682"/>
      <c r="H50" s="682"/>
      <c r="I50" s="682"/>
      <c r="J50" s="682"/>
      <c r="K50" s="682"/>
      <c r="L50" s="682"/>
      <c r="M50" s="682"/>
      <c r="N50" s="682"/>
      <c r="O50" s="682"/>
      <c r="P50" s="682"/>
      <c r="Q50" s="682"/>
      <c r="R50" s="682"/>
      <c r="S50" s="682"/>
    </row>
    <row r="51" spans="2:19">
      <c r="B51" s="682"/>
      <c r="C51" s="682"/>
      <c r="D51" s="682"/>
      <c r="E51" s="682"/>
      <c r="F51" s="682"/>
      <c r="G51" s="682"/>
      <c r="H51" s="682"/>
      <c r="I51" s="682"/>
      <c r="J51" s="682"/>
      <c r="K51" s="682"/>
      <c r="L51" s="682"/>
      <c r="M51" s="682"/>
      <c r="N51" s="682"/>
      <c r="O51" s="682"/>
      <c r="P51" s="682"/>
      <c r="Q51" s="682"/>
      <c r="R51" s="682"/>
      <c r="S51" s="682"/>
    </row>
    <row r="52" spans="2:19">
      <c r="B52" s="682"/>
      <c r="C52" s="682"/>
      <c r="D52" s="682"/>
      <c r="E52" s="682"/>
      <c r="F52" s="682"/>
      <c r="G52" s="682"/>
      <c r="H52" s="682"/>
      <c r="I52" s="682"/>
      <c r="J52" s="682"/>
      <c r="K52" s="682"/>
      <c r="L52" s="682"/>
      <c r="M52" s="682"/>
      <c r="N52" s="682"/>
      <c r="O52" s="682"/>
      <c r="P52" s="682"/>
      <c r="Q52" s="682"/>
      <c r="R52" s="682"/>
      <c r="S52" s="682"/>
    </row>
  </sheetData>
  <sheetProtection selectLockedCells="1" selectUnlockedCells="1"/>
  <mergeCells count="1">
    <mergeCell ref="B2:S52"/>
  </mergeCells>
  <pageMargins left="0.78749999999999998" right="0.78749999999999998" top="0.78749999999999998" bottom="0.78749999999999998" header="0.51180555555555551" footer="0.51180555555555551"/>
  <pageSetup paperSize="5" firstPageNumber="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scrdinvitado</dc:creator>
  <cp:keywords/>
  <dc:description/>
  <cp:lastModifiedBy>Milena Marulanda Romero</cp:lastModifiedBy>
  <cp:revision/>
  <dcterms:created xsi:type="dcterms:W3CDTF">2019-08-28T17:50:40Z</dcterms:created>
  <dcterms:modified xsi:type="dcterms:W3CDTF">2025-04-29T18:50:12Z</dcterms:modified>
  <cp:category/>
  <cp:contentStatus/>
</cp:coreProperties>
</file>