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ontratacion 2026\PUNTOS DE RED\"/>
    </mc:Choice>
  </mc:AlternateContent>
  <xr:revisionPtr revIDLastSave="0" documentId="13_ncr:1_{2746D604-7CC8-4706-B4AA-022BEF371F27}" xr6:coauthVersionLast="47" xr6:coauthVersionMax="47" xr10:uidLastSave="{00000000-0000-0000-0000-000000000000}"/>
  <bookViews>
    <workbookView xWindow="-120" yWindow="-120" windowWidth="29040" windowHeight="15720" tabRatio="817" firstSheet="4" activeTab="4" xr2:uid="{E13E2393-E31D-4168-B0BE-5B2F0A9A307D}"/>
  </bookViews>
  <sheets>
    <sheet name="PRESUPUESTO SEDE PRINCIPAL" sheetId="5" state="hidden" r:id="rId1"/>
    <sheet name="PRESUPUESTO SEDE PRINCIPAL OK" sheetId="7" state="hidden" r:id="rId2"/>
    <sheet name="Hoja2" sheetId="8" state="hidden" r:id="rId3"/>
    <sheet name="PRESUPUESTO SEDE PRINCIPAL  V1" sheetId="9" state="hidden" r:id="rId4"/>
    <sheet name="OFERTA ECONOMICA MTO " sheetId="11" r:id="rId5"/>
    <sheet name="APUS VENTANERIA " sheetId="14" state="hidden" r:id="rId6"/>
    <sheet name="PRECIOS " sheetId="13" state="hidden" r:id="rId7"/>
  </sheets>
  <definedNames>
    <definedName name="_xlnm._FilterDatabase" localSheetId="4" hidden="1">'OFERTA ECONOMICA MTO '!$C$1:$C$40</definedName>
    <definedName name="_xlnm._FilterDatabase" localSheetId="0" hidden="1">'PRESUPUESTO SEDE PRINCIPAL'!$C$1:$C$501</definedName>
    <definedName name="_xlnm._FilterDatabase" localSheetId="3" hidden="1">'PRESUPUESTO SEDE PRINCIPAL  V1'!$C$1:$C$267</definedName>
    <definedName name="_xlnm._FilterDatabase" localSheetId="1" hidden="1">'PRESUPUESTO SEDE PRINCIPAL OK'!$C$1:$C$351</definedName>
    <definedName name="_xlnm.Print_Area" localSheetId="5">'APUS VENTANERIA '!$B$1:$I$4034</definedName>
    <definedName name="_xlnm.Print_Area" localSheetId="4">'OFERTA ECONOMICA MTO '!$B$1:$G$37</definedName>
    <definedName name="_xlnm.Print_Area" localSheetId="0">'PRESUPUESTO SEDE PRINCIPAL'!$A$1:$H$499</definedName>
    <definedName name="_xlnm.Print_Area" localSheetId="3">'PRESUPUESTO SEDE PRINCIPAL  V1'!$A$1:$H$265</definedName>
    <definedName name="_xlnm.Print_Area" localSheetId="1">'PRESUPUESTO SEDE PRINCIPAL OK'!$A$1:$H$349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1" l="1"/>
  <c r="G20" i="11" s="1"/>
  <c r="F19" i="11"/>
  <c r="G19" i="11" s="1"/>
  <c r="F18" i="11"/>
  <c r="F4023" i="14" l="1"/>
  <c r="G4023" i="14" s="1"/>
  <c r="H4022" i="14"/>
  <c r="H4023" i="14" s="1"/>
  <c r="F4022" i="14"/>
  <c r="G4022" i="14" s="1"/>
  <c r="F4021" i="14"/>
  <c r="G4021" i="14" s="1"/>
  <c r="I4021" i="14" s="1"/>
  <c r="I4017" i="14"/>
  <c r="I4016" i="14"/>
  <c r="G4011" i="14"/>
  <c r="I4011" i="14" s="1"/>
  <c r="I4012" i="14" s="1"/>
  <c r="H4006" i="14"/>
  <c r="I4006" i="14" s="1"/>
  <c r="I4005" i="14"/>
  <c r="F3978" i="14"/>
  <c r="G3978" i="14" s="1"/>
  <c r="H3977" i="14"/>
  <c r="H3978" i="14" s="1"/>
  <c r="I3978" i="14" s="1"/>
  <c r="F3977" i="14"/>
  <c r="G3977" i="14" s="1"/>
  <c r="I3977" i="14" s="1"/>
  <c r="F3976" i="14"/>
  <c r="G3976" i="14" s="1"/>
  <c r="I3976" i="14" s="1"/>
  <c r="I3971" i="14"/>
  <c r="I3972" i="14" s="1"/>
  <c r="G3966" i="14"/>
  <c r="I3966" i="14" s="1"/>
  <c r="I3967" i="14" s="1"/>
  <c r="H3961" i="14"/>
  <c r="I3961" i="14" s="1"/>
  <c r="I3960" i="14"/>
  <c r="F3933" i="14"/>
  <c r="G3933" i="14" s="1"/>
  <c r="H3932" i="14"/>
  <c r="H3933" i="14" s="1"/>
  <c r="F3932" i="14"/>
  <c r="G3932" i="14" s="1"/>
  <c r="I3932" i="14" s="1"/>
  <c r="I3931" i="14"/>
  <c r="G3931" i="14"/>
  <c r="F3931" i="14"/>
  <c r="I3926" i="14"/>
  <c r="I3927" i="14" s="1"/>
  <c r="I3921" i="14"/>
  <c r="I3922" i="14" s="1"/>
  <c r="H3916" i="14"/>
  <c r="I3916" i="14" s="1"/>
  <c r="I3915" i="14"/>
  <c r="F3888" i="14"/>
  <c r="G3888" i="14" s="1"/>
  <c r="I3888" i="14" s="1"/>
  <c r="H3887" i="14"/>
  <c r="H3888" i="14" s="1"/>
  <c r="F3887" i="14"/>
  <c r="G3887" i="14" s="1"/>
  <c r="I3887" i="14" s="1"/>
  <c r="F3886" i="14"/>
  <c r="G3886" i="14" s="1"/>
  <c r="I3886" i="14" s="1"/>
  <c r="I3881" i="14"/>
  <c r="I3882" i="14" s="1"/>
  <c r="G3876" i="14"/>
  <c r="I3876" i="14" s="1"/>
  <c r="I3877" i="14" s="1"/>
  <c r="I3871" i="14"/>
  <c r="I3872" i="14" s="1"/>
  <c r="H3871" i="14"/>
  <c r="I3870" i="14"/>
  <c r="H3843" i="14"/>
  <c r="F3843" i="14"/>
  <c r="G3843" i="14" s="1"/>
  <c r="H3842" i="14"/>
  <c r="G3842" i="14"/>
  <c r="I3842" i="14" s="1"/>
  <c r="F3842" i="14"/>
  <c r="F3841" i="14"/>
  <c r="G3841" i="14" s="1"/>
  <c r="I3841" i="14" s="1"/>
  <c r="I3836" i="14"/>
  <c r="I3837" i="14" s="1"/>
  <c r="G3831" i="14"/>
  <c r="I3831" i="14" s="1"/>
  <c r="I3832" i="14" s="1"/>
  <c r="H3826" i="14"/>
  <c r="I3826" i="14" s="1"/>
  <c r="I3825" i="14"/>
  <c r="F3798" i="14"/>
  <c r="G3798" i="14" s="1"/>
  <c r="I3798" i="14" s="1"/>
  <c r="H3797" i="14"/>
  <c r="H3798" i="14" s="1"/>
  <c r="G3797" i="14"/>
  <c r="F3797" i="14"/>
  <c r="F3796" i="14"/>
  <c r="G3796" i="14" s="1"/>
  <c r="I3796" i="14" s="1"/>
  <c r="I3791" i="14"/>
  <c r="I3792" i="14" s="1"/>
  <c r="G3786" i="14"/>
  <c r="I3786" i="14" s="1"/>
  <c r="I3787" i="14" s="1"/>
  <c r="H3781" i="14"/>
  <c r="I3781" i="14" s="1"/>
  <c r="I3780" i="14"/>
  <c r="I3782" i="14" s="1"/>
  <c r="F3753" i="14"/>
  <c r="G3753" i="14" s="1"/>
  <c r="H3752" i="14"/>
  <c r="H3753" i="14" s="1"/>
  <c r="F3752" i="14"/>
  <c r="G3752" i="14" s="1"/>
  <c r="I3752" i="14" s="1"/>
  <c r="F3751" i="14"/>
  <c r="G3751" i="14" s="1"/>
  <c r="I3751" i="14" s="1"/>
  <c r="I3747" i="14"/>
  <c r="I3746" i="14"/>
  <c r="I3741" i="14"/>
  <c r="I3742" i="14" s="1"/>
  <c r="G3741" i="14"/>
  <c r="H3736" i="14"/>
  <c r="I3736" i="14" s="1"/>
  <c r="I3735" i="14"/>
  <c r="I3737" i="14" s="1"/>
  <c r="F3708" i="14"/>
  <c r="G3708" i="14" s="1"/>
  <c r="I3708" i="14" s="1"/>
  <c r="H3707" i="14"/>
  <c r="H3708" i="14" s="1"/>
  <c r="F3707" i="14"/>
  <c r="G3707" i="14" s="1"/>
  <c r="I3707" i="14" s="1"/>
  <c r="F3706" i="14"/>
  <c r="G3706" i="14" s="1"/>
  <c r="I3706" i="14" s="1"/>
  <c r="I3701" i="14"/>
  <c r="I3702" i="14" s="1"/>
  <c r="G3696" i="14"/>
  <c r="I3696" i="14" s="1"/>
  <c r="I3697" i="14" s="1"/>
  <c r="H3691" i="14"/>
  <c r="I3691" i="14" s="1"/>
  <c r="I3692" i="14" s="1"/>
  <c r="I3690" i="14"/>
  <c r="H3663" i="14"/>
  <c r="F3663" i="14"/>
  <c r="G3663" i="14" s="1"/>
  <c r="I3663" i="14" s="1"/>
  <c r="H3662" i="14"/>
  <c r="F3662" i="14"/>
  <c r="G3662" i="14" s="1"/>
  <c r="F3661" i="14"/>
  <c r="G3661" i="14" s="1"/>
  <c r="I3661" i="14" s="1"/>
  <c r="I3656" i="14"/>
  <c r="I3657" i="14" s="1"/>
  <c r="G3651" i="14"/>
  <c r="I3651" i="14" s="1"/>
  <c r="I3652" i="14" s="1"/>
  <c r="H3646" i="14"/>
  <c r="I3646" i="14" s="1"/>
  <c r="I3647" i="14" s="1"/>
  <c r="I3645" i="14"/>
  <c r="F3618" i="14"/>
  <c r="G3618" i="14" s="1"/>
  <c r="H3617" i="14"/>
  <c r="H3618" i="14" s="1"/>
  <c r="F3617" i="14"/>
  <c r="G3617" i="14" s="1"/>
  <c r="F3616" i="14"/>
  <c r="G3616" i="14" s="1"/>
  <c r="I3616" i="14" s="1"/>
  <c r="I3611" i="14"/>
  <c r="I3612" i="14" s="1"/>
  <c r="G3606" i="14"/>
  <c r="I3606" i="14" s="1"/>
  <c r="I3607" i="14" s="1"/>
  <c r="H3601" i="14"/>
  <c r="I3601" i="14" s="1"/>
  <c r="I3600" i="14"/>
  <c r="G3573" i="14"/>
  <c r="F3573" i="14"/>
  <c r="H3572" i="14"/>
  <c r="H3573" i="14" s="1"/>
  <c r="I3573" i="14" s="1"/>
  <c r="F3572" i="14"/>
  <c r="G3572" i="14" s="1"/>
  <c r="F3571" i="14"/>
  <c r="G3571" i="14" s="1"/>
  <c r="I3571" i="14" s="1"/>
  <c r="I3566" i="14"/>
  <c r="I3567" i="14" s="1"/>
  <c r="G3561" i="14"/>
  <c r="I3561" i="14" s="1"/>
  <c r="I3562" i="14" s="1"/>
  <c r="H3556" i="14"/>
  <c r="I3556" i="14" s="1"/>
  <c r="I3555" i="14"/>
  <c r="H3528" i="14"/>
  <c r="F3528" i="14"/>
  <c r="G3528" i="14" s="1"/>
  <c r="H3527" i="14"/>
  <c r="F3527" i="14"/>
  <c r="G3527" i="14" s="1"/>
  <c r="I3527" i="14" s="1"/>
  <c r="I3526" i="14"/>
  <c r="F3526" i="14"/>
  <c r="G3526" i="14" s="1"/>
  <c r="I3521" i="14"/>
  <c r="I3522" i="14" s="1"/>
  <c r="G3516" i="14"/>
  <c r="I3516" i="14" s="1"/>
  <c r="I3517" i="14" s="1"/>
  <c r="H3511" i="14"/>
  <c r="I3511" i="14" s="1"/>
  <c r="I3510" i="14"/>
  <c r="F3483" i="14"/>
  <c r="G3483" i="14" s="1"/>
  <c r="I3483" i="14" s="1"/>
  <c r="H3482" i="14"/>
  <c r="H3483" i="14" s="1"/>
  <c r="F3482" i="14"/>
  <c r="G3482" i="14" s="1"/>
  <c r="F3481" i="14"/>
  <c r="G3481" i="14" s="1"/>
  <c r="I3481" i="14" s="1"/>
  <c r="I3476" i="14"/>
  <c r="I3477" i="14" s="1"/>
  <c r="G3471" i="14"/>
  <c r="I3471" i="14" s="1"/>
  <c r="I3472" i="14" s="1"/>
  <c r="I3467" i="14"/>
  <c r="I3466" i="14"/>
  <c r="H3466" i="14"/>
  <c r="I3465" i="14"/>
  <c r="F3438" i="14"/>
  <c r="G3438" i="14" s="1"/>
  <c r="H3437" i="14"/>
  <c r="H3438" i="14" s="1"/>
  <c r="F3437" i="14"/>
  <c r="G3437" i="14" s="1"/>
  <c r="I3437" i="14" s="1"/>
  <c r="F3436" i="14"/>
  <c r="G3436" i="14" s="1"/>
  <c r="I3436" i="14" s="1"/>
  <c r="I3431" i="14"/>
  <c r="I3432" i="14" s="1"/>
  <c r="G3426" i="14"/>
  <c r="I3426" i="14" s="1"/>
  <c r="I3427" i="14" s="1"/>
  <c r="H3421" i="14"/>
  <c r="I3421" i="14" s="1"/>
  <c r="I3420" i="14"/>
  <c r="F3393" i="14"/>
  <c r="G3393" i="14" s="1"/>
  <c r="H3392" i="14"/>
  <c r="H3393" i="14" s="1"/>
  <c r="F3392" i="14"/>
  <c r="G3392" i="14" s="1"/>
  <c r="G3391" i="14"/>
  <c r="I3391" i="14" s="1"/>
  <c r="F3391" i="14"/>
  <c r="I3386" i="14"/>
  <c r="I3387" i="14" s="1"/>
  <c r="G3381" i="14"/>
  <c r="I3381" i="14" s="1"/>
  <c r="I3382" i="14" s="1"/>
  <c r="H3376" i="14"/>
  <c r="I3376" i="14" s="1"/>
  <c r="I3375" i="14"/>
  <c r="F3348" i="14"/>
  <c r="G3348" i="14" s="1"/>
  <c r="H3347" i="14"/>
  <c r="F3347" i="14"/>
  <c r="G3347" i="14" s="1"/>
  <c r="F3346" i="14"/>
  <c r="G3346" i="14" s="1"/>
  <c r="I3346" i="14" s="1"/>
  <c r="I3341" i="14"/>
  <c r="I3342" i="14" s="1"/>
  <c r="I3336" i="14"/>
  <c r="I3337" i="14" s="1"/>
  <c r="G3336" i="14"/>
  <c r="I3332" i="14"/>
  <c r="H3331" i="14"/>
  <c r="I3331" i="14" s="1"/>
  <c r="I3330" i="14"/>
  <c r="F3303" i="14"/>
  <c r="G3303" i="14" s="1"/>
  <c r="H3302" i="14"/>
  <c r="H3303" i="14" s="1"/>
  <c r="F3302" i="14"/>
  <c r="G3302" i="14" s="1"/>
  <c r="I3302" i="14" s="1"/>
  <c r="F3301" i="14"/>
  <c r="G3301" i="14" s="1"/>
  <c r="I3301" i="14" s="1"/>
  <c r="I3296" i="14"/>
  <c r="I3297" i="14" s="1"/>
  <c r="G3291" i="14"/>
  <c r="I3291" i="14" s="1"/>
  <c r="I3292" i="14" s="1"/>
  <c r="H3286" i="14"/>
  <c r="I3286" i="14" s="1"/>
  <c r="I3285" i="14"/>
  <c r="I3287" i="14" s="1"/>
  <c r="F3258" i="14"/>
  <c r="G3258" i="14" s="1"/>
  <c r="I3258" i="14" s="1"/>
  <c r="H3257" i="14"/>
  <c r="H3258" i="14" s="1"/>
  <c r="F3257" i="14"/>
  <c r="G3257" i="14" s="1"/>
  <c r="I3257" i="14" s="1"/>
  <c r="F3256" i="14"/>
  <c r="G3256" i="14" s="1"/>
  <c r="I3256" i="14" s="1"/>
  <c r="I3251" i="14"/>
  <c r="I3252" i="14" s="1"/>
  <c r="G3246" i="14"/>
  <c r="I3246" i="14" s="1"/>
  <c r="I3247" i="14" s="1"/>
  <c r="H3241" i="14"/>
  <c r="I3241" i="14" s="1"/>
  <c r="I3240" i="14"/>
  <c r="I3242" i="14" s="1"/>
  <c r="F3213" i="14"/>
  <c r="G3213" i="14" s="1"/>
  <c r="H3212" i="14"/>
  <c r="H3213" i="14" s="1"/>
  <c r="F3212" i="14"/>
  <c r="G3212" i="14" s="1"/>
  <c r="I3212" i="14" s="1"/>
  <c r="F3211" i="14"/>
  <c r="G3211" i="14" s="1"/>
  <c r="I3211" i="14" s="1"/>
  <c r="I3207" i="14"/>
  <c r="I3206" i="14"/>
  <c r="I3202" i="14"/>
  <c r="I3201" i="14"/>
  <c r="G3201" i="14"/>
  <c r="I3196" i="14"/>
  <c r="H3196" i="14"/>
  <c r="I3195" i="14"/>
  <c r="F3168" i="14"/>
  <c r="G3168" i="14" s="1"/>
  <c r="I3168" i="14" s="1"/>
  <c r="H3167" i="14"/>
  <c r="H3168" i="14" s="1"/>
  <c r="F3167" i="14"/>
  <c r="G3167" i="14" s="1"/>
  <c r="I3167" i="14" s="1"/>
  <c r="F3166" i="14"/>
  <c r="G3166" i="14" s="1"/>
  <c r="I3166" i="14" s="1"/>
  <c r="I3161" i="14"/>
  <c r="I3162" i="14" s="1"/>
  <c r="G3156" i="14"/>
  <c r="I3156" i="14" s="1"/>
  <c r="I3157" i="14" s="1"/>
  <c r="H3151" i="14"/>
  <c r="I3151" i="14" s="1"/>
  <c r="I3150" i="14"/>
  <c r="I3152" i="14" s="1"/>
  <c r="F3123" i="14"/>
  <c r="G3123" i="14" s="1"/>
  <c r="I3123" i="14" s="1"/>
  <c r="H3122" i="14"/>
  <c r="H3123" i="14" s="1"/>
  <c r="F3122" i="14"/>
  <c r="G3122" i="14" s="1"/>
  <c r="I3122" i="14" s="1"/>
  <c r="F3121" i="14"/>
  <c r="G3121" i="14" s="1"/>
  <c r="I3121" i="14" s="1"/>
  <c r="I3116" i="14"/>
  <c r="I3117" i="14" s="1"/>
  <c r="G3111" i="14"/>
  <c r="I3111" i="14" s="1"/>
  <c r="I3112" i="14" s="1"/>
  <c r="H3106" i="14"/>
  <c r="I3106" i="14" s="1"/>
  <c r="I3107" i="14" s="1"/>
  <c r="I3105" i="14"/>
  <c r="H3078" i="14"/>
  <c r="G3078" i="14"/>
  <c r="F3078" i="14"/>
  <c r="H3077" i="14"/>
  <c r="I3077" i="14" s="1"/>
  <c r="G3077" i="14"/>
  <c r="F3077" i="14"/>
  <c r="G3076" i="14"/>
  <c r="I3076" i="14" s="1"/>
  <c r="F3076" i="14"/>
  <c r="I3071" i="14"/>
  <c r="I3072" i="14" s="1"/>
  <c r="I3066" i="14"/>
  <c r="I3067" i="14" s="1"/>
  <c r="H3061" i="14"/>
  <c r="I3061" i="14" s="1"/>
  <c r="I3060" i="14"/>
  <c r="F3033" i="14"/>
  <c r="G3033" i="14" s="1"/>
  <c r="H3032" i="14"/>
  <c r="H3033" i="14" s="1"/>
  <c r="F3032" i="14"/>
  <c r="G3032" i="14" s="1"/>
  <c r="I3032" i="14" s="1"/>
  <c r="F3031" i="14"/>
  <c r="G3031" i="14" s="1"/>
  <c r="I3031" i="14" s="1"/>
  <c r="I3027" i="14"/>
  <c r="I3026" i="14"/>
  <c r="G3021" i="14"/>
  <c r="I3021" i="14" s="1"/>
  <c r="I3022" i="14" s="1"/>
  <c r="I3017" i="14"/>
  <c r="I3016" i="14"/>
  <c r="H3016" i="14"/>
  <c r="I3015" i="14"/>
  <c r="F2988" i="14"/>
  <c r="G2988" i="14" s="1"/>
  <c r="H2987" i="14"/>
  <c r="H2988" i="14" s="1"/>
  <c r="F2987" i="14"/>
  <c r="G2987" i="14" s="1"/>
  <c r="I2987" i="14" s="1"/>
  <c r="F2986" i="14"/>
  <c r="G2986" i="14" s="1"/>
  <c r="I2986" i="14" s="1"/>
  <c r="I2981" i="14"/>
  <c r="I2982" i="14" s="1"/>
  <c r="G2976" i="14"/>
  <c r="I2976" i="14" s="1"/>
  <c r="I2977" i="14" s="1"/>
  <c r="H2971" i="14"/>
  <c r="I2971" i="14" s="1"/>
  <c r="I2970" i="14"/>
  <c r="I2943" i="14"/>
  <c r="I2944" i="14" s="1"/>
  <c r="H2943" i="14"/>
  <c r="F2943" i="14"/>
  <c r="G2943" i="14" s="1"/>
  <c r="I2942" i="14"/>
  <c r="H2942" i="14"/>
  <c r="F2942" i="14"/>
  <c r="G2942" i="14" s="1"/>
  <c r="I2941" i="14"/>
  <c r="F2941" i="14"/>
  <c r="G2941" i="14" s="1"/>
  <c r="I2936" i="14"/>
  <c r="I2937" i="14" s="1"/>
  <c r="G2931" i="14"/>
  <c r="I2931" i="14" s="1"/>
  <c r="I2932" i="14" s="1"/>
  <c r="H2926" i="14"/>
  <c r="I2926" i="14" s="1"/>
  <c r="I2925" i="14"/>
  <c r="I2927" i="14" s="1"/>
  <c r="F2898" i="14"/>
  <c r="G2898" i="14" s="1"/>
  <c r="I2898" i="14" s="1"/>
  <c r="H2897" i="14"/>
  <c r="H2898" i="14" s="1"/>
  <c r="F2897" i="14"/>
  <c r="G2897" i="14" s="1"/>
  <c r="I2897" i="14" s="1"/>
  <c r="F2896" i="14"/>
  <c r="G2896" i="14" s="1"/>
  <c r="I2896" i="14" s="1"/>
  <c r="I2891" i="14"/>
  <c r="I2892" i="14" s="1"/>
  <c r="G2886" i="14"/>
  <c r="I2886" i="14" s="1"/>
  <c r="I2887" i="14" s="1"/>
  <c r="H2881" i="14"/>
  <c r="I2881" i="14" s="1"/>
  <c r="I2882" i="14" s="1"/>
  <c r="I2880" i="14"/>
  <c r="F2853" i="14"/>
  <c r="G2853" i="14" s="1"/>
  <c r="H2852" i="14"/>
  <c r="H2853" i="14" s="1"/>
  <c r="F2852" i="14"/>
  <c r="G2852" i="14" s="1"/>
  <c r="F2851" i="14"/>
  <c r="G2851" i="14" s="1"/>
  <c r="I2851" i="14" s="1"/>
  <c r="I2846" i="14"/>
  <c r="I2847" i="14" s="1"/>
  <c r="G2841" i="14"/>
  <c r="I2841" i="14" s="1"/>
  <c r="I2842" i="14" s="1"/>
  <c r="I2836" i="14"/>
  <c r="H2836" i="14"/>
  <c r="I2835" i="14"/>
  <c r="H2808" i="14"/>
  <c r="F2808" i="14"/>
  <c r="G2808" i="14" s="1"/>
  <c r="H2807" i="14"/>
  <c r="F2807" i="14"/>
  <c r="G2807" i="14" s="1"/>
  <c r="I2807" i="14" s="1"/>
  <c r="F2806" i="14"/>
  <c r="G2806" i="14" s="1"/>
  <c r="I2806" i="14" s="1"/>
  <c r="I2801" i="14"/>
  <c r="I2802" i="14" s="1"/>
  <c r="G2796" i="14"/>
  <c r="I2796" i="14" s="1"/>
  <c r="I2797" i="14" s="1"/>
  <c r="H2791" i="14"/>
  <c r="I2791" i="14" s="1"/>
  <c r="I2790" i="14"/>
  <c r="F2763" i="14"/>
  <c r="G2763" i="14" s="1"/>
  <c r="H2762" i="14"/>
  <c r="H2763" i="14" s="1"/>
  <c r="I2763" i="14" s="1"/>
  <c r="F2762" i="14"/>
  <c r="G2762" i="14" s="1"/>
  <c r="I2762" i="14" s="1"/>
  <c r="F2761" i="14"/>
  <c r="G2761" i="14" s="1"/>
  <c r="I2761" i="14" s="1"/>
  <c r="I2756" i="14"/>
  <c r="I2757" i="14" s="1"/>
  <c r="I2751" i="14"/>
  <c r="I2752" i="14" s="1"/>
  <c r="G2751" i="14"/>
  <c r="H2746" i="14"/>
  <c r="I2746" i="14" s="1"/>
  <c r="I2745" i="14"/>
  <c r="F2718" i="14"/>
  <c r="G2718" i="14" s="1"/>
  <c r="H2717" i="14"/>
  <c r="H2718" i="14" s="1"/>
  <c r="F2717" i="14"/>
  <c r="G2717" i="14" s="1"/>
  <c r="I2717" i="14" s="1"/>
  <c r="F2716" i="14"/>
  <c r="G2716" i="14" s="1"/>
  <c r="I2716" i="14" s="1"/>
  <c r="I2711" i="14"/>
  <c r="I2712" i="14" s="1"/>
  <c r="I2706" i="14"/>
  <c r="I2707" i="14" s="1"/>
  <c r="G2706" i="14"/>
  <c r="H2701" i="14"/>
  <c r="I2701" i="14" s="1"/>
  <c r="I2702" i="14" s="1"/>
  <c r="I2700" i="14"/>
  <c r="F2672" i="14"/>
  <c r="G2672" i="14" s="1"/>
  <c r="H2671" i="14"/>
  <c r="H2672" i="14" s="1"/>
  <c r="F2671" i="14"/>
  <c r="G2671" i="14" s="1"/>
  <c r="F2670" i="14"/>
  <c r="G2670" i="14" s="1"/>
  <c r="I2670" i="14" s="1"/>
  <c r="I2665" i="14"/>
  <c r="I2666" i="14" s="1"/>
  <c r="G2660" i="14"/>
  <c r="I2660" i="14" s="1"/>
  <c r="I2661" i="14" s="1"/>
  <c r="H2655" i="14"/>
  <c r="I2655" i="14" s="1"/>
  <c r="I2654" i="14"/>
  <c r="F2627" i="14"/>
  <c r="G2627" i="14" s="1"/>
  <c r="H2626" i="14"/>
  <c r="H2627" i="14" s="1"/>
  <c r="F2626" i="14"/>
  <c r="G2626" i="14" s="1"/>
  <c r="F2625" i="14"/>
  <c r="G2625" i="14" s="1"/>
  <c r="I2625" i="14" s="1"/>
  <c r="I2620" i="14"/>
  <c r="I2621" i="14" s="1"/>
  <c r="G2615" i="14"/>
  <c r="I2615" i="14" s="1"/>
  <c r="I2616" i="14" s="1"/>
  <c r="H2610" i="14"/>
  <c r="I2610" i="14" s="1"/>
  <c r="I2609" i="14"/>
  <c r="F2582" i="14"/>
  <c r="G2582" i="14" s="1"/>
  <c r="I2582" i="14" s="1"/>
  <c r="H2581" i="14"/>
  <c r="H2582" i="14" s="1"/>
  <c r="F2581" i="14"/>
  <c r="G2581" i="14" s="1"/>
  <c r="I2581" i="14" s="1"/>
  <c r="F2580" i="14"/>
  <c r="G2580" i="14" s="1"/>
  <c r="I2580" i="14" s="1"/>
  <c r="I2583" i="14" s="1"/>
  <c r="I2575" i="14"/>
  <c r="I2576" i="14" s="1"/>
  <c r="G2570" i="14"/>
  <c r="I2570" i="14" s="1"/>
  <c r="I2571" i="14" s="1"/>
  <c r="I2565" i="14"/>
  <c r="H2565" i="14"/>
  <c r="I2564" i="14"/>
  <c r="F2537" i="14"/>
  <c r="G2537" i="14" s="1"/>
  <c r="H2536" i="14"/>
  <c r="H2537" i="14" s="1"/>
  <c r="F2536" i="14"/>
  <c r="G2536" i="14" s="1"/>
  <c r="F2535" i="14"/>
  <c r="G2535" i="14" s="1"/>
  <c r="I2535" i="14" s="1"/>
  <c r="I2530" i="14"/>
  <c r="I2531" i="14" s="1"/>
  <c r="G2525" i="14"/>
  <c r="I2525" i="14" s="1"/>
  <c r="I2526" i="14" s="1"/>
  <c r="I2521" i="14"/>
  <c r="I2520" i="14"/>
  <c r="H2520" i="14"/>
  <c r="I2519" i="14"/>
  <c r="G2492" i="14"/>
  <c r="F2492" i="14"/>
  <c r="H2491" i="14"/>
  <c r="H2492" i="14" s="1"/>
  <c r="I2492" i="14" s="1"/>
  <c r="F2491" i="14"/>
  <c r="G2491" i="14" s="1"/>
  <c r="F2490" i="14"/>
  <c r="G2490" i="14" s="1"/>
  <c r="I2490" i="14" s="1"/>
  <c r="I2485" i="14"/>
  <c r="I2486" i="14" s="1"/>
  <c r="G2480" i="14"/>
  <c r="I2480" i="14" s="1"/>
  <c r="I2481" i="14" s="1"/>
  <c r="H2475" i="14"/>
  <c r="I2475" i="14" s="1"/>
  <c r="I2474" i="14"/>
  <c r="F2447" i="14"/>
  <c r="G2447" i="14" s="1"/>
  <c r="H2446" i="14"/>
  <c r="H2447" i="14" s="1"/>
  <c r="F2446" i="14"/>
  <c r="G2446" i="14" s="1"/>
  <c r="I2446" i="14" s="1"/>
  <c r="F2445" i="14"/>
  <c r="G2445" i="14" s="1"/>
  <c r="I2445" i="14" s="1"/>
  <c r="I2440" i="14"/>
  <c r="I2441" i="14" s="1"/>
  <c r="I2435" i="14"/>
  <c r="I2436" i="14" s="1"/>
  <c r="G2435" i="14"/>
  <c r="H2430" i="14"/>
  <c r="I2430" i="14" s="1"/>
  <c r="I2429" i="14"/>
  <c r="F2402" i="14"/>
  <c r="G2402" i="14" s="1"/>
  <c r="H2401" i="14"/>
  <c r="H2402" i="14" s="1"/>
  <c r="F2401" i="14"/>
  <c r="G2401" i="14" s="1"/>
  <c r="I2401" i="14" s="1"/>
  <c r="F2400" i="14"/>
  <c r="G2400" i="14" s="1"/>
  <c r="I2400" i="14" s="1"/>
  <c r="I2395" i="14"/>
  <c r="I2396" i="14" s="1"/>
  <c r="G2390" i="14"/>
  <c r="I2390" i="14" s="1"/>
  <c r="I2391" i="14" s="1"/>
  <c r="H2385" i="14"/>
  <c r="I2385" i="14" s="1"/>
  <c r="I2384" i="14"/>
  <c r="H2357" i="14"/>
  <c r="F2357" i="14"/>
  <c r="G2357" i="14" s="1"/>
  <c r="H2356" i="14"/>
  <c r="F2356" i="14"/>
  <c r="G2356" i="14" s="1"/>
  <c r="I2356" i="14" s="1"/>
  <c r="G2355" i="14"/>
  <c r="I2355" i="14" s="1"/>
  <c r="F2355" i="14"/>
  <c r="I2350" i="14"/>
  <c r="I2351" i="14" s="1"/>
  <c r="G2345" i="14"/>
  <c r="I2345" i="14" s="1"/>
  <c r="I2346" i="14" s="1"/>
  <c r="H2340" i="14"/>
  <c r="I2340" i="14" s="1"/>
  <c r="I2339" i="14"/>
  <c r="F2312" i="14"/>
  <c r="G2312" i="14" s="1"/>
  <c r="H2311" i="14"/>
  <c r="H2312" i="14" s="1"/>
  <c r="F2311" i="14"/>
  <c r="G2311" i="14" s="1"/>
  <c r="I2311" i="14" s="1"/>
  <c r="F2310" i="14"/>
  <c r="G2310" i="14" s="1"/>
  <c r="I2310" i="14" s="1"/>
  <c r="I2305" i="14"/>
  <c r="I2306" i="14" s="1"/>
  <c r="I2301" i="14"/>
  <c r="I2300" i="14"/>
  <c r="H2295" i="14"/>
  <c r="I2295" i="14" s="1"/>
  <c r="I2296" i="14" s="1"/>
  <c r="I2294" i="14"/>
  <c r="F2267" i="14"/>
  <c r="G2267" i="14" s="1"/>
  <c r="H2266" i="14"/>
  <c r="H2267" i="14" s="1"/>
  <c r="F2266" i="14"/>
  <c r="G2266" i="14" s="1"/>
  <c r="I2266" i="14" s="1"/>
  <c r="F2265" i="14"/>
  <c r="G2265" i="14" s="1"/>
  <c r="I2265" i="14" s="1"/>
  <c r="I2260" i="14"/>
  <c r="I2261" i="14" s="1"/>
  <c r="G2255" i="14"/>
  <c r="I2255" i="14" s="1"/>
  <c r="I2256" i="14" s="1"/>
  <c r="H2250" i="14"/>
  <c r="I2250" i="14" s="1"/>
  <c r="I2249" i="14"/>
  <c r="F2222" i="14"/>
  <c r="G2222" i="14" s="1"/>
  <c r="H2221" i="14"/>
  <c r="H2222" i="14" s="1"/>
  <c r="F2221" i="14"/>
  <c r="G2221" i="14" s="1"/>
  <c r="I2221" i="14" s="1"/>
  <c r="G2220" i="14"/>
  <c r="I2220" i="14" s="1"/>
  <c r="F2220" i="14"/>
  <c r="I2215" i="14"/>
  <c r="I2216" i="14" s="1"/>
  <c r="G2210" i="14"/>
  <c r="I2210" i="14" s="1"/>
  <c r="I2211" i="14" s="1"/>
  <c r="I2205" i="14"/>
  <c r="H2205" i="14"/>
  <c r="I2204" i="14"/>
  <c r="I2206" i="14" s="1"/>
  <c r="F2177" i="14"/>
  <c r="G2177" i="14" s="1"/>
  <c r="H2176" i="14"/>
  <c r="H2177" i="14" s="1"/>
  <c r="F2176" i="14"/>
  <c r="G2176" i="14" s="1"/>
  <c r="I2176" i="14" s="1"/>
  <c r="F2175" i="14"/>
  <c r="G2175" i="14" s="1"/>
  <c r="I2175" i="14" s="1"/>
  <c r="I2170" i="14"/>
  <c r="I2171" i="14" s="1"/>
  <c r="I2165" i="14"/>
  <c r="I2166" i="14" s="1"/>
  <c r="G2165" i="14"/>
  <c r="H2160" i="14"/>
  <c r="I2160" i="14" s="1"/>
  <c r="I2159" i="14"/>
  <c r="G2131" i="14"/>
  <c r="F2131" i="14"/>
  <c r="H2130" i="14"/>
  <c r="H2131" i="14" s="1"/>
  <c r="I2131" i="14" s="1"/>
  <c r="F2130" i="14"/>
  <c r="G2130" i="14" s="1"/>
  <c r="F2129" i="14"/>
  <c r="G2129" i="14" s="1"/>
  <c r="I2129" i="14" s="1"/>
  <c r="I2124" i="14"/>
  <c r="I2125" i="14" s="1"/>
  <c r="G2119" i="14"/>
  <c r="I2119" i="14" s="1"/>
  <c r="I2120" i="14" s="1"/>
  <c r="H2114" i="14"/>
  <c r="I2114" i="14" s="1"/>
  <c r="I2115" i="14" s="1"/>
  <c r="I2113" i="14"/>
  <c r="F2086" i="14"/>
  <c r="G2086" i="14" s="1"/>
  <c r="H2085" i="14"/>
  <c r="H2086" i="14" s="1"/>
  <c r="F2085" i="14"/>
  <c r="G2085" i="14" s="1"/>
  <c r="I2085" i="14" s="1"/>
  <c r="F2084" i="14"/>
  <c r="G2084" i="14" s="1"/>
  <c r="I2084" i="14" s="1"/>
  <c r="I2079" i="14"/>
  <c r="I2080" i="14" s="1"/>
  <c r="G2074" i="14"/>
  <c r="I2074" i="14" s="1"/>
  <c r="I2075" i="14" s="1"/>
  <c r="H2069" i="14"/>
  <c r="I2069" i="14" s="1"/>
  <c r="I2068" i="14"/>
  <c r="I2070" i="14" s="1"/>
  <c r="I2040" i="14"/>
  <c r="F2040" i="14"/>
  <c r="G2040" i="14" s="1"/>
  <c r="H2039" i="14"/>
  <c r="H2040" i="14" s="1"/>
  <c r="F2039" i="14"/>
  <c r="G2039" i="14" s="1"/>
  <c r="I2039" i="14" s="1"/>
  <c r="F2038" i="14"/>
  <c r="G2038" i="14" s="1"/>
  <c r="I2038" i="14" s="1"/>
  <c r="I2034" i="14"/>
  <c r="I2033" i="14"/>
  <c r="G2028" i="14"/>
  <c r="I2028" i="14" s="1"/>
  <c r="I2029" i="14" s="1"/>
  <c r="H2023" i="14"/>
  <c r="I2023" i="14" s="1"/>
  <c r="I2022" i="14"/>
  <c r="F1995" i="14"/>
  <c r="G1995" i="14" s="1"/>
  <c r="H1994" i="14"/>
  <c r="H1995" i="14" s="1"/>
  <c r="I1995" i="14" s="1"/>
  <c r="F1994" i="14"/>
  <c r="G1994" i="14" s="1"/>
  <c r="I1994" i="14" s="1"/>
  <c r="F1993" i="14"/>
  <c r="G1993" i="14" s="1"/>
  <c r="I1993" i="14" s="1"/>
  <c r="I1988" i="14"/>
  <c r="I1989" i="14" s="1"/>
  <c r="G1983" i="14"/>
  <c r="I1983" i="14" s="1"/>
  <c r="I1984" i="14" s="1"/>
  <c r="H1978" i="14"/>
  <c r="I1978" i="14" s="1"/>
  <c r="I1977" i="14"/>
  <c r="F1950" i="14"/>
  <c r="G1950" i="14" s="1"/>
  <c r="I1950" i="14" s="1"/>
  <c r="H1949" i="14"/>
  <c r="H1950" i="14" s="1"/>
  <c r="F1949" i="14"/>
  <c r="G1949" i="14" s="1"/>
  <c r="I1949" i="14" s="1"/>
  <c r="F1948" i="14"/>
  <c r="G1948" i="14" s="1"/>
  <c r="I1948" i="14" s="1"/>
  <c r="I1943" i="14"/>
  <c r="I1944" i="14" s="1"/>
  <c r="G1938" i="14"/>
  <c r="I1938" i="14" s="1"/>
  <c r="I1939" i="14" s="1"/>
  <c r="H1933" i="14"/>
  <c r="I1933" i="14" s="1"/>
  <c r="I1932" i="14"/>
  <c r="F1905" i="14"/>
  <c r="G1905" i="14" s="1"/>
  <c r="H1904" i="14"/>
  <c r="H1905" i="14" s="1"/>
  <c r="I1905" i="14" s="1"/>
  <c r="F1904" i="14"/>
  <c r="G1904" i="14" s="1"/>
  <c r="I1904" i="14" s="1"/>
  <c r="F1903" i="14"/>
  <c r="G1903" i="14" s="1"/>
  <c r="I1903" i="14" s="1"/>
  <c r="I1898" i="14"/>
  <c r="I1899" i="14" s="1"/>
  <c r="G1893" i="14"/>
  <c r="I1893" i="14" s="1"/>
  <c r="I1894" i="14" s="1"/>
  <c r="H1888" i="14"/>
  <c r="I1888" i="14" s="1"/>
  <c r="I1887" i="14"/>
  <c r="G1860" i="14"/>
  <c r="F1860" i="14"/>
  <c r="H1859" i="14"/>
  <c r="H1860" i="14" s="1"/>
  <c r="F1859" i="14"/>
  <c r="G1859" i="14" s="1"/>
  <c r="I1859" i="14" s="1"/>
  <c r="F1858" i="14"/>
  <c r="G1858" i="14" s="1"/>
  <c r="I1858" i="14" s="1"/>
  <c r="I1853" i="14"/>
  <c r="I1854" i="14" s="1"/>
  <c r="G1848" i="14"/>
  <c r="I1848" i="14" s="1"/>
  <c r="I1849" i="14" s="1"/>
  <c r="H1843" i="14"/>
  <c r="I1843" i="14" s="1"/>
  <c r="I1844" i="14" s="1"/>
  <c r="I1842" i="14"/>
  <c r="F1815" i="14"/>
  <c r="G1815" i="14" s="1"/>
  <c r="H1814" i="14"/>
  <c r="H1815" i="14" s="1"/>
  <c r="F1814" i="14"/>
  <c r="G1814" i="14" s="1"/>
  <c r="I1814" i="14" s="1"/>
  <c r="I1813" i="14"/>
  <c r="F1813" i="14"/>
  <c r="G1813" i="14" s="1"/>
  <c r="I1808" i="14"/>
  <c r="I1809" i="14" s="1"/>
  <c r="G1803" i="14"/>
  <c r="I1803" i="14" s="1"/>
  <c r="I1804" i="14" s="1"/>
  <c r="H1798" i="14"/>
  <c r="I1798" i="14" s="1"/>
  <c r="I1799" i="14" s="1"/>
  <c r="I1797" i="14"/>
  <c r="F1770" i="14"/>
  <c r="G1770" i="14" s="1"/>
  <c r="I1770" i="14" s="1"/>
  <c r="H1769" i="14"/>
  <c r="H1770" i="14" s="1"/>
  <c r="F1769" i="14"/>
  <c r="G1769" i="14" s="1"/>
  <c r="I1769" i="14" s="1"/>
  <c r="F1768" i="14"/>
  <c r="G1768" i="14" s="1"/>
  <c r="I1768" i="14" s="1"/>
  <c r="I1763" i="14"/>
  <c r="I1764" i="14" s="1"/>
  <c r="G1758" i="14"/>
  <c r="I1758" i="14" s="1"/>
  <c r="I1759" i="14" s="1"/>
  <c r="I1754" i="14"/>
  <c r="I1753" i="14"/>
  <c r="I1752" i="14"/>
  <c r="H1725" i="14"/>
  <c r="F1725" i="14"/>
  <c r="G1725" i="14" s="1"/>
  <c r="I1725" i="14" s="1"/>
  <c r="F1724" i="14"/>
  <c r="G1724" i="14" s="1"/>
  <c r="I1724" i="14" s="1"/>
  <c r="F1723" i="14"/>
  <c r="G1723" i="14" s="1"/>
  <c r="I1723" i="14" s="1"/>
  <c r="I1718" i="14"/>
  <c r="I1719" i="14" s="1"/>
  <c r="G1713" i="14"/>
  <c r="I1713" i="14" s="1"/>
  <c r="I1714" i="14" s="1"/>
  <c r="I1708" i="14"/>
  <c r="I1707" i="14"/>
  <c r="H1680" i="14"/>
  <c r="F1680" i="14"/>
  <c r="G1680" i="14" s="1"/>
  <c r="I1680" i="14" s="1"/>
  <c r="F1679" i="14"/>
  <c r="G1679" i="14" s="1"/>
  <c r="I1679" i="14" s="1"/>
  <c r="I1681" i="14" s="1"/>
  <c r="I1678" i="14"/>
  <c r="F1678" i="14"/>
  <c r="G1678" i="14" s="1"/>
  <c r="I1673" i="14"/>
  <c r="I1674" i="14" s="1"/>
  <c r="G1668" i="14"/>
  <c r="I1668" i="14" s="1"/>
  <c r="I1669" i="14" s="1"/>
  <c r="I1663" i="14"/>
  <c r="I1662" i="14"/>
  <c r="I1664" i="14" s="1"/>
  <c r="I1683" i="14" s="1"/>
  <c r="K1676" i="14" s="1"/>
  <c r="H1635" i="14"/>
  <c r="F1635" i="14"/>
  <c r="G1635" i="14" s="1"/>
  <c r="I1635" i="14" s="1"/>
  <c r="H1634" i="14"/>
  <c r="F1634" i="14"/>
  <c r="G1634" i="14" s="1"/>
  <c r="I1634" i="14" s="1"/>
  <c r="F1633" i="14"/>
  <c r="G1633" i="14" s="1"/>
  <c r="I1633" i="14" s="1"/>
  <c r="I1628" i="14"/>
  <c r="I1629" i="14" s="1"/>
  <c r="G1623" i="14"/>
  <c r="I1623" i="14" s="1"/>
  <c r="I1624" i="14" s="1"/>
  <c r="I1618" i="14"/>
  <c r="I1617" i="14"/>
  <c r="I1619" i="14" s="1"/>
  <c r="H1590" i="14"/>
  <c r="F1590" i="14"/>
  <c r="G1590" i="14" s="1"/>
  <c r="H1589" i="14"/>
  <c r="I1589" i="14" s="1"/>
  <c r="F1589" i="14"/>
  <c r="G1589" i="14" s="1"/>
  <c r="F1588" i="14"/>
  <c r="G1588" i="14" s="1"/>
  <c r="I1588" i="14" s="1"/>
  <c r="I1583" i="14"/>
  <c r="I1584" i="14" s="1"/>
  <c r="G1578" i="14"/>
  <c r="I1578" i="14" s="1"/>
  <c r="I1579" i="14" s="1"/>
  <c r="I1573" i="14"/>
  <c r="I1572" i="14"/>
  <c r="H1545" i="14"/>
  <c r="F1545" i="14"/>
  <c r="G1545" i="14" s="1"/>
  <c r="I1545" i="14" s="1"/>
  <c r="H1544" i="14"/>
  <c r="F1544" i="14"/>
  <c r="G1544" i="14" s="1"/>
  <c r="I1544" i="14" s="1"/>
  <c r="F1543" i="14"/>
  <c r="G1543" i="14" s="1"/>
  <c r="I1543" i="14" s="1"/>
  <c r="I1539" i="14"/>
  <c r="I1538" i="14"/>
  <c r="G1533" i="14"/>
  <c r="I1533" i="14" s="1"/>
  <c r="I1534" i="14" s="1"/>
  <c r="I1529" i="14"/>
  <c r="I1528" i="14"/>
  <c r="I1527" i="14"/>
  <c r="H1500" i="14"/>
  <c r="F1500" i="14"/>
  <c r="G1500" i="14" s="1"/>
  <c r="H1499" i="14"/>
  <c r="F1499" i="14"/>
  <c r="G1499" i="14" s="1"/>
  <c r="I1499" i="14" s="1"/>
  <c r="F1498" i="14"/>
  <c r="G1498" i="14" s="1"/>
  <c r="I1498" i="14" s="1"/>
  <c r="I1493" i="14"/>
  <c r="I1494" i="14" s="1"/>
  <c r="G1488" i="14"/>
  <c r="I1488" i="14" s="1"/>
  <c r="I1489" i="14" s="1"/>
  <c r="I1483" i="14"/>
  <c r="I1482" i="14"/>
  <c r="H1455" i="14"/>
  <c r="F1455" i="14"/>
  <c r="G1455" i="14" s="1"/>
  <c r="I1454" i="14"/>
  <c r="H1454" i="14"/>
  <c r="G1454" i="14"/>
  <c r="F1454" i="14"/>
  <c r="F1453" i="14"/>
  <c r="G1453" i="14" s="1"/>
  <c r="I1453" i="14" s="1"/>
  <c r="I1448" i="14"/>
  <c r="I1449" i="14" s="1"/>
  <c r="G1443" i="14"/>
  <c r="I1443" i="14" s="1"/>
  <c r="I1444" i="14" s="1"/>
  <c r="I1438" i="14"/>
  <c r="I1437" i="14"/>
  <c r="H1410" i="14"/>
  <c r="F1410" i="14"/>
  <c r="G1410" i="14" s="1"/>
  <c r="I1410" i="14" s="1"/>
  <c r="H1409" i="14"/>
  <c r="F1409" i="14"/>
  <c r="G1409" i="14" s="1"/>
  <c r="I1409" i="14" s="1"/>
  <c r="F1408" i="14"/>
  <c r="G1408" i="14" s="1"/>
  <c r="I1408" i="14" s="1"/>
  <c r="I1403" i="14"/>
  <c r="I1404" i="14" s="1"/>
  <c r="G1398" i="14"/>
  <c r="I1398" i="14" s="1"/>
  <c r="I1399" i="14" s="1"/>
  <c r="I1393" i="14"/>
  <c r="I1392" i="14"/>
  <c r="H1365" i="14"/>
  <c r="F1365" i="14"/>
  <c r="G1365" i="14" s="1"/>
  <c r="I1365" i="14" s="1"/>
  <c r="H1364" i="14"/>
  <c r="F1364" i="14"/>
  <c r="G1364" i="14" s="1"/>
  <c r="I1364" i="14" s="1"/>
  <c r="F1363" i="14"/>
  <c r="G1363" i="14" s="1"/>
  <c r="I1363" i="14" s="1"/>
  <c r="I1358" i="14"/>
  <c r="I1359" i="14" s="1"/>
  <c r="G1353" i="14"/>
  <c r="I1353" i="14" s="1"/>
  <c r="I1354" i="14" s="1"/>
  <c r="I1348" i="14"/>
  <c r="I1347" i="14"/>
  <c r="H1319" i="14"/>
  <c r="F1319" i="14"/>
  <c r="G1319" i="14" s="1"/>
  <c r="I1319" i="14" s="1"/>
  <c r="H1318" i="14"/>
  <c r="F1318" i="14"/>
  <c r="G1318" i="14" s="1"/>
  <c r="I1317" i="14"/>
  <c r="F1317" i="14"/>
  <c r="G1317" i="14" s="1"/>
  <c r="I1312" i="14"/>
  <c r="I1313" i="14" s="1"/>
  <c r="G1307" i="14"/>
  <c r="I1307" i="14" s="1"/>
  <c r="I1308" i="14" s="1"/>
  <c r="I1302" i="14"/>
  <c r="I1301" i="14"/>
  <c r="I1303" i="14" s="1"/>
  <c r="H1274" i="14"/>
  <c r="F1274" i="14"/>
  <c r="G1274" i="14" s="1"/>
  <c r="I1274" i="14" s="1"/>
  <c r="H1273" i="14"/>
  <c r="F1273" i="14"/>
  <c r="G1273" i="14" s="1"/>
  <c r="I1273" i="14" s="1"/>
  <c r="F1272" i="14"/>
  <c r="G1272" i="14" s="1"/>
  <c r="I1272" i="14" s="1"/>
  <c r="I1275" i="14" s="1"/>
  <c r="I1267" i="14"/>
  <c r="I1268" i="14" s="1"/>
  <c r="G1262" i="14"/>
  <c r="I1262" i="14" s="1"/>
  <c r="I1263" i="14" s="1"/>
  <c r="I1257" i="14"/>
  <c r="I1256" i="14"/>
  <c r="I1258" i="14" s="1"/>
  <c r="I1229" i="14"/>
  <c r="I1230" i="14" s="1"/>
  <c r="H1229" i="14"/>
  <c r="F1229" i="14"/>
  <c r="G1229" i="14" s="1"/>
  <c r="H1228" i="14"/>
  <c r="G1228" i="14"/>
  <c r="I1228" i="14" s="1"/>
  <c r="F1228" i="14"/>
  <c r="F1227" i="14"/>
  <c r="G1227" i="14" s="1"/>
  <c r="I1227" i="14" s="1"/>
  <c r="I1222" i="14"/>
  <c r="I1223" i="14" s="1"/>
  <c r="G1217" i="14"/>
  <c r="I1217" i="14" s="1"/>
  <c r="I1218" i="14" s="1"/>
  <c r="I1212" i="14"/>
  <c r="I1211" i="14"/>
  <c r="I1213" i="14" s="1"/>
  <c r="H1184" i="14"/>
  <c r="F1184" i="14"/>
  <c r="G1184" i="14" s="1"/>
  <c r="H1183" i="14"/>
  <c r="F1183" i="14"/>
  <c r="G1183" i="14" s="1"/>
  <c r="I1183" i="14" s="1"/>
  <c r="F1182" i="14"/>
  <c r="G1182" i="14" s="1"/>
  <c r="I1182" i="14" s="1"/>
  <c r="I1177" i="14"/>
  <c r="I1178" i="14" s="1"/>
  <c r="I1172" i="14"/>
  <c r="I1173" i="14" s="1"/>
  <c r="G1172" i="14"/>
  <c r="I1167" i="14"/>
  <c r="I1166" i="14"/>
  <c r="H1139" i="14"/>
  <c r="F1139" i="14"/>
  <c r="G1139" i="14" s="1"/>
  <c r="I1139" i="14" s="1"/>
  <c r="H1138" i="14"/>
  <c r="F1138" i="14"/>
  <c r="G1138" i="14" s="1"/>
  <c r="I1138" i="14" s="1"/>
  <c r="F1137" i="14"/>
  <c r="G1137" i="14" s="1"/>
  <c r="I1137" i="14" s="1"/>
  <c r="I1132" i="14"/>
  <c r="I1133" i="14" s="1"/>
  <c r="G1127" i="14"/>
  <c r="I1127" i="14" s="1"/>
  <c r="I1128" i="14" s="1"/>
  <c r="I1122" i="14"/>
  <c r="I1121" i="14"/>
  <c r="I1123" i="14" s="1"/>
  <c r="H1094" i="14"/>
  <c r="F1094" i="14"/>
  <c r="G1094" i="14" s="1"/>
  <c r="H1093" i="14"/>
  <c r="F1093" i="14"/>
  <c r="G1093" i="14" s="1"/>
  <c r="I1093" i="14" s="1"/>
  <c r="F1092" i="14"/>
  <c r="G1092" i="14" s="1"/>
  <c r="I1092" i="14" s="1"/>
  <c r="I1087" i="14"/>
  <c r="I1088" i="14" s="1"/>
  <c r="G1082" i="14"/>
  <c r="I1082" i="14" s="1"/>
  <c r="I1083" i="14" s="1"/>
  <c r="I1077" i="14"/>
  <c r="I1076" i="14"/>
  <c r="I1078" i="14" s="1"/>
  <c r="H1049" i="14"/>
  <c r="F1049" i="14"/>
  <c r="G1049" i="14" s="1"/>
  <c r="I1049" i="14" s="1"/>
  <c r="H1048" i="14"/>
  <c r="F1048" i="14"/>
  <c r="G1048" i="14" s="1"/>
  <c r="I1048" i="14" s="1"/>
  <c r="F1047" i="14"/>
  <c r="G1047" i="14" s="1"/>
  <c r="I1047" i="14" s="1"/>
  <c r="I1043" i="14"/>
  <c r="I1042" i="14"/>
  <c r="G1037" i="14"/>
  <c r="I1037" i="14" s="1"/>
  <c r="I1038" i="14" s="1"/>
  <c r="I1032" i="14"/>
  <c r="I1031" i="14"/>
  <c r="I1033" i="14" s="1"/>
  <c r="H1004" i="14"/>
  <c r="F1004" i="14"/>
  <c r="G1004" i="14" s="1"/>
  <c r="I1004" i="14" s="1"/>
  <c r="H1003" i="14"/>
  <c r="F1003" i="14"/>
  <c r="G1003" i="14" s="1"/>
  <c r="F1002" i="14"/>
  <c r="G1002" i="14" s="1"/>
  <c r="I1002" i="14" s="1"/>
  <c r="I997" i="14"/>
  <c r="I998" i="14" s="1"/>
  <c r="G992" i="14"/>
  <c r="I992" i="14" s="1"/>
  <c r="I993" i="14" s="1"/>
  <c r="I988" i="14"/>
  <c r="I987" i="14"/>
  <c r="I986" i="14"/>
  <c r="H959" i="14"/>
  <c r="F959" i="14"/>
  <c r="G959" i="14" s="1"/>
  <c r="I959" i="14" s="1"/>
  <c r="H958" i="14"/>
  <c r="F958" i="14"/>
  <c r="G958" i="14" s="1"/>
  <c r="F957" i="14"/>
  <c r="G957" i="14" s="1"/>
  <c r="I957" i="14" s="1"/>
  <c r="I952" i="14"/>
  <c r="I953" i="14" s="1"/>
  <c r="G947" i="14"/>
  <c r="I947" i="14" s="1"/>
  <c r="I948" i="14" s="1"/>
  <c r="I942" i="14"/>
  <c r="I941" i="14"/>
  <c r="I943" i="14" s="1"/>
  <c r="H914" i="14"/>
  <c r="F914" i="14"/>
  <c r="G914" i="14" s="1"/>
  <c r="I914" i="14" s="1"/>
  <c r="I913" i="14"/>
  <c r="H913" i="14"/>
  <c r="G913" i="14"/>
  <c r="F913" i="14"/>
  <c r="F912" i="14"/>
  <c r="G912" i="14" s="1"/>
  <c r="I912" i="14" s="1"/>
  <c r="I907" i="14"/>
  <c r="I908" i="14" s="1"/>
  <c r="G902" i="14"/>
  <c r="I902" i="14" s="1"/>
  <c r="I903" i="14" s="1"/>
  <c r="I897" i="14"/>
  <c r="I896" i="14"/>
  <c r="I898" i="14" s="1"/>
  <c r="H869" i="14"/>
  <c r="F869" i="14"/>
  <c r="G869" i="14" s="1"/>
  <c r="I869" i="14" s="1"/>
  <c r="H868" i="14"/>
  <c r="F868" i="14"/>
  <c r="G868" i="14" s="1"/>
  <c r="F867" i="14"/>
  <c r="G867" i="14" s="1"/>
  <c r="I867" i="14" s="1"/>
  <c r="I863" i="14"/>
  <c r="I862" i="14"/>
  <c r="G857" i="14"/>
  <c r="I857" i="14" s="1"/>
  <c r="I858" i="14" s="1"/>
  <c r="I852" i="14"/>
  <c r="I851" i="14"/>
  <c r="I853" i="14" s="1"/>
  <c r="H824" i="14"/>
  <c r="F824" i="14"/>
  <c r="G824" i="14" s="1"/>
  <c r="I824" i="14" s="1"/>
  <c r="H823" i="14"/>
  <c r="F823" i="14"/>
  <c r="G823" i="14" s="1"/>
  <c r="I823" i="14" s="1"/>
  <c r="F822" i="14"/>
  <c r="G822" i="14" s="1"/>
  <c r="I822" i="14" s="1"/>
  <c r="I825" i="14" s="1"/>
  <c r="I817" i="14"/>
  <c r="I818" i="14" s="1"/>
  <c r="G812" i="14"/>
  <c r="I812" i="14" s="1"/>
  <c r="I813" i="14" s="1"/>
  <c r="I808" i="14"/>
  <c r="I807" i="14"/>
  <c r="I806" i="14"/>
  <c r="H779" i="14"/>
  <c r="F779" i="14"/>
  <c r="G779" i="14" s="1"/>
  <c r="I779" i="14" s="1"/>
  <c r="H778" i="14"/>
  <c r="F778" i="14"/>
  <c r="G778" i="14" s="1"/>
  <c r="I778" i="14" s="1"/>
  <c r="F777" i="14"/>
  <c r="G777" i="14" s="1"/>
  <c r="I777" i="14" s="1"/>
  <c r="I772" i="14"/>
  <c r="I773" i="14" s="1"/>
  <c r="G767" i="14"/>
  <c r="I767" i="14" s="1"/>
  <c r="I768" i="14" s="1"/>
  <c r="I762" i="14"/>
  <c r="I761" i="14"/>
  <c r="I763" i="14" s="1"/>
  <c r="H734" i="14"/>
  <c r="F734" i="14"/>
  <c r="G734" i="14" s="1"/>
  <c r="I734" i="14" s="1"/>
  <c r="H733" i="14"/>
  <c r="G733" i="14"/>
  <c r="F733" i="14"/>
  <c r="F732" i="14"/>
  <c r="G732" i="14" s="1"/>
  <c r="I732" i="14" s="1"/>
  <c r="I728" i="14"/>
  <c r="I727" i="14"/>
  <c r="I722" i="14"/>
  <c r="I723" i="14" s="1"/>
  <c r="G722" i="14"/>
  <c r="I717" i="14"/>
  <c r="I716" i="14"/>
  <c r="I718" i="14" s="1"/>
  <c r="H689" i="14"/>
  <c r="F689" i="14"/>
  <c r="G689" i="14" s="1"/>
  <c r="I689" i="14" s="1"/>
  <c r="H688" i="14"/>
  <c r="F688" i="14"/>
  <c r="G688" i="14" s="1"/>
  <c r="F687" i="14"/>
  <c r="G687" i="14" s="1"/>
  <c r="I687" i="14" s="1"/>
  <c r="I682" i="14"/>
  <c r="I683" i="14" s="1"/>
  <c r="G677" i="14"/>
  <c r="I677" i="14" s="1"/>
  <c r="I678" i="14" s="1"/>
  <c r="I673" i="14"/>
  <c r="I672" i="14"/>
  <c r="I671" i="14"/>
  <c r="H644" i="14"/>
  <c r="F644" i="14"/>
  <c r="G644" i="14" s="1"/>
  <c r="H643" i="14"/>
  <c r="F643" i="14"/>
  <c r="G643" i="14" s="1"/>
  <c r="I643" i="14" s="1"/>
  <c r="F642" i="14"/>
  <c r="G642" i="14" s="1"/>
  <c r="I642" i="14" s="1"/>
  <c r="I637" i="14"/>
  <c r="I638" i="14" s="1"/>
  <c r="G632" i="14"/>
  <c r="I632" i="14" s="1"/>
  <c r="I633" i="14" s="1"/>
  <c r="I627" i="14"/>
  <c r="I626" i="14"/>
  <c r="I628" i="14" s="1"/>
  <c r="H599" i="14"/>
  <c r="F599" i="14"/>
  <c r="G599" i="14" s="1"/>
  <c r="I599" i="14" s="1"/>
  <c r="H598" i="14"/>
  <c r="G598" i="14"/>
  <c r="F598" i="14"/>
  <c r="F597" i="14"/>
  <c r="G597" i="14" s="1"/>
  <c r="I597" i="14" s="1"/>
  <c r="I592" i="14"/>
  <c r="I593" i="14" s="1"/>
  <c r="G587" i="14"/>
  <c r="I587" i="14" s="1"/>
  <c r="I588" i="14" s="1"/>
  <c r="I582" i="14"/>
  <c r="I581" i="14"/>
  <c r="I583" i="14" s="1"/>
  <c r="H554" i="14"/>
  <c r="F554" i="14"/>
  <c r="G554" i="14" s="1"/>
  <c r="I554" i="14" s="1"/>
  <c r="H553" i="14"/>
  <c r="F553" i="14"/>
  <c r="G553" i="14" s="1"/>
  <c r="I553" i="14" s="1"/>
  <c r="F552" i="14"/>
  <c r="G552" i="14" s="1"/>
  <c r="I552" i="14" s="1"/>
  <c r="I547" i="14"/>
  <c r="I548" i="14" s="1"/>
  <c r="G542" i="14"/>
  <c r="I542" i="14" s="1"/>
  <c r="I543" i="14" s="1"/>
  <c r="I537" i="14"/>
  <c r="I536" i="14"/>
  <c r="H509" i="14"/>
  <c r="F509" i="14"/>
  <c r="G509" i="14" s="1"/>
  <c r="H508" i="14"/>
  <c r="F508" i="14"/>
  <c r="G508" i="14" s="1"/>
  <c r="I508" i="14" s="1"/>
  <c r="F507" i="14"/>
  <c r="G507" i="14" s="1"/>
  <c r="I507" i="14" s="1"/>
  <c r="I502" i="14"/>
  <c r="I503" i="14" s="1"/>
  <c r="G497" i="14"/>
  <c r="I497" i="14" s="1"/>
  <c r="I498" i="14" s="1"/>
  <c r="I492" i="14"/>
  <c r="I491" i="14"/>
  <c r="H463" i="14"/>
  <c r="F463" i="14"/>
  <c r="G463" i="14" s="1"/>
  <c r="H462" i="14"/>
  <c r="F462" i="14"/>
  <c r="G462" i="14" s="1"/>
  <c r="I462" i="14" s="1"/>
  <c r="F461" i="14"/>
  <c r="G461" i="14" s="1"/>
  <c r="I461" i="14" s="1"/>
  <c r="I456" i="14"/>
  <c r="I457" i="14" s="1"/>
  <c r="G451" i="14"/>
  <c r="I451" i="14" s="1"/>
  <c r="I452" i="14" s="1"/>
  <c r="I446" i="14"/>
  <c r="I445" i="14"/>
  <c r="H417" i="14"/>
  <c r="F417" i="14"/>
  <c r="G417" i="14" s="1"/>
  <c r="H416" i="14"/>
  <c r="F416" i="14"/>
  <c r="G416" i="14" s="1"/>
  <c r="I416" i="14" s="1"/>
  <c r="F415" i="14"/>
  <c r="G415" i="14" s="1"/>
  <c r="I415" i="14" s="1"/>
  <c r="I410" i="14"/>
  <c r="I411" i="14" s="1"/>
  <c r="G405" i="14"/>
  <c r="I405" i="14" s="1"/>
  <c r="I406" i="14" s="1"/>
  <c r="I400" i="14"/>
  <c r="I399" i="14"/>
  <c r="I401" i="14" s="1"/>
  <c r="H371" i="14"/>
  <c r="F371" i="14"/>
  <c r="G371" i="14" s="1"/>
  <c r="I371" i="14" s="1"/>
  <c r="H370" i="14"/>
  <c r="F370" i="14"/>
  <c r="G370" i="14" s="1"/>
  <c r="I370" i="14" s="1"/>
  <c r="F369" i="14"/>
  <c r="G369" i="14" s="1"/>
  <c r="I369" i="14" s="1"/>
  <c r="I364" i="14"/>
  <c r="I365" i="14" s="1"/>
  <c r="G359" i="14"/>
  <c r="I359" i="14" s="1"/>
  <c r="I360" i="14" s="1"/>
  <c r="I354" i="14"/>
  <c r="I355" i="14" s="1"/>
  <c r="I353" i="14"/>
  <c r="H325" i="14"/>
  <c r="F325" i="14"/>
  <c r="G325" i="14" s="1"/>
  <c r="H324" i="14"/>
  <c r="F324" i="14"/>
  <c r="G324" i="14" s="1"/>
  <c r="I324" i="14" s="1"/>
  <c r="F323" i="14"/>
  <c r="G323" i="14" s="1"/>
  <c r="I323" i="14" s="1"/>
  <c r="I318" i="14"/>
  <c r="I319" i="14" s="1"/>
  <c r="G313" i="14"/>
  <c r="I313" i="14" s="1"/>
  <c r="I314" i="14" s="1"/>
  <c r="I308" i="14"/>
  <c r="I307" i="14"/>
  <c r="H279" i="14"/>
  <c r="F279" i="14"/>
  <c r="G279" i="14" s="1"/>
  <c r="H278" i="14"/>
  <c r="F278" i="14"/>
  <c r="G278" i="14" s="1"/>
  <c r="I278" i="14" s="1"/>
  <c r="F277" i="14"/>
  <c r="G277" i="14" s="1"/>
  <c r="I277" i="14" s="1"/>
  <c r="I273" i="14"/>
  <c r="I272" i="14"/>
  <c r="I268" i="14"/>
  <c r="I267" i="14"/>
  <c r="G266" i="14"/>
  <c r="I266" i="14" s="1"/>
  <c r="I261" i="14"/>
  <c r="I260" i="14"/>
  <c r="I259" i="14"/>
  <c r="I262" i="14" s="1"/>
  <c r="H231" i="14"/>
  <c r="F231" i="14"/>
  <c r="G231" i="14" s="1"/>
  <c r="I231" i="14" s="1"/>
  <c r="H230" i="14"/>
  <c r="F230" i="14"/>
  <c r="G230" i="14" s="1"/>
  <c r="I230" i="14" s="1"/>
  <c r="F229" i="14"/>
  <c r="G229" i="14" s="1"/>
  <c r="I229" i="14" s="1"/>
  <c r="I233" i="14" s="1"/>
  <c r="I224" i="14"/>
  <c r="I225" i="14" s="1"/>
  <c r="I219" i="14"/>
  <c r="G218" i="14"/>
  <c r="I218" i="14" s="1"/>
  <c r="I220" i="14" s="1"/>
  <c r="I213" i="14"/>
  <c r="I212" i="14"/>
  <c r="I211" i="14"/>
  <c r="I183" i="14"/>
  <c r="H183" i="14"/>
  <c r="F183" i="14"/>
  <c r="G183" i="14" s="1"/>
  <c r="H182" i="14"/>
  <c r="F182" i="14"/>
  <c r="G182" i="14" s="1"/>
  <c r="I182" i="14" s="1"/>
  <c r="F181" i="14"/>
  <c r="G181" i="14" s="1"/>
  <c r="I181" i="14" s="1"/>
  <c r="I176" i="14"/>
  <c r="I177" i="14" s="1"/>
  <c r="I171" i="14"/>
  <c r="G170" i="14"/>
  <c r="I170" i="14" s="1"/>
  <c r="I172" i="14" s="1"/>
  <c r="I165" i="14"/>
  <c r="I164" i="14"/>
  <c r="I163" i="14"/>
  <c r="H135" i="14"/>
  <c r="F135" i="14"/>
  <c r="G135" i="14" s="1"/>
  <c r="I135" i="14" s="1"/>
  <c r="H134" i="14"/>
  <c r="F134" i="14"/>
  <c r="G134" i="14" s="1"/>
  <c r="F133" i="14"/>
  <c r="G133" i="14" s="1"/>
  <c r="I133" i="14" s="1"/>
  <c r="I128" i="14"/>
  <c r="I129" i="14" s="1"/>
  <c r="I123" i="14"/>
  <c r="G122" i="14"/>
  <c r="I122" i="14" s="1"/>
  <c r="I117" i="14"/>
  <c r="I116" i="14"/>
  <c r="I118" i="14" s="1"/>
  <c r="I115" i="14"/>
  <c r="H86" i="14"/>
  <c r="F86" i="14"/>
  <c r="G86" i="14" s="1"/>
  <c r="H85" i="14"/>
  <c r="F85" i="14"/>
  <c r="G85" i="14" s="1"/>
  <c r="I85" i="14" s="1"/>
  <c r="F84" i="14"/>
  <c r="G84" i="14" s="1"/>
  <c r="I84" i="14" s="1"/>
  <c r="I79" i="14"/>
  <c r="I80" i="14" s="1"/>
  <c r="I74" i="14"/>
  <c r="G73" i="14"/>
  <c r="I73" i="14" s="1"/>
  <c r="I68" i="14"/>
  <c r="I67" i="14"/>
  <c r="I66" i="14"/>
  <c r="H37" i="14"/>
  <c r="G37" i="14"/>
  <c r="F37" i="14"/>
  <c r="H36" i="14"/>
  <c r="F36" i="14"/>
  <c r="G36" i="14" s="1"/>
  <c r="I36" i="14" s="1"/>
  <c r="F35" i="14"/>
  <c r="G35" i="14" s="1"/>
  <c r="I35" i="14" s="1"/>
  <c r="I30" i="14"/>
  <c r="I31" i="14" s="1"/>
  <c r="I25" i="14"/>
  <c r="G24" i="14"/>
  <c r="I24" i="14" s="1"/>
  <c r="I26" i="14" s="1"/>
  <c r="I19" i="14"/>
  <c r="I18" i="14"/>
  <c r="I17" i="14"/>
  <c r="I1996" i="14" l="1"/>
  <c r="I2627" i="14"/>
  <c r="I2537" i="14"/>
  <c r="I3259" i="14"/>
  <c r="I3261" i="14" s="1"/>
  <c r="K3255" i="14" s="1"/>
  <c r="I3979" i="14"/>
  <c r="I3827" i="14"/>
  <c r="I3846" i="14" s="1"/>
  <c r="K3840" i="14" s="1"/>
  <c r="I2718" i="14"/>
  <c r="I2719" i="14" s="1"/>
  <c r="I2721" i="14" s="1"/>
  <c r="K2714" i="14" s="1"/>
  <c r="I917" i="14"/>
  <c r="I645" i="14"/>
  <c r="I647" i="14" s="1"/>
  <c r="K642" i="14" s="1"/>
  <c r="I2901" i="14"/>
  <c r="K2895" i="14" s="1"/>
  <c r="I2222" i="14"/>
  <c r="I2223" i="14" s="1"/>
  <c r="I2225" i="14" s="1"/>
  <c r="I3213" i="14"/>
  <c r="I915" i="14"/>
  <c r="I3033" i="14"/>
  <c r="I3347" i="14"/>
  <c r="I2341" i="14"/>
  <c r="I1934" i="14"/>
  <c r="I1094" i="14"/>
  <c r="I3664" i="14"/>
  <c r="I3666" i="14" s="1"/>
  <c r="K3659" i="14" s="1"/>
  <c r="I69" i="14"/>
  <c r="I733" i="14"/>
  <c r="I735" i="14" s="1"/>
  <c r="I737" i="14" s="1"/>
  <c r="K732" i="14" s="1"/>
  <c r="I868" i="14"/>
  <c r="I3422" i="14"/>
  <c r="I2312" i="14"/>
  <c r="I20" i="14"/>
  <c r="I41" i="14" s="1"/>
  <c r="I37" i="14"/>
  <c r="I509" i="14"/>
  <c r="I1590" i="14"/>
  <c r="I75" i="14"/>
  <c r="I214" i="14"/>
  <c r="I235" i="14" s="1"/>
  <c r="I1318" i="14"/>
  <c r="I1455" i="14"/>
  <c r="I1456" i="14" s="1"/>
  <c r="I1458" i="14" s="1"/>
  <c r="K1448" i="14" s="1"/>
  <c r="I2086" i="14"/>
  <c r="I2087" i="14" s="1"/>
  <c r="I2089" i="14" s="1"/>
  <c r="K2082" i="14" s="1"/>
  <c r="I2357" i="14"/>
  <c r="I2358" i="14" s="1"/>
  <c r="I2360" i="14" s="1"/>
  <c r="K2354" i="14" s="1"/>
  <c r="I2626" i="14"/>
  <c r="I3078" i="14"/>
  <c r="I3079" i="14" s="1"/>
  <c r="I3528" i="14"/>
  <c r="I3797" i="14"/>
  <c r="I2972" i="14"/>
  <c r="I3214" i="14"/>
  <c r="I827" i="14"/>
  <c r="I1889" i="14"/>
  <c r="I1979" i="14"/>
  <c r="I1998" i="14" s="1"/>
  <c r="K1992" i="14" s="1"/>
  <c r="I3933" i="14"/>
  <c r="I2447" i="14"/>
  <c r="I279" i="14"/>
  <c r="I166" i="14"/>
  <c r="I373" i="14"/>
  <c r="I375" i="14" s="1"/>
  <c r="I2251" i="14"/>
  <c r="I309" i="14"/>
  <c r="I2656" i="14"/>
  <c r="I3512" i="14"/>
  <c r="I185" i="14"/>
  <c r="I1726" i="14"/>
  <c r="I870" i="14"/>
  <c r="I2899" i="14"/>
  <c r="I538" i="14"/>
  <c r="I1484" i="14"/>
  <c r="I1503" i="14" s="1"/>
  <c r="K1493" i="14" s="1"/>
  <c r="I1636" i="14"/>
  <c r="I1349" i="14"/>
  <c r="I1368" i="14" s="1"/>
  <c r="K1364" i="14" s="1"/>
  <c r="I2476" i="14"/>
  <c r="I688" i="14"/>
  <c r="I690" i="14" s="1"/>
  <c r="I692" i="14" s="1"/>
  <c r="K687" i="14" s="1"/>
  <c r="H3348" i="14"/>
  <c r="I3348" i="14" s="1"/>
  <c r="I3349" i="14" s="1"/>
  <c r="I3351" i="14" s="1"/>
  <c r="K3344" i="14" s="1"/>
  <c r="I3377" i="14"/>
  <c r="I2402" i="14"/>
  <c r="I2403" i="14" s="1"/>
  <c r="I510" i="14"/>
  <c r="I1095" i="14"/>
  <c r="I2431" i="14"/>
  <c r="I2450" i="14" s="1"/>
  <c r="K2443" i="14" s="1"/>
  <c r="I2671" i="14"/>
  <c r="I3917" i="14"/>
  <c r="I1771" i="14"/>
  <c r="I3618" i="14"/>
  <c r="I1003" i="14"/>
  <c r="I1005" i="14" s="1"/>
  <c r="I1007" i="14" s="1"/>
  <c r="K1002" i="14" s="1"/>
  <c r="I3062" i="14"/>
  <c r="I3753" i="14"/>
  <c r="I3754" i="14" s="1"/>
  <c r="I3756" i="14" s="1"/>
  <c r="K3750" i="14" s="1"/>
  <c r="I2853" i="14"/>
  <c r="I958" i="14"/>
  <c r="I960" i="14" s="1"/>
  <c r="I962" i="14" s="1"/>
  <c r="K957" i="14" s="1"/>
  <c r="I1500" i="14"/>
  <c r="I1501" i="14" s="1"/>
  <c r="I2024" i="14"/>
  <c r="I2267" i="14"/>
  <c r="I2268" i="14" s="1"/>
  <c r="I2270" i="14" s="1"/>
  <c r="K2267" i="14" s="1"/>
  <c r="I2566" i="14"/>
  <c r="I2585" i="14" s="1"/>
  <c r="K2575" i="14" s="1"/>
  <c r="I1184" i="14"/>
  <c r="I1709" i="14"/>
  <c r="I3709" i="14"/>
  <c r="I463" i="14"/>
  <c r="I465" i="14" s="1"/>
  <c r="I1439" i="14"/>
  <c r="I644" i="14"/>
  <c r="I1168" i="14"/>
  <c r="I2672" i="14"/>
  <c r="I2673" i="14" s="1"/>
  <c r="I3602" i="14"/>
  <c r="I3662" i="14"/>
  <c r="I1050" i="14"/>
  <c r="I1052" i="14" s="1"/>
  <c r="K1047" i="14" s="1"/>
  <c r="I1574" i="14"/>
  <c r="I1593" i="14" s="1"/>
  <c r="K1583" i="14" s="1"/>
  <c r="I417" i="14"/>
  <c r="I419" i="14" s="1"/>
  <c r="I421" i="14" s="1"/>
  <c r="I1394" i="14"/>
  <c r="I1951" i="14"/>
  <c r="I2161" i="14"/>
  <c r="I2808" i="14"/>
  <c r="I2809" i="14" s="1"/>
  <c r="I3529" i="14"/>
  <c r="I3531" i="14" s="1"/>
  <c r="K3525" i="14" s="1"/>
  <c r="I3843" i="14"/>
  <c r="I3844" i="14" s="1"/>
  <c r="I4007" i="14"/>
  <c r="I39" i="14"/>
  <c r="I187" i="14"/>
  <c r="I281" i="14"/>
  <c r="I283" i="14" s="1"/>
  <c r="I327" i="14"/>
  <c r="I329" i="14" s="1"/>
  <c r="I88" i="14"/>
  <c r="I90" i="14" s="1"/>
  <c r="K90" i="14" s="1"/>
  <c r="I134" i="14"/>
  <c r="I137" i="14" s="1"/>
  <c r="I447" i="14"/>
  <c r="I598" i="14"/>
  <c r="I600" i="14" s="1"/>
  <c r="I602" i="14" s="1"/>
  <c r="I1185" i="14"/>
  <c r="I1187" i="14" s="1"/>
  <c r="K1181" i="14" s="1"/>
  <c r="I1320" i="14"/>
  <c r="I1322" i="14" s="1"/>
  <c r="K1320" i="14" s="1"/>
  <c r="I1906" i="14"/>
  <c r="I2989" i="14"/>
  <c r="I2991" i="14" s="1"/>
  <c r="K2984" i="14" s="1"/>
  <c r="I3799" i="14"/>
  <c r="I3889" i="14"/>
  <c r="I1860" i="14"/>
  <c r="I1861" i="14" s="1"/>
  <c r="I1863" i="14" s="1"/>
  <c r="K1858" i="14" s="1"/>
  <c r="I124" i="14"/>
  <c r="I2448" i="14"/>
  <c r="I3034" i="14"/>
  <c r="I3036" i="14" s="1"/>
  <c r="K3030" i="14" s="1"/>
  <c r="I3392" i="14"/>
  <c r="I3394" i="14" s="1"/>
  <c r="I3396" i="14" s="1"/>
  <c r="K3390" i="14" s="1"/>
  <c r="I3574" i="14"/>
  <c r="I555" i="14"/>
  <c r="I557" i="14" s="1"/>
  <c r="K553" i="14" s="1"/>
  <c r="I780" i="14"/>
  <c r="I782" i="14" s="1"/>
  <c r="K777" i="14" s="1"/>
  <c r="K912" i="14"/>
  <c r="I86" i="14"/>
  <c r="I325" i="14"/>
  <c r="I493" i="14"/>
  <c r="I1773" i="14"/>
  <c r="K1766" i="14" s="1"/>
  <c r="I1908" i="14"/>
  <c r="I2313" i="14"/>
  <c r="I2315" i="14" s="1"/>
  <c r="I3572" i="14"/>
  <c r="I3711" i="14"/>
  <c r="K3704" i="14" s="1"/>
  <c r="I1277" i="14"/>
  <c r="K1270" i="14" s="1"/>
  <c r="I872" i="14"/>
  <c r="K867" i="14" s="1"/>
  <c r="I1728" i="14"/>
  <c r="K1721" i="14" s="1"/>
  <c r="I1816" i="14"/>
  <c r="I1818" i="14" s="1"/>
  <c r="K1811" i="14" s="1"/>
  <c r="I1140" i="14"/>
  <c r="I1142" i="14" s="1"/>
  <c r="K1136" i="14" s="1"/>
  <c r="I2041" i="14"/>
  <c r="I2043" i="14" s="1"/>
  <c r="I2764" i="14"/>
  <c r="I3801" i="14"/>
  <c r="K3795" i="14" s="1"/>
  <c r="I1366" i="14"/>
  <c r="I1232" i="14"/>
  <c r="K1228" i="14" s="1"/>
  <c r="I1546" i="14"/>
  <c r="I1548" i="14" s="1"/>
  <c r="K1538" i="14" s="1"/>
  <c r="I1638" i="14"/>
  <c r="I3124" i="14"/>
  <c r="I3126" i="14" s="1"/>
  <c r="K3119" i="14" s="1"/>
  <c r="K2942" i="14"/>
  <c r="I2988" i="14"/>
  <c r="I3303" i="14"/>
  <c r="I3304" i="14" s="1"/>
  <c r="I3306" i="14" s="1"/>
  <c r="K3299" i="14" s="1"/>
  <c r="I3393" i="14"/>
  <c r="K822" i="14"/>
  <c r="I1097" i="14"/>
  <c r="K1090" i="14" s="1"/>
  <c r="K1764" i="14"/>
  <c r="I2177" i="14"/>
  <c r="I2178" i="14" s="1"/>
  <c r="I2491" i="14"/>
  <c r="I2493" i="14" s="1"/>
  <c r="I3962" i="14"/>
  <c r="I1815" i="14"/>
  <c r="I3169" i="14"/>
  <c r="I3171" i="14" s="1"/>
  <c r="K3164" i="14" s="1"/>
  <c r="I2130" i="14"/>
  <c r="I2132" i="14" s="1"/>
  <c r="I2134" i="14" s="1"/>
  <c r="K2125" i="14" s="1"/>
  <c r="I2386" i="14"/>
  <c r="I4022" i="14"/>
  <c r="I4024" i="14" s="1"/>
  <c r="I4026" i="14" s="1"/>
  <c r="K4020" i="14" s="1"/>
  <c r="I1591" i="14"/>
  <c r="I1953" i="14"/>
  <c r="I3438" i="14"/>
  <c r="I3439" i="14" s="1"/>
  <c r="I3441" i="14" s="1"/>
  <c r="I3891" i="14"/>
  <c r="K3885" i="14" s="1"/>
  <c r="I1411" i="14"/>
  <c r="I1413" i="14" s="1"/>
  <c r="K1407" i="14" s="1"/>
  <c r="I2536" i="14"/>
  <c r="I2538" i="14" s="1"/>
  <c r="I2540" i="14" s="1"/>
  <c r="K2534" i="14" s="1"/>
  <c r="I2628" i="14"/>
  <c r="I2792" i="14"/>
  <c r="I2837" i="14"/>
  <c r="I2946" i="14"/>
  <c r="I3482" i="14"/>
  <c r="I3484" i="14" s="1"/>
  <c r="I3486" i="14" s="1"/>
  <c r="K3479" i="14" s="1"/>
  <c r="I3934" i="14"/>
  <c r="I3936" i="14" s="1"/>
  <c r="K3930" i="14" s="1"/>
  <c r="I2852" i="14"/>
  <c r="I3617" i="14"/>
  <c r="I3619" i="14" s="1"/>
  <c r="I3621" i="14" s="1"/>
  <c r="K3615" i="14" s="1"/>
  <c r="I2611" i="14"/>
  <c r="I3557" i="14"/>
  <c r="I4023" i="14"/>
  <c r="I2747" i="14"/>
  <c r="I3197" i="14"/>
  <c r="I3216" i="14" s="1"/>
  <c r="I2675" i="14" l="1"/>
  <c r="K2666" i="14" s="1"/>
  <c r="I3081" i="14"/>
  <c r="I512" i="14"/>
  <c r="K510" i="14" s="1"/>
  <c r="I2630" i="14"/>
  <c r="K2626" i="14" s="1"/>
  <c r="I2405" i="14"/>
  <c r="K2398" i="14" s="1"/>
  <c r="I2854" i="14"/>
  <c r="I2856" i="14" s="1"/>
  <c r="I467" i="14"/>
  <c r="K462" i="14" s="1"/>
  <c r="I3981" i="14"/>
  <c r="K3975" i="14" s="1"/>
  <c r="I2495" i="14"/>
  <c r="K2486" i="14" s="1"/>
  <c r="I2180" i="14"/>
  <c r="K2174" i="14" s="1"/>
  <c r="I139" i="14"/>
  <c r="K1092" i="14"/>
  <c r="I2766" i="14"/>
  <c r="K2754" i="14" s="1"/>
  <c r="I2811" i="14"/>
  <c r="I3576" i="14"/>
  <c r="K3569" i="14" s="1"/>
  <c r="K2620" i="14" l="1"/>
  <c r="K2850" i="14"/>
  <c r="K2847" i="14"/>
  <c r="I3224" i="13" l="1"/>
  <c r="E232" i="7" l="1"/>
  <c r="G232" i="7" s="1"/>
  <c r="E226" i="7"/>
  <c r="G226" i="7" s="1"/>
  <c r="E207" i="7"/>
  <c r="G207" i="7" s="1"/>
  <c r="E169" i="5"/>
  <c r="G169" i="5" s="1"/>
  <c r="E142" i="5"/>
  <c r="G142" i="5" s="1"/>
  <c r="E120" i="7"/>
  <c r="G120" i="7" s="1"/>
  <c r="E93" i="7"/>
  <c r="G93" i="7" s="1"/>
  <c r="E34" i="9"/>
  <c r="G34" i="9" s="1"/>
  <c r="E5" i="13"/>
  <c r="E4" i="13"/>
  <c r="K3" i="13"/>
  <c r="E3" i="13"/>
  <c r="G18" i="11"/>
  <c r="G21" i="11" s="1"/>
  <c r="L242" i="9"/>
  <c r="L243" i="9" s="1"/>
  <c r="E242" i="9"/>
  <c r="G242" i="9" s="1"/>
  <c r="G243" i="9" s="1"/>
  <c r="L240" i="9"/>
  <c r="L239" i="9"/>
  <c r="G238" i="9"/>
  <c r="L237" i="9"/>
  <c r="G237" i="9"/>
  <c r="L236" i="9"/>
  <c r="G236" i="9"/>
  <c r="L235" i="9"/>
  <c r="G235" i="9"/>
  <c r="L234" i="9"/>
  <c r="G234" i="9"/>
  <c r="L233" i="9"/>
  <c r="G233" i="9"/>
  <c r="L232" i="9"/>
  <c r="G232" i="9"/>
  <c r="L231" i="9"/>
  <c r="G231" i="9"/>
  <c r="K230" i="9"/>
  <c r="G230" i="9"/>
  <c r="L229" i="9"/>
  <c r="G229" i="9"/>
  <c r="L228" i="9"/>
  <c r="K228" i="9"/>
  <c r="G228" i="9"/>
  <c r="G227" i="9"/>
  <c r="G226" i="9"/>
  <c r="E226" i="9"/>
  <c r="G225" i="9"/>
  <c r="K224" i="9"/>
  <c r="G224" i="9"/>
  <c r="K223" i="9"/>
  <c r="G223" i="9"/>
  <c r="E222" i="9"/>
  <c r="G222" i="9" s="1"/>
  <c r="G221" i="9"/>
  <c r="G220" i="9"/>
  <c r="E220" i="9"/>
  <c r="K219" i="9"/>
  <c r="G219" i="9"/>
  <c r="E219" i="9"/>
  <c r="L218" i="9"/>
  <c r="M218" i="9" s="1"/>
  <c r="G218" i="9"/>
  <c r="L217" i="9"/>
  <c r="K217" i="9"/>
  <c r="G217" i="9"/>
  <c r="G216" i="9"/>
  <c r="G215" i="9"/>
  <c r="G214" i="9"/>
  <c r="G213" i="9"/>
  <c r="K212" i="9"/>
  <c r="L212" i="9" s="1"/>
  <c r="M212" i="9" s="1"/>
  <c r="G212" i="9"/>
  <c r="K211" i="9"/>
  <c r="G211" i="9"/>
  <c r="K210" i="9"/>
  <c r="G210" i="9"/>
  <c r="G209" i="9"/>
  <c r="G208" i="9"/>
  <c r="E207" i="9"/>
  <c r="G207" i="9" s="1"/>
  <c r="E205" i="9"/>
  <c r="G205" i="9" s="1"/>
  <c r="E204" i="9"/>
  <c r="G204" i="9" s="1"/>
  <c r="K203" i="9"/>
  <c r="G203" i="9"/>
  <c r="G202" i="9"/>
  <c r="G201" i="9"/>
  <c r="K200" i="9"/>
  <c r="G200" i="9"/>
  <c r="L199" i="9"/>
  <c r="N199" i="9" s="1"/>
  <c r="G199" i="9"/>
  <c r="K198" i="9"/>
  <c r="L198" i="9" s="1"/>
  <c r="G198" i="9"/>
  <c r="G197" i="9"/>
  <c r="L195" i="9"/>
  <c r="G194" i="9"/>
  <c r="G193" i="9"/>
  <c r="G192" i="9"/>
  <c r="I191" i="9"/>
  <c r="G191" i="9"/>
  <c r="G190" i="9"/>
  <c r="K189" i="9"/>
  <c r="G189" i="9"/>
  <c r="G188" i="9"/>
  <c r="L187" i="9"/>
  <c r="G187" i="9"/>
  <c r="L186" i="9"/>
  <c r="G186" i="9"/>
  <c r="G185" i="9"/>
  <c r="L184" i="9"/>
  <c r="G184" i="9"/>
  <c r="K183" i="9"/>
  <c r="G183" i="9"/>
  <c r="G182" i="9"/>
  <c r="G181" i="9"/>
  <c r="G180" i="9"/>
  <c r="K179" i="9"/>
  <c r="L179" i="9" s="1"/>
  <c r="G179" i="9"/>
  <c r="E178" i="9"/>
  <c r="G178" i="9" s="1"/>
  <c r="L177" i="9"/>
  <c r="M177" i="9" s="1"/>
  <c r="G177" i="9"/>
  <c r="G176" i="9"/>
  <c r="L175" i="9"/>
  <c r="K175" i="9"/>
  <c r="G175" i="9"/>
  <c r="N174" i="9"/>
  <c r="O174" i="9" s="1"/>
  <c r="G174" i="9"/>
  <c r="K173" i="9"/>
  <c r="G173" i="9"/>
  <c r="K172" i="9"/>
  <c r="G172" i="9"/>
  <c r="G171" i="9"/>
  <c r="G170" i="9"/>
  <c r="E168" i="9"/>
  <c r="E169" i="9" s="1"/>
  <c r="G169" i="9" s="1"/>
  <c r="E167" i="9"/>
  <c r="G167" i="9" s="1"/>
  <c r="K166" i="9"/>
  <c r="G166" i="9"/>
  <c r="G165" i="9"/>
  <c r="L163" i="9"/>
  <c r="L162" i="9"/>
  <c r="G162" i="9"/>
  <c r="L161" i="9"/>
  <c r="G161" i="9"/>
  <c r="L160" i="9"/>
  <c r="G160" i="9"/>
  <c r="L159" i="9"/>
  <c r="G159" i="9"/>
  <c r="L158" i="9"/>
  <c r="G158" i="9"/>
  <c r="L157" i="9"/>
  <c r="G157" i="9"/>
  <c r="L156" i="9"/>
  <c r="G156" i="9"/>
  <c r="L155" i="9"/>
  <c r="G155" i="9"/>
  <c r="L154" i="9"/>
  <c r="G154" i="9"/>
  <c r="L153" i="9"/>
  <c r="G153" i="9"/>
  <c r="L152" i="9"/>
  <c r="G152" i="9"/>
  <c r="L151" i="9"/>
  <c r="G151" i="9"/>
  <c r="L150" i="9"/>
  <c r="G150" i="9"/>
  <c r="L149" i="9"/>
  <c r="G149" i="9"/>
  <c r="L148" i="9"/>
  <c r="G148" i="9"/>
  <c r="Q147" i="9"/>
  <c r="M147" i="9"/>
  <c r="O147" i="9" s="1"/>
  <c r="P147" i="9" s="1"/>
  <c r="G147" i="9"/>
  <c r="I145" i="9"/>
  <c r="Q139" i="9"/>
  <c r="L139" i="9"/>
  <c r="L137" i="9"/>
  <c r="L136" i="9"/>
  <c r="G136" i="9"/>
  <c r="L135" i="9"/>
  <c r="G135" i="9"/>
  <c r="L134" i="9"/>
  <c r="G134" i="9"/>
  <c r="L133" i="9"/>
  <c r="G133" i="9"/>
  <c r="L132" i="9"/>
  <c r="G132" i="9"/>
  <c r="L131" i="9"/>
  <c r="G131" i="9"/>
  <c r="L130" i="9"/>
  <c r="G130" i="9"/>
  <c r="L129" i="9"/>
  <c r="G129" i="9"/>
  <c r="L128" i="9"/>
  <c r="G128" i="9"/>
  <c r="L127" i="9"/>
  <c r="G127" i="9"/>
  <c r="L126" i="9"/>
  <c r="G126" i="9"/>
  <c r="L125" i="9"/>
  <c r="G125" i="9"/>
  <c r="L124" i="9"/>
  <c r="G124" i="9"/>
  <c r="L123" i="9"/>
  <c r="G123" i="9"/>
  <c r="L122" i="9"/>
  <c r="G122" i="9"/>
  <c r="Q121" i="9"/>
  <c r="M121" i="9"/>
  <c r="O121" i="9" s="1"/>
  <c r="P121" i="9" s="1"/>
  <c r="G121" i="9"/>
  <c r="I119" i="9"/>
  <c r="Q113" i="9"/>
  <c r="L113" i="9"/>
  <c r="L111" i="9"/>
  <c r="L110" i="9"/>
  <c r="G110" i="9"/>
  <c r="L109" i="9"/>
  <c r="G109" i="9"/>
  <c r="L108" i="9"/>
  <c r="G108" i="9"/>
  <c r="L107" i="9"/>
  <c r="G107" i="9"/>
  <c r="L106" i="9"/>
  <c r="G106" i="9"/>
  <c r="L105" i="9"/>
  <c r="G105" i="9"/>
  <c r="L104" i="9"/>
  <c r="G104" i="9"/>
  <c r="L103" i="9"/>
  <c r="G103" i="9"/>
  <c r="L102" i="9"/>
  <c r="G102" i="9"/>
  <c r="L101" i="9"/>
  <c r="G101" i="9"/>
  <c r="L100" i="9"/>
  <c r="G100" i="9"/>
  <c r="L99" i="9"/>
  <c r="G99" i="9"/>
  <c r="L98" i="9"/>
  <c r="G98" i="9"/>
  <c r="L97" i="9"/>
  <c r="G97" i="9"/>
  <c r="L96" i="9"/>
  <c r="G96" i="9"/>
  <c r="L95" i="9"/>
  <c r="G95" i="9"/>
  <c r="L94" i="9"/>
  <c r="G94" i="9"/>
  <c r="L93" i="9"/>
  <c r="G93" i="9"/>
  <c r="Q92" i="9"/>
  <c r="M92" i="9"/>
  <c r="O92" i="9" s="1"/>
  <c r="P92" i="9" s="1"/>
  <c r="G92" i="9"/>
  <c r="I90" i="9"/>
  <c r="Q84" i="9"/>
  <c r="L84" i="9"/>
  <c r="L82" i="9"/>
  <c r="L81" i="9"/>
  <c r="G81" i="9"/>
  <c r="L80" i="9"/>
  <c r="G80" i="9"/>
  <c r="L79" i="9"/>
  <c r="G79" i="9"/>
  <c r="L78" i="9"/>
  <c r="G78" i="9"/>
  <c r="L77" i="9"/>
  <c r="G77" i="9"/>
  <c r="L76" i="9"/>
  <c r="G76" i="9"/>
  <c r="L75" i="9"/>
  <c r="G75" i="9"/>
  <c r="L74" i="9"/>
  <c r="G74" i="9"/>
  <c r="L73" i="9"/>
  <c r="G73" i="9"/>
  <c r="L72" i="9"/>
  <c r="G72" i="9"/>
  <c r="L71" i="9"/>
  <c r="G71" i="9"/>
  <c r="L70" i="9"/>
  <c r="G70" i="9"/>
  <c r="L69" i="9"/>
  <c r="G69" i="9"/>
  <c r="L68" i="9"/>
  <c r="G68" i="9"/>
  <c r="L67" i="9"/>
  <c r="G67" i="9"/>
  <c r="L66" i="9"/>
  <c r="G66" i="9"/>
  <c r="Q65" i="9"/>
  <c r="M65" i="9"/>
  <c r="O65" i="9" s="1"/>
  <c r="P65" i="9" s="1"/>
  <c r="G65" i="9"/>
  <c r="I63" i="9"/>
  <c r="Q57" i="9"/>
  <c r="L57" i="9"/>
  <c r="L55" i="9"/>
  <c r="L54" i="9"/>
  <c r="G54" i="9"/>
  <c r="L53" i="9"/>
  <c r="G53" i="9"/>
  <c r="L52" i="9"/>
  <c r="G52" i="9"/>
  <c r="L51" i="9"/>
  <c r="G51" i="9"/>
  <c r="L50" i="9"/>
  <c r="G50" i="9"/>
  <c r="L49" i="9"/>
  <c r="G49" i="9"/>
  <c r="L48" i="9"/>
  <c r="G48" i="9"/>
  <c r="L47" i="9"/>
  <c r="G47" i="9"/>
  <c r="L46" i="9"/>
  <c r="G46" i="9"/>
  <c r="L45" i="9"/>
  <c r="G45" i="9"/>
  <c r="L44" i="9"/>
  <c r="G44" i="9"/>
  <c r="L43" i="9"/>
  <c r="G43" i="9"/>
  <c r="L42" i="9"/>
  <c r="G42" i="9"/>
  <c r="L41" i="9"/>
  <c r="G41" i="9"/>
  <c r="L40" i="9"/>
  <c r="G40" i="9"/>
  <c r="L39" i="9"/>
  <c r="G39" i="9"/>
  <c r="L38" i="9"/>
  <c r="G38" i="9"/>
  <c r="L37" i="9"/>
  <c r="G37" i="9"/>
  <c r="Q36" i="9"/>
  <c r="M36" i="9"/>
  <c r="O36" i="9" s="1"/>
  <c r="P36" i="9" s="1"/>
  <c r="G36" i="9"/>
  <c r="I34" i="9"/>
  <c r="Q28" i="9"/>
  <c r="L28" i="9"/>
  <c r="L26" i="9"/>
  <c r="E25" i="9"/>
  <c r="G25" i="9" s="1"/>
  <c r="E24" i="9"/>
  <c r="G24" i="9" s="1"/>
  <c r="O23" i="9"/>
  <c r="L23" i="9"/>
  <c r="E23" i="9"/>
  <c r="G23" i="9" s="1"/>
  <c r="L22" i="9"/>
  <c r="E22" i="9"/>
  <c r="G22" i="9" s="1"/>
  <c r="L21" i="9"/>
  <c r="E21" i="9"/>
  <c r="G21" i="9" s="1"/>
  <c r="M20" i="9"/>
  <c r="O20" i="9" s="1"/>
  <c r="I19" i="9"/>
  <c r="K10" i="9"/>
  <c r="N10" i="9" s="1"/>
  <c r="I343" i="7"/>
  <c r="L326" i="7"/>
  <c r="E326" i="7"/>
  <c r="G326" i="7" s="1"/>
  <c r="G327" i="7" s="1"/>
  <c r="L324" i="7"/>
  <c r="L327" i="7" s="1"/>
  <c r="L323" i="7"/>
  <c r="G322" i="7"/>
  <c r="L321" i="7"/>
  <c r="G321" i="7"/>
  <c r="L320" i="7"/>
  <c r="G320" i="7"/>
  <c r="L319" i="7"/>
  <c r="G319" i="7"/>
  <c r="L318" i="7"/>
  <c r="G318" i="7"/>
  <c r="L317" i="7"/>
  <c r="G317" i="7"/>
  <c r="L316" i="7"/>
  <c r="G316" i="7"/>
  <c r="L315" i="7"/>
  <c r="G315" i="7"/>
  <c r="K314" i="7"/>
  <c r="G314" i="7"/>
  <c r="L313" i="7"/>
  <c r="G313" i="7"/>
  <c r="L312" i="7"/>
  <c r="K312" i="7"/>
  <c r="G312" i="7"/>
  <c r="G311" i="7"/>
  <c r="E310" i="7"/>
  <c r="G310" i="7" s="1"/>
  <c r="G309" i="7"/>
  <c r="K308" i="7"/>
  <c r="G308" i="7"/>
  <c r="K307" i="7"/>
  <c r="G307" i="7"/>
  <c r="E306" i="7"/>
  <c r="G306" i="7" s="1"/>
  <c r="G305" i="7"/>
  <c r="E304" i="7"/>
  <c r="G304" i="7" s="1"/>
  <c r="K303" i="7"/>
  <c r="G303" i="7"/>
  <c r="E303" i="7"/>
  <c r="L302" i="7"/>
  <c r="M302" i="7" s="1"/>
  <c r="G302" i="7"/>
  <c r="L301" i="7"/>
  <c r="K301" i="7"/>
  <c r="G301" i="7"/>
  <c r="G300" i="7"/>
  <c r="G299" i="7"/>
  <c r="G298" i="7"/>
  <c r="G297" i="7"/>
  <c r="L296" i="7"/>
  <c r="M296" i="7" s="1"/>
  <c r="K296" i="7"/>
  <c r="G296" i="7"/>
  <c r="K295" i="7"/>
  <c r="G295" i="7"/>
  <c r="K294" i="7"/>
  <c r="G294" i="7"/>
  <c r="G293" i="7"/>
  <c r="G292" i="7"/>
  <c r="E291" i="7"/>
  <c r="G291" i="7" s="1"/>
  <c r="E289" i="7"/>
  <c r="G289" i="7" s="1"/>
  <c r="E288" i="7"/>
  <c r="G288" i="7" s="1"/>
  <c r="K287" i="7"/>
  <c r="G287" i="7"/>
  <c r="G286" i="7"/>
  <c r="G285" i="7"/>
  <c r="K284" i="7"/>
  <c r="G284" i="7"/>
  <c r="N283" i="7"/>
  <c r="L283" i="7"/>
  <c r="G283" i="7"/>
  <c r="K282" i="7"/>
  <c r="L282" i="7" s="1"/>
  <c r="G282" i="7"/>
  <c r="G281" i="7"/>
  <c r="L279" i="7"/>
  <c r="G278" i="7"/>
  <c r="G277" i="7"/>
  <c r="G276" i="7"/>
  <c r="I275" i="7"/>
  <c r="G275" i="7"/>
  <c r="G274" i="7"/>
  <c r="K273" i="7"/>
  <c r="G273" i="7"/>
  <c r="G272" i="7"/>
  <c r="L271" i="7"/>
  <c r="G271" i="7"/>
  <c r="L270" i="7"/>
  <c r="G270" i="7"/>
  <c r="G269" i="7"/>
  <c r="L268" i="7"/>
  <c r="G268" i="7"/>
  <c r="K267" i="7"/>
  <c r="G267" i="7"/>
  <c r="G266" i="7"/>
  <c r="G265" i="7"/>
  <c r="G264" i="7"/>
  <c r="K263" i="7"/>
  <c r="L263" i="7" s="1"/>
  <c r="G263" i="7"/>
  <c r="E262" i="7"/>
  <c r="G262" i="7" s="1"/>
  <c r="L261" i="7"/>
  <c r="M261" i="7" s="1"/>
  <c r="G261" i="7"/>
  <c r="G260" i="7"/>
  <c r="L259" i="7"/>
  <c r="K259" i="7"/>
  <c r="G259" i="7"/>
  <c r="N258" i="7"/>
  <c r="O258" i="7" s="1"/>
  <c r="G258" i="7"/>
  <c r="K257" i="7"/>
  <c r="G257" i="7"/>
  <c r="K256" i="7"/>
  <c r="G256" i="7"/>
  <c r="G255" i="7"/>
  <c r="G254" i="7"/>
  <c r="E252" i="7"/>
  <c r="G252" i="7" s="1"/>
  <c r="E251" i="7"/>
  <c r="G251" i="7" s="1"/>
  <c r="K250" i="7"/>
  <c r="G250" i="7"/>
  <c r="G249" i="7"/>
  <c r="L247" i="7"/>
  <c r="N246" i="7"/>
  <c r="L246" i="7"/>
  <c r="G246" i="7"/>
  <c r="L245" i="7"/>
  <c r="G245" i="7"/>
  <c r="L244" i="7"/>
  <c r="G244" i="7"/>
  <c r="L243" i="7"/>
  <c r="G243" i="7"/>
  <c r="L242" i="7"/>
  <c r="G242" i="7"/>
  <c r="L241" i="7"/>
  <c r="G241" i="7"/>
  <c r="L240" i="7"/>
  <c r="G240" i="7"/>
  <c r="L239" i="7"/>
  <c r="G239" i="7"/>
  <c r="L238" i="7"/>
  <c r="G238" i="7"/>
  <c r="L237" i="7"/>
  <c r="G237" i="7"/>
  <c r="L236" i="7"/>
  <c r="G236" i="7"/>
  <c r="L235" i="7"/>
  <c r="G235" i="7"/>
  <c r="L234" i="7"/>
  <c r="G234" i="7"/>
  <c r="Q233" i="7"/>
  <c r="R233" i="7" s="1"/>
  <c r="M233" i="7"/>
  <c r="O233" i="7" s="1"/>
  <c r="P233" i="7" s="1"/>
  <c r="G233" i="7"/>
  <c r="I231" i="7"/>
  <c r="G231" i="7"/>
  <c r="Q225" i="7"/>
  <c r="L225" i="7"/>
  <c r="L223" i="7"/>
  <c r="L222" i="7"/>
  <c r="G222" i="7"/>
  <c r="L221" i="7"/>
  <c r="G221" i="7"/>
  <c r="L220" i="7"/>
  <c r="G220" i="7"/>
  <c r="L219" i="7"/>
  <c r="G219" i="7"/>
  <c r="L218" i="7"/>
  <c r="G218" i="7"/>
  <c r="L217" i="7"/>
  <c r="G217" i="7"/>
  <c r="L216" i="7"/>
  <c r="G216" i="7"/>
  <c r="L215" i="7"/>
  <c r="G215" i="7"/>
  <c r="L214" i="7"/>
  <c r="G214" i="7"/>
  <c r="L213" i="7"/>
  <c r="G213" i="7"/>
  <c r="L212" i="7"/>
  <c r="G212" i="7"/>
  <c r="L211" i="7"/>
  <c r="G211" i="7"/>
  <c r="L210" i="7"/>
  <c r="G210" i="7"/>
  <c r="L209" i="7"/>
  <c r="G209" i="7"/>
  <c r="Q208" i="7"/>
  <c r="R208" i="7" s="1"/>
  <c r="O208" i="7"/>
  <c r="P208" i="7" s="1"/>
  <c r="M208" i="7"/>
  <c r="G208" i="7"/>
  <c r="I206" i="7"/>
  <c r="Q200" i="7"/>
  <c r="L200" i="7"/>
  <c r="L198" i="7"/>
  <c r="L197" i="7"/>
  <c r="G197" i="7"/>
  <c r="L196" i="7"/>
  <c r="G196" i="7"/>
  <c r="L195" i="7"/>
  <c r="G195" i="7"/>
  <c r="L194" i="7"/>
  <c r="G194" i="7"/>
  <c r="L193" i="7"/>
  <c r="G193" i="7"/>
  <c r="L192" i="7"/>
  <c r="G192" i="7"/>
  <c r="L191" i="7"/>
  <c r="G191" i="7"/>
  <c r="L190" i="7"/>
  <c r="G190" i="7"/>
  <c r="L189" i="7"/>
  <c r="G189" i="7"/>
  <c r="L188" i="7"/>
  <c r="G188" i="7"/>
  <c r="L187" i="7"/>
  <c r="G187" i="7"/>
  <c r="L186" i="7"/>
  <c r="G186" i="7"/>
  <c r="L185" i="7"/>
  <c r="G185" i="7"/>
  <c r="L184" i="7"/>
  <c r="G184" i="7"/>
  <c r="L183" i="7"/>
  <c r="G183" i="7"/>
  <c r="Q182" i="7"/>
  <c r="M182" i="7"/>
  <c r="O182" i="7" s="1"/>
  <c r="P182" i="7" s="1"/>
  <c r="G182" i="7"/>
  <c r="I180" i="7"/>
  <c r="Q174" i="7"/>
  <c r="L174" i="7"/>
  <c r="L172" i="7"/>
  <c r="L171" i="7"/>
  <c r="G171" i="7"/>
  <c r="L170" i="7"/>
  <c r="G170" i="7"/>
  <c r="L169" i="7"/>
  <c r="G169" i="7"/>
  <c r="L168" i="7"/>
  <c r="G168" i="7"/>
  <c r="L167" i="7"/>
  <c r="G167" i="7"/>
  <c r="L166" i="7"/>
  <c r="G166" i="7"/>
  <c r="L165" i="7"/>
  <c r="G165" i="7"/>
  <c r="L164" i="7"/>
  <c r="G164" i="7"/>
  <c r="L163" i="7"/>
  <c r="G163" i="7"/>
  <c r="L162" i="7"/>
  <c r="G162" i="7"/>
  <c r="L161" i="7"/>
  <c r="G161" i="7"/>
  <c r="L160" i="7"/>
  <c r="G160" i="7"/>
  <c r="L159" i="7"/>
  <c r="G159" i="7"/>
  <c r="L158" i="7"/>
  <c r="G158" i="7"/>
  <c r="L157" i="7"/>
  <c r="G157" i="7"/>
  <c r="Q156" i="7"/>
  <c r="R156" i="7" s="1"/>
  <c r="S156" i="7" s="1"/>
  <c r="T156" i="7" s="1"/>
  <c r="M156" i="7"/>
  <c r="O156" i="7" s="1"/>
  <c r="P156" i="7" s="1"/>
  <c r="G156" i="7"/>
  <c r="I154" i="7"/>
  <c r="Q148" i="7"/>
  <c r="L148" i="7"/>
  <c r="L146" i="7"/>
  <c r="L145" i="7"/>
  <c r="G145" i="7"/>
  <c r="L144" i="7"/>
  <c r="G144" i="7"/>
  <c r="L143" i="7"/>
  <c r="G143" i="7"/>
  <c r="L142" i="7"/>
  <c r="G142" i="7"/>
  <c r="L141" i="7"/>
  <c r="G141" i="7"/>
  <c r="L140" i="7"/>
  <c r="G140" i="7"/>
  <c r="L139" i="7"/>
  <c r="G139" i="7"/>
  <c r="L138" i="7"/>
  <c r="G138" i="7"/>
  <c r="L137" i="7"/>
  <c r="G137" i="7"/>
  <c r="L136" i="7"/>
  <c r="G136" i="7"/>
  <c r="L135" i="7"/>
  <c r="G135" i="7"/>
  <c r="L134" i="7"/>
  <c r="G134" i="7"/>
  <c r="L133" i="7"/>
  <c r="G133" i="7"/>
  <c r="L132" i="7"/>
  <c r="G132" i="7"/>
  <c r="L131" i="7"/>
  <c r="G131" i="7"/>
  <c r="L130" i="7"/>
  <c r="G130" i="7"/>
  <c r="L129" i="7"/>
  <c r="G129" i="7"/>
  <c r="L128" i="7"/>
  <c r="G128" i="7"/>
  <c r="Q127" i="7"/>
  <c r="R127" i="7" s="1"/>
  <c r="M127" i="7"/>
  <c r="O127" i="7" s="1"/>
  <c r="P127" i="7" s="1"/>
  <c r="G127" i="7"/>
  <c r="I125" i="7"/>
  <c r="Q119" i="7"/>
  <c r="L119" i="7"/>
  <c r="L117" i="7"/>
  <c r="L116" i="7"/>
  <c r="G116" i="7"/>
  <c r="L115" i="7"/>
  <c r="G115" i="7"/>
  <c r="L114" i="7"/>
  <c r="G114" i="7"/>
  <c r="L113" i="7"/>
  <c r="G113" i="7"/>
  <c r="L112" i="7"/>
  <c r="G112" i="7"/>
  <c r="L111" i="7"/>
  <c r="G111" i="7"/>
  <c r="L110" i="7"/>
  <c r="G110" i="7"/>
  <c r="L109" i="7"/>
  <c r="G109" i="7"/>
  <c r="L108" i="7"/>
  <c r="G108" i="7"/>
  <c r="L107" i="7"/>
  <c r="G107" i="7"/>
  <c r="L106" i="7"/>
  <c r="G106" i="7"/>
  <c r="L105" i="7"/>
  <c r="G105" i="7"/>
  <c r="L104" i="7"/>
  <c r="G104" i="7"/>
  <c r="L103" i="7"/>
  <c r="G103" i="7"/>
  <c r="L102" i="7"/>
  <c r="G102" i="7"/>
  <c r="L101" i="7"/>
  <c r="G101" i="7"/>
  <c r="R100" i="7"/>
  <c r="S100" i="7" s="1"/>
  <c r="T100" i="7" s="1"/>
  <c r="Q100" i="7"/>
  <c r="M100" i="7"/>
  <c r="O100" i="7" s="1"/>
  <c r="P100" i="7" s="1"/>
  <c r="G100" i="7"/>
  <c r="I98" i="7"/>
  <c r="Q92" i="7"/>
  <c r="L92" i="7"/>
  <c r="L90" i="7"/>
  <c r="L89" i="7"/>
  <c r="G89" i="7"/>
  <c r="L88" i="7"/>
  <c r="G88" i="7"/>
  <c r="L87" i="7"/>
  <c r="G87" i="7"/>
  <c r="L86" i="7"/>
  <c r="G86" i="7"/>
  <c r="L85" i="7"/>
  <c r="G85" i="7"/>
  <c r="L84" i="7"/>
  <c r="G84" i="7"/>
  <c r="L83" i="7"/>
  <c r="G83" i="7"/>
  <c r="L82" i="7"/>
  <c r="G82" i="7"/>
  <c r="L81" i="7"/>
  <c r="G81" i="7"/>
  <c r="L80" i="7"/>
  <c r="G80" i="7"/>
  <c r="L79" i="7"/>
  <c r="G79" i="7"/>
  <c r="L78" i="7"/>
  <c r="G78" i="7"/>
  <c r="L77" i="7"/>
  <c r="G77" i="7"/>
  <c r="L76" i="7"/>
  <c r="G76" i="7"/>
  <c r="L75" i="7"/>
  <c r="G75" i="7"/>
  <c r="L74" i="7"/>
  <c r="G74" i="7"/>
  <c r="L73" i="7"/>
  <c r="G73" i="7"/>
  <c r="L72" i="7"/>
  <c r="G72" i="7"/>
  <c r="Q71" i="7"/>
  <c r="R71" i="7" s="1"/>
  <c r="S71" i="7" s="1"/>
  <c r="T71" i="7" s="1"/>
  <c r="M71" i="7"/>
  <c r="O71" i="7" s="1"/>
  <c r="P71" i="7" s="1"/>
  <c r="G71" i="7"/>
  <c r="I69" i="7"/>
  <c r="Q63" i="7"/>
  <c r="L63" i="7"/>
  <c r="L61" i="7"/>
  <c r="L60" i="7"/>
  <c r="G60" i="7"/>
  <c r="L59" i="7"/>
  <c r="G59" i="7"/>
  <c r="L58" i="7"/>
  <c r="G58" i="7"/>
  <c r="L57" i="7"/>
  <c r="G57" i="7"/>
  <c r="L56" i="7"/>
  <c r="G56" i="7"/>
  <c r="L55" i="7"/>
  <c r="G55" i="7"/>
  <c r="L54" i="7"/>
  <c r="G54" i="7"/>
  <c r="L53" i="7"/>
  <c r="G53" i="7"/>
  <c r="L52" i="7"/>
  <c r="G52" i="7"/>
  <c r="L51" i="7"/>
  <c r="G51" i="7"/>
  <c r="L50" i="7"/>
  <c r="G50" i="7"/>
  <c r="L49" i="7"/>
  <c r="G49" i="7"/>
  <c r="L48" i="7"/>
  <c r="G48" i="7"/>
  <c r="L47" i="7"/>
  <c r="G47" i="7"/>
  <c r="L46" i="7"/>
  <c r="G46" i="7"/>
  <c r="L45" i="7"/>
  <c r="G45" i="7"/>
  <c r="L44" i="7"/>
  <c r="G44" i="7"/>
  <c r="L43" i="7"/>
  <c r="G43" i="7"/>
  <c r="L42" i="7"/>
  <c r="G42" i="7"/>
  <c r="L41" i="7"/>
  <c r="G41" i="7"/>
  <c r="L40" i="7"/>
  <c r="G40" i="7"/>
  <c r="L39" i="7"/>
  <c r="G39" i="7"/>
  <c r="L38" i="7"/>
  <c r="G38" i="7"/>
  <c r="L37" i="7"/>
  <c r="G37" i="7"/>
  <c r="Q36" i="7"/>
  <c r="R36" i="7" s="1"/>
  <c r="S36" i="7" s="1"/>
  <c r="T36" i="7" s="1"/>
  <c r="M36" i="7"/>
  <c r="O36" i="7" s="1"/>
  <c r="P36" i="7" s="1"/>
  <c r="G36" i="7"/>
  <c r="E34" i="7"/>
  <c r="G34" i="7" s="1"/>
  <c r="E33" i="7"/>
  <c r="G33" i="7" s="1"/>
  <c r="E32" i="7"/>
  <c r="G32" i="7" s="1"/>
  <c r="E31" i="7"/>
  <c r="G31" i="7" s="1"/>
  <c r="E30" i="7"/>
  <c r="G30" i="7" s="1"/>
  <c r="E29" i="7"/>
  <c r="G29" i="7" s="1"/>
  <c r="Q28" i="7"/>
  <c r="L28" i="7"/>
  <c r="E28" i="7"/>
  <c r="G28" i="7" s="1"/>
  <c r="G61" i="7" s="1"/>
  <c r="L26" i="7"/>
  <c r="G25" i="7"/>
  <c r="G24" i="7"/>
  <c r="G26" i="7" s="1"/>
  <c r="O23" i="7"/>
  <c r="L23" i="7"/>
  <c r="G23" i="7"/>
  <c r="L22" i="7"/>
  <c r="G22" i="7"/>
  <c r="L21" i="7"/>
  <c r="G21" i="7"/>
  <c r="M20" i="7"/>
  <c r="O20" i="7" s="1"/>
  <c r="I19" i="7"/>
  <c r="N10" i="7"/>
  <c r="L10" i="7"/>
  <c r="K10" i="7"/>
  <c r="O10" i="7" s="1"/>
  <c r="P10" i="7" s="1"/>
  <c r="F476" i="5"/>
  <c r="L476" i="5" s="1"/>
  <c r="E476" i="5"/>
  <c r="G476" i="5" s="1"/>
  <c r="G477" i="5" s="1"/>
  <c r="L474" i="5"/>
  <c r="L473" i="5"/>
  <c r="F472" i="5"/>
  <c r="L472" i="5" s="1"/>
  <c r="E472" i="5"/>
  <c r="G472" i="5" s="1"/>
  <c r="F471" i="5"/>
  <c r="L471" i="5" s="1"/>
  <c r="E471" i="5"/>
  <c r="G471" i="5" s="1"/>
  <c r="F470" i="5"/>
  <c r="L470" i="5" s="1"/>
  <c r="E470" i="5"/>
  <c r="L468" i="5"/>
  <c r="G468" i="5"/>
  <c r="F468" i="5"/>
  <c r="E468" i="5"/>
  <c r="F467" i="5"/>
  <c r="L467" i="5" s="1"/>
  <c r="E467" i="5"/>
  <c r="F466" i="5"/>
  <c r="L466" i="5" s="1"/>
  <c r="E466" i="5"/>
  <c r="G466" i="5" s="1"/>
  <c r="F465" i="5"/>
  <c r="L465" i="5" s="1"/>
  <c r="E465" i="5"/>
  <c r="G465" i="5" s="1"/>
  <c r="F464" i="5"/>
  <c r="L464" i="5" s="1"/>
  <c r="E464" i="5"/>
  <c r="G464" i="5" s="1"/>
  <c r="O465" i="5" s="1"/>
  <c r="F462" i="5"/>
  <c r="L462" i="5" s="1"/>
  <c r="E462" i="5"/>
  <c r="G462" i="5" s="1"/>
  <c r="F461" i="5"/>
  <c r="L461" i="5" s="1"/>
  <c r="E461" i="5"/>
  <c r="G461" i="5" s="1"/>
  <c r="F460" i="5"/>
  <c r="L460" i="5" s="1"/>
  <c r="E460" i="5"/>
  <c r="F459" i="5"/>
  <c r="L459" i="5" s="1"/>
  <c r="E459" i="5"/>
  <c r="L457" i="5"/>
  <c r="L456" i="5"/>
  <c r="F455" i="5"/>
  <c r="L455" i="5" s="1"/>
  <c r="E455" i="5"/>
  <c r="L454" i="5"/>
  <c r="F454" i="5"/>
  <c r="E454" i="5"/>
  <c r="G454" i="5" s="1"/>
  <c r="F453" i="5"/>
  <c r="L453" i="5" s="1"/>
  <c r="E453" i="5"/>
  <c r="G453" i="5" s="1"/>
  <c r="F452" i="5"/>
  <c r="L452" i="5" s="1"/>
  <c r="E452" i="5"/>
  <c r="G452" i="5" s="1"/>
  <c r="F451" i="5"/>
  <c r="L451" i="5" s="1"/>
  <c r="E451" i="5"/>
  <c r="G450" i="5"/>
  <c r="F450" i="5"/>
  <c r="L450" i="5" s="1"/>
  <c r="E450" i="5"/>
  <c r="F449" i="5"/>
  <c r="L449" i="5" s="1"/>
  <c r="E449" i="5"/>
  <c r="F448" i="5"/>
  <c r="L448" i="5" s="1"/>
  <c r="E448" i="5"/>
  <c r="G448" i="5" s="1"/>
  <c r="F447" i="5"/>
  <c r="L447" i="5" s="1"/>
  <c r="E447" i="5"/>
  <c r="F446" i="5"/>
  <c r="L446" i="5" s="1"/>
  <c r="E446" i="5"/>
  <c r="G446" i="5" s="1"/>
  <c r="F445" i="5"/>
  <c r="L445" i="5" s="1"/>
  <c r="E445" i="5"/>
  <c r="G445" i="5" s="1"/>
  <c r="F444" i="5"/>
  <c r="L444" i="5" s="1"/>
  <c r="E444" i="5"/>
  <c r="G444" i="5" s="1"/>
  <c r="F443" i="5"/>
  <c r="L443" i="5" s="1"/>
  <c r="E443" i="5"/>
  <c r="G443" i="5" s="1"/>
  <c r="F442" i="5"/>
  <c r="L442" i="5" s="1"/>
  <c r="E442" i="5"/>
  <c r="G442" i="5" s="1"/>
  <c r="G456" i="5" s="1"/>
  <c r="L440" i="5"/>
  <c r="L439" i="5"/>
  <c r="L438" i="5"/>
  <c r="F438" i="5"/>
  <c r="E438" i="5"/>
  <c r="G438" i="5" s="1"/>
  <c r="F437" i="5"/>
  <c r="L437" i="5" s="1"/>
  <c r="E437" i="5"/>
  <c r="G437" i="5" s="1"/>
  <c r="G439" i="5" s="1"/>
  <c r="L435" i="5"/>
  <c r="L434" i="5"/>
  <c r="F433" i="5"/>
  <c r="L433" i="5" s="1"/>
  <c r="E433" i="5"/>
  <c r="G433" i="5" s="1"/>
  <c r="F432" i="5"/>
  <c r="L432" i="5" s="1"/>
  <c r="E432" i="5"/>
  <c r="F431" i="5"/>
  <c r="L431" i="5" s="1"/>
  <c r="E431" i="5"/>
  <c r="G431" i="5" s="1"/>
  <c r="F430" i="5"/>
  <c r="L430" i="5" s="1"/>
  <c r="E430" i="5"/>
  <c r="F429" i="5"/>
  <c r="L429" i="5" s="1"/>
  <c r="E429" i="5"/>
  <c r="G429" i="5" s="1"/>
  <c r="L428" i="5"/>
  <c r="F428" i="5"/>
  <c r="E428" i="5"/>
  <c r="F427" i="5"/>
  <c r="L427" i="5" s="1"/>
  <c r="E427" i="5"/>
  <c r="G427" i="5" s="1"/>
  <c r="F426" i="5"/>
  <c r="L426" i="5" s="1"/>
  <c r="E426" i="5"/>
  <c r="F425" i="5"/>
  <c r="L425" i="5" s="1"/>
  <c r="E425" i="5"/>
  <c r="G425" i="5" s="1"/>
  <c r="F424" i="5"/>
  <c r="L424" i="5" s="1"/>
  <c r="E424" i="5"/>
  <c r="F423" i="5"/>
  <c r="L423" i="5" s="1"/>
  <c r="E423" i="5"/>
  <c r="G423" i="5" s="1"/>
  <c r="F422" i="5"/>
  <c r="L422" i="5" s="1"/>
  <c r="E422" i="5"/>
  <c r="F421" i="5"/>
  <c r="L421" i="5" s="1"/>
  <c r="E421" i="5"/>
  <c r="G421" i="5" s="1"/>
  <c r="L420" i="5"/>
  <c r="F420" i="5"/>
  <c r="E420" i="5"/>
  <c r="L419" i="5"/>
  <c r="F419" i="5"/>
  <c r="E419" i="5"/>
  <c r="G419" i="5" s="1"/>
  <c r="F418" i="5"/>
  <c r="L418" i="5" s="1"/>
  <c r="E418" i="5"/>
  <c r="L416" i="5"/>
  <c r="L415" i="5"/>
  <c r="F414" i="5"/>
  <c r="L414" i="5" s="1"/>
  <c r="E414" i="5"/>
  <c r="G414" i="5" s="1"/>
  <c r="F413" i="5"/>
  <c r="L413" i="5" s="1"/>
  <c r="E413" i="5"/>
  <c r="G413" i="5" s="1"/>
  <c r="F412" i="5"/>
  <c r="L412" i="5" s="1"/>
  <c r="E412" i="5"/>
  <c r="G412" i="5" s="1"/>
  <c r="G415" i="5" s="1"/>
  <c r="L410" i="5"/>
  <c r="L409" i="5"/>
  <c r="F408" i="5"/>
  <c r="L408" i="5" s="1"/>
  <c r="E408" i="5"/>
  <c r="G408" i="5" s="1"/>
  <c r="F407" i="5"/>
  <c r="L407" i="5" s="1"/>
  <c r="E407" i="5"/>
  <c r="F406" i="5"/>
  <c r="L406" i="5" s="1"/>
  <c r="E406" i="5"/>
  <c r="G406" i="5" s="1"/>
  <c r="F405" i="5"/>
  <c r="E405" i="5"/>
  <c r="F404" i="5"/>
  <c r="L404" i="5" s="1"/>
  <c r="E404" i="5"/>
  <c r="F403" i="5"/>
  <c r="L403" i="5" s="1"/>
  <c r="E403" i="5"/>
  <c r="G403" i="5" s="1"/>
  <c r="F402" i="5"/>
  <c r="L402" i="5" s="1"/>
  <c r="E402" i="5"/>
  <c r="F401" i="5"/>
  <c r="L401" i="5" s="1"/>
  <c r="E401" i="5"/>
  <c r="L400" i="5"/>
  <c r="F399" i="5"/>
  <c r="L399" i="5" s="1"/>
  <c r="E399" i="5"/>
  <c r="G399" i="5" s="1"/>
  <c r="F398" i="5"/>
  <c r="L398" i="5" s="1"/>
  <c r="E398" i="5"/>
  <c r="G398" i="5" s="1"/>
  <c r="L397" i="5"/>
  <c r="F397" i="5"/>
  <c r="E397" i="5"/>
  <c r="L395" i="5"/>
  <c r="L394" i="5"/>
  <c r="F393" i="5"/>
  <c r="L393" i="5" s="1"/>
  <c r="E393" i="5"/>
  <c r="G393" i="5" s="1"/>
  <c r="F392" i="5"/>
  <c r="L392" i="5" s="1"/>
  <c r="E392" i="5"/>
  <c r="G392" i="5" s="1"/>
  <c r="F391" i="5"/>
  <c r="L391" i="5" s="1"/>
  <c r="E391" i="5"/>
  <c r="F390" i="5"/>
  <c r="L390" i="5" s="1"/>
  <c r="E390" i="5"/>
  <c r="G390" i="5" s="1"/>
  <c r="F389" i="5"/>
  <c r="L389" i="5" s="1"/>
  <c r="E389" i="5"/>
  <c r="G389" i="5" s="1"/>
  <c r="F388" i="5"/>
  <c r="L388" i="5" s="1"/>
  <c r="E388" i="5"/>
  <c r="G388" i="5" s="1"/>
  <c r="L387" i="5"/>
  <c r="F387" i="5"/>
  <c r="E387" i="5"/>
  <c r="G387" i="5" s="1"/>
  <c r="F386" i="5"/>
  <c r="L386" i="5" s="1"/>
  <c r="E386" i="5"/>
  <c r="F385" i="5"/>
  <c r="L385" i="5" s="1"/>
  <c r="E385" i="5"/>
  <c r="F384" i="5"/>
  <c r="L384" i="5" s="1"/>
  <c r="E384" i="5"/>
  <c r="G384" i="5" s="1"/>
  <c r="F383" i="5"/>
  <c r="L383" i="5" s="1"/>
  <c r="E383" i="5"/>
  <c r="G383" i="5" s="1"/>
  <c r="F382" i="5"/>
  <c r="L382" i="5" s="1"/>
  <c r="E382" i="5"/>
  <c r="F381" i="5"/>
  <c r="L381" i="5" s="1"/>
  <c r="E381" i="5"/>
  <c r="F380" i="5"/>
  <c r="L380" i="5" s="1"/>
  <c r="E380" i="5"/>
  <c r="G380" i="5" s="1"/>
  <c r="F379" i="5"/>
  <c r="L379" i="5" s="1"/>
  <c r="E379" i="5"/>
  <c r="G379" i="5" s="1"/>
  <c r="F378" i="5"/>
  <c r="L378" i="5" s="1"/>
  <c r="E378" i="5"/>
  <c r="G378" i="5" s="1"/>
  <c r="M377" i="5"/>
  <c r="O377" i="5" s="1"/>
  <c r="P377" i="5" s="1"/>
  <c r="F377" i="5"/>
  <c r="Q377" i="5" s="1"/>
  <c r="E377" i="5"/>
  <c r="G377" i="5" s="1"/>
  <c r="Q376" i="5"/>
  <c r="F376" i="5"/>
  <c r="L376" i="5" s="1"/>
  <c r="E376" i="5"/>
  <c r="L374" i="5"/>
  <c r="F373" i="5"/>
  <c r="L373" i="5" s="1"/>
  <c r="E373" i="5"/>
  <c r="F372" i="5"/>
  <c r="G372" i="5" s="1"/>
  <c r="E372" i="5"/>
  <c r="F371" i="5"/>
  <c r="L371" i="5" s="1"/>
  <c r="E371" i="5"/>
  <c r="F370" i="5"/>
  <c r="L370" i="5" s="1"/>
  <c r="E370" i="5"/>
  <c r="G370" i="5" s="1"/>
  <c r="F369" i="5"/>
  <c r="L369" i="5" s="1"/>
  <c r="E369" i="5"/>
  <c r="G369" i="5" s="1"/>
  <c r="F368" i="5"/>
  <c r="L368" i="5" s="1"/>
  <c r="E368" i="5"/>
  <c r="F367" i="5"/>
  <c r="L367" i="5" s="1"/>
  <c r="E367" i="5"/>
  <c r="G367" i="5" s="1"/>
  <c r="F366" i="5"/>
  <c r="L366" i="5" s="1"/>
  <c r="E366" i="5"/>
  <c r="G366" i="5" s="1"/>
  <c r="F365" i="5"/>
  <c r="L365" i="5" s="1"/>
  <c r="E365" i="5"/>
  <c r="F364" i="5"/>
  <c r="L364" i="5" s="1"/>
  <c r="E364" i="5"/>
  <c r="F363" i="5"/>
  <c r="L363" i="5" s="1"/>
  <c r="E363" i="5"/>
  <c r="F361" i="5"/>
  <c r="L361" i="5" s="1"/>
  <c r="E361" i="5"/>
  <c r="L360" i="5"/>
  <c r="G360" i="5"/>
  <c r="F360" i="5"/>
  <c r="E360" i="5"/>
  <c r="F358" i="5"/>
  <c r="L358" i="5" s="1"/>
  <c r="E358" i="5"/>
  <c r="F357" i="5"/>
  <c r="L357" i="5" s="1"/>
  <c r="E357" i="5"/>
  <c r="G357" i="5" s="1"/>
  <c r="F356" i="5"/>
  <c r="L356" i="5" s="1"/>
  <c r="E356" i="5"/>
  <c r="F355" i="5"/>
  <c r="L355" i="5" s="1"/>
  <c r="E355" i="5"/>
  <c r="G355" i="5" s="1"/>
  <c r="F354" i="5"/>
  <c r="L354" i="5" s="1"/>
  <c r="E354" i="5"/>
  <c r="G354" i="5" s="1"/>
  <c r="L353" i="5"/>
  <c r="F353" i="5"/>
  <c r="E353" i="5"/>
  <c r="G353" i="5" s="1"/>
  <c r="F352" i="5"/>
  <c r="L352" i="5" s="1"/>
  <c r="E352" i="5"/>
  <c r="G352" i="5" s="1"/>
  <c r="F351" i="5"/>
  <c r="L351" i="5" s="1"/>
  <c r="E351" i="5"/>
  <c r="G351" i="5" s="1"/>
  <c r="L350" i="5"/>
  <c r="F350" i="5"/>
  <c r="E350" i="5"/>
  <c r="G350" i="5" s="1"/>
  <c r="F349" i="5"/>
  <c r="L349" i="5" s="1"/>
  <c r="E349" i="5"/>
  <c r="G349" i="5" s="1"/>
  <c r="F348" i="5"/>
  <c r="L348" i="5" s="1"/>
  <c r="E348" i="5"/>
  <c r="G348" i="5" s="1"/>
  <c r="F347" i="5"/>
  <c r="E347" i="5"/>
  <c r="F346" i="5"/>
  <c r="L346" i="5" s="1"/>
  <c r="E346" i="5"/>
  <c r="F345" i="5"/>
  <c r="L345" i="5" s="1"/>
  <c r="E345" i="5"/>
  <c r="F344" i="5"/>
  <c r="L344" i="5" s="1"/>
  <c r="E344" i="5"/>
  <c r="F343" i="5"/>
  <c r="L343" i="5" s="1"/>
  <c r="E343" i="5"/>
  <c r="F341" i="5"/>
  <c r="L341" i="5" s="1"/>
  <c r="E341" i="5"/>
  <c r="G341" i="5" s="1"/>
  <c r="F340" i="5"/>
  <c r="L340" i="5" s="1"/>
  <c r="E340" i="5"/>
  <c r="F339" i="5"/>
  <c r="L339" i="5" s="1"/>
  <c r="E339" i="5"/>
  <c r="G339" i="5" s="1"/>
  <c r="F338" i="5"/>
  <c r="L338" i="5" s="1"/>
  <c r="E338" i="5"/>
  <c r="G338" i="5" s="1"/>
  <c r="F337" i="5"/>
  <c r="L337" i="5" s="1"/>
  <c r="E337" i="5"/>
  <c r="L336" i="5"/>
  <c r="G336" i="5"/>
  <c r="G394" i="5" s="1"/>
  <c r="F336" i="5"/>
  <c r="E336" i="5"/>
  <c r="L334" i="5"/>
  <c r="L333" i="5"/>
  <c r="L332" i="5"/>
  <c r="F331" i="5"/>
  <c r="L331" i="5" s="1"/>
  <c r="E331" i="5"/>
  <c r="G331" i="5" s="1"/>
  <c r="F330" i="5"/>
  <c r="L330" i="5" s="1"/>
  <c r="E330" i="5"/>
  <c r="F329" i="5"/>
  <c r="L329" i="5" s="1"/>
  <c r="E329" i="5"/>
  <c r="F328" i="5"/>
  <c r="L328" i="5" s="1"/>
  <c r="E328" i="5"/>
  <c r="G328" i="5" s="1"/>
  <c r="F327" i="5"/>
  <c r="L327" i="5" s="1"/>
  <c r="E327" i="5"/>
  <c r="G327" i="5" s="1"/>
  <c r="F326" i="5"/>
  <c r="L326" i="5" s="1"/>
  <c r="E326" i="5"/>
  <c r="G326" i="5" s="1"/>
  <c r="F325" i="5"/>
  <c r="L325" i="5" s="1"/>
  <c r="E325" i="5"/>
  <c r="G325" i="5" s="1"/>
  <c r="F324" i="5"/>
  <c r="L324" i="5" s="1"/>
  <c r="E324" i="5"/>
  <c r="L323" i="5"/>
  <c r="F323" i="5"/>
  <c r="E323" i="5"/>
  <c r="G323" i="5" s="1"/>
  <c r="F322" i="5"/>
  <c r="L322" i="5" s="1"/>
  <c r="E322" i="5"/>
  <c r="G322" i="5" s="1"/>
  <c r="F321" i="5"/>
  <c r="L321" i="5" s="1"/>
  <c r="E321" i="5"/>
  <c r="G321" i="5" s="1"/>
  <c r="F320" i="5"/>
  <c r="L320" i="5" s="1"/>
  <c r="L477" i="5" s="1"/>
  <c r="E320" i="5"/>
  <c r="L318" i="5"/>
  <c r="L317" i="5"/>
  <c r="L316" i="5"/>
  <c r="L315" i="5"/>
  <c r="G315" i="5"/>
  <c r="L314" i="5"/>
  <c r="J314" i="5"/>
  <c r="G314" i="5"/>
  <c r="L313" i="5"/>
  <c r="J313" i="5"/>
  <c r="G313" i="5"/>
  <c r="L312" i="5"/>
  <c r="G312" i="5"/>
  <c r="L311" i="5"/>
  <c r="G311" i="5"/>
  <c r="K310" i="5"/>
  <c r="J310" i="5"/>
  <c r="G310" i="5"/>
  <c r="L309" i="5"/>
  <c r="J309" i="5"/>
  <c r="G309" i="5"/>
  <c r="K308" i="5"/>
  <c r="L308" i="5" s="1"/>
  <c r="J308" i="5"/>
  <c r="G308" i="5"/>
  <c r="J307" i="5"/>
  <c r="G307" i="5"/>
  <c r="E306" i="5"/>
  <c r="G306" i="5" s="1"/>
  <c r="G305" i="5"/>
  <c r="K304" i="5"/>
  <c r="G304" i="5"/>
  <c r="K303" i="5"/>
  <c r="G303" i="5"/>
  <c r="E302" i="5"/>
  <c r="G302" i="5" s="1"/>
  <c r="F301" i="5"/>
  <c r="G301" i="5" s="1"/>
  <c r="E300" i="5"/>
  <c r="G300" i="5" s="1"/>
  <c r="K299" i="5"/>
  <c r="J299" i="5"/>
  <c r="G299" i="5"/>
  <c r="E299" i="5"/>
  <c r="L298" i="5"/>
  <c r="M298" i="5" s="1"/>
  <c r="J298" i="5"/>
  <c r="G298" i="5"/>
  <c r="L297" i="5"/>
  <c r="K297" i="5"/>
  <c r="J297" i="5"/>
  <c r="G297" i="5"/>
  <c r="J296" i="5"/>
  <c r="G296" i="5"/>
  <c r="G295" i="5"/>
  <c r="G294" i="5"/>
  <c r="J293" i="5"/>
  <c r="G293" i="5"/>
  <c r="K292" i="5"/>
  <c r="L292" i="5" s="1"/>
  <c r="M292" i="5" s="1"/>
  <c r="J292" i="5"/>
  <c r="G292" i="5"/>
  <c r="F292" i="5"/>
  <c r="J249" i="5" s="1"/>
  <c r="K291" i="5"/>
  <c r="G291" i="5"/>
  <c r="G290" i="5"/>
  <c r="G289" i="5"/>
  <c r="J288" i="5"/>
  <c r="G288" i="5"/>
  <c r="J287" i="5"/>
  <c r="E287" i="5"/>
  <c r="G287" i="5" s="1"/>
  <c r="J285" i="5"/>
  <c r="E285" i="5"/>
  <c r="E286" i="5" s="1"/>
  <c r="G286" i="5" s="1"/>
  <c r="F284" i="5"/>
  <c r="E284" i="5"/>
  <c r="G284" i="5" s="1"/>
  <c r="G283" i="5"/>
  <c r="G282" i="5"/>
  <c r="G281" i="5"/>
  <c r="K280" i="5"/>
  <c r="G280" i="5"/>
  <c r="L279" i="5"/>
  <c r="N279" i="5" s="1"/>
  <c r="J279" i="5"/>
  <c r="G279" i="5"/>
  <c r="G278" i="5"/>
  <c r="J277" i="5"/>
  <c r="G277" i="5"/>
  <c r="L275" i="5"/>
  <c r="J273" i="5"/>
  <c r="G273" i="5"/>
  <c r="G272" i="5"/>
  <c r="G271" i="5"/>
  <c r="I270" i="5"/>
  <c r="J270" i="5" s="1"/>
  <c r="G270" i="5"/>
  <c r="J269" i="5"/>
  <c r="G269" i="5"/>
  <c r="K268" i="5"/>
  <c r="G268" i="5"/>
  <c r="G267" i="5"/>
  <c r="L266" i="5"/>
  <c r="G266" i="5"/>
  <c r="L265" i="5"/>
  <c r="G265" i="5"/>
  <c r="G264" i="5"/>
  <c r="L263" i="5"/>
  <c r="G263" i="5"/>
  <c r="K262" i="5"/>
  <c r="G262" i="5"/>
  <c r="J261" i="5"/>
  <c r="G261" i="5"/>
  <c r="J260" i="5"/>
  <c r="G260" i="5"/>
  <c r="J259" i="5"/>
  <c r="G259" i="5"/>
  <c r="K258" i="5"/>
  <c r="L258" i="5" s="1"/>
  <c r="J258" i="5"/>
  <c r="G258" i="5"/>
  <c r="E257" i="5"/>
  <c r="G257" i="5" s="1"/>
  <c r="L256" i="5"/>
  <c r="M256" i="5" s="1"/>
  <c r="J256" i="5"/>
  <c r="G256" i="5"/>
  <c r="G255" i="5"/>
  <c r="L254" i="5"/>
  <c r="J254" i="5"/>
  <c r="K254" i="5" s="1"/>
  <c r="G254" i="5"/>
  <c r="N253" i="5"/>
  <c r="O253" i="5" s="1"/>
  <c r="J253" i="5"/>
  <c r="G253" i="5"/>
  <c r="G252" i="5"/>
  <c r="K251" i="5"/>
  <c r="G251" i="5"/>
  <c r="G250" i="5"/>
  <c r="G249" i="5"/>
  <c r="J247" i="5"/>
  <c r="E247" i="5"/>
  <c r="E248" i="5" s="1"/>
  <c r="G248" i="5" s="1"/>
  <c r="F246" i="5"/>
  <c r="J251" i="5" s="1"/>
  <c r="K252" i="5" s="1"/>
  <c r="E246" i="5"/>
  <c r="G246" i="5" s="1"/>
  <c r="J245" i="5"/>
  <c r="K245" i="5" s="1"/>
  <c r="G245" i="5"/>
  <c r="J244" i="5"/>
  <c r="G244" i="5"/>
  <c r="L242" i="5"/>
  <c r="L241" i="5"/>
  <c r="J241" i="5"/>
  <c r="G241" i="5"/>
  <c r="L240" i="5"/>
  <c r="G240" i="5"/>
  <c r="N239" i="5"/>
  <c r="L239" i="5"/>
  <c r="J239" i="5"/>
  <c r="N238" i="5" s="1"/>
  <c r="G239" i="5"/>
  <c r="L238" i="5"/>
  <c r="G238" i="5"/>
  <c r="L237" i="5"/>
  <c r="G237" i="5"/>
  <c r="L236" i="5"/>
  <c r="G236" i="5"/>
  <c r="L235" i="5"/>
  <c r="G235" i="5"/>
  <c r="L234" i="5"/>
  <c r="G234" i="5"/>
  <c r="L233" i="5"/>
  <c r="G233" i="5"/>
  <c r="L232" i="5"/>
  <c r="G232" i="5"/>
  <c r="L231" i="5"/>
  <c r="G231" i="5"/>
  <c r="L230" i="5"/>
  <c r="G230" i="5"/>
  <c r="L229" i="5"/>
  <c r="G229" i="5"/>
  <c r="L228" i="5"/>
  <c r="I228" i="5"/>
  <c r="I230" i="5" s="1"/>
  <c r="J230" i="5" s="1"/>
  <c r="G228" i="5"/>
  <c r="L227" i="5"/>
  <c r="G227" i="5"/>
  <c r="L226" i="5"/>
  <c r="G226" i="5"/>
  <c r="Q225" i="5"/>
  <c r="R225" i="5" s="1"/>
  <c r="S225" i="5" s="1"/>
  <c r="T225" i="5" s="1"/>
  <c r="M225" i="5"/>
  <c r="O225" i="5" s="1"/>
  <c r="P225" i="5" s="1"/>
  <c r="G225" i="5"/>
  <c r="I223" i="5"/>
  <c r="G223" i="5"/>
  <c r="Q217" i="5"/>
  <c r="L217" i="5"/>
  <c r="L215" i="5"/>
  <c r="L214" i="5"/>
  <c r="G214" i="5"/>
  <c r="L213" i="5"/>
  <c r="G213" i="5"/>
  <c r="L212" i="5"/>
  <c r="G212" i="5"/>
  <c r="L211" i="5"/>
  <c r="G211" i="5"/>
  <c r="L210" i="5"/>
  <c r="G210" i="5"/>
  <c r="L209" i="5"/>
  <c r="G209" i="5"/>
  <c r="L208" i="5"/>
  <c r="G208" i="5"/>
  <c r="L207" i="5"/>
  <c r="G207" i="5"/>
  <c r="L206" i="5"/>
  <c r="G206" i="5"/>
  <c r="L205" i="5"/>
  <c r="G205" i="5"/>
  <c r="L204" i="5"/>
  <c r="G204" i="5"/>
  <c r="L203" i="5"/>
  <c r="G203" i="5"/>
  <c r="L202" i="5"/>
  <c r="G202" i="5"/>
  <c r="L201" i="5"/>
  <c r="G201" i="5"/>
  <c r="L200" i="5"/>
  <c r="G200" i="5"/>
  <c r="L199" i="5"/>
  <c r="G199" i="5"/>
  <c r="Q198" i="5"/>
  <c r="R198" i="5" s="1"/>
  <c r="M198" i="5"/>
  <c r="O198" i="5" s="1"/>
  <c r="P198" i="5" s="1"/>
  <c r="G198" i="5"/>
  <c r="I196" i="5"/>
  <c r="Q190" i="5"/>
  <c r="L190" i="5"/>
  <c r="L188" i="5"/>
  <c r="L187" i="5"/>
  <c r="G187" i="5"/>
  <c r="L186" i="5"/>
  <c r="G186" i="5"/>
  <c r="L185" i="5"/>
  <c r="G185" i="5"/>
  <c r="L184" i="5"/>
  <c r="G184" i="5"/>
  <c r="L183" i="5"/>
  <c r="G183" i="5"/>
  <c r="L182" i="5"/>
  <c r="G182" i="5"/>
  <c r="L181" i="5"/>
  <c r="G181" i="5"/>
  <c r="L180" i="5"/>
  <c r="G180" i="5"/>
  <c r="L179" i="5"/>
  <c r="G179" i="5"/>
  <c r="L178" i="5"/>
  <c r="G178" i="5"/>
  <c r="L177" i="5"/>
  <c r="G177" i="5"/>
  <c r="L176" i="5"/>
  <c r="G176" i="5"/>
  <c r="L175" i="5"/>
  <c r="G175" i="5"/>
  <c r="L174" i="5"/>
  <c r="G174" i="5"/>
  <c r="L173" i="5"/>
  <c r="G173" i="5"/>
  <c r="L172" i="5"/>
  <c r="G172" i="5"/>
  <c r="R171" i="5"/>
  <c r="S171" i="5" s="1"/>
  <c r="T171" i="5" s="1"/>
  <c r="Q171" i="5"/>
  <c r="M171" i="5"/>
  <c r="O171" i="5" s="1"/>
  <c r="P171" i="5" s="1"/>
  <c r="G171" i="5"/>
  <c r="I169" i="5"/>
  <c r="Q163" i="5"/>
  <c r="L163" i="5"/>
  <c r="L161" i="5"/>
  <c r="L160" i="5"/>
  <c r="G160" i="5"/>
  <c r="L159" i="5"/>
  <c r="G159" i="5"/>
  <c r="L158" i="5"/>
  <c r="G158" i="5"/>
  <c r="L157" i="5"/>
  <c r="G157" i="5"/>
  <c r="L156" i="5"/>
  <c r="G156" i="5"/>
  <c r="L155" i="5"/>
  <c r="G155" i="5"/>
  <c r="L154" i="5"/>
  <c r="G154" i="5"/>
  <c r="L153" i="5"/>
  <c r="G153" i="5"/>
  <c r="L152" i="5"/>
  <c r="G152" i="5"/>
  <c r="L151" i="5"/>
  <c r="G151" i="5"/>
  <c r="L150" i="5"/>
  <c r="G150" i="5"/>
  <c r="L149" i="5"/>
  <c r="G149" i="5"/>
  <c r="L148" i="5"/>
  <c r="G148" i="5"/>
  <c r="L147" i="5"/>
  <c r="G147" i="5"/>
  <c r="L146" i="5"/>
  <c r="G146" i="5"/>
  <c r="L145" i="5"/>
  <c r="G145" i="5"/>
  <c r="Q144" i="5"/>
  <c r="O144" i="5"/>
  <c r="P144" i="5" s="1"/>
  <c r="M144" i="5"/>
  <c r="G144" i="5"/>
  <c r="I142" i="5"/>
  <c r="Q136" i="5"/>
  <c r="L136" i="5"/>
  <c r="L134" i="5"/>
  <c r="L133" i="5"/>
  <c r="G133" i="5"/>
  <c r="L132" i="5"/>
  <c r="G132" i="5"/>
  <c r="L131" i="5"/>
  <c r="G131" i="5"/>
  <c r="L130" i="5"/>
  <c r="G130" i="5"/>
  <c r="L129" i="5"/>
  <c r="G129" i="5"/>
  <c r="L128" i="5"/>
  <c r="G128" i="5"/>
  <c r="L127" i="5"/>
  <c r="G127" i="5"/>
  <c r="L126" i="5"/>
  <c r="G126" i="5"/>
  <c r="L125" i="5"/>
  <c r="G125" i="5"/>
  <c r="L124" i="5"/>
  <c r="G124" i="5"/>
  <c r="L123" i="5"/>
  <c r="G123" i="5"/>
  <c r="L122" i="5"/>
  <c r="G122" i="5"/>
  <c r="L121" i="5"/>
  <c r="G121" i="5"/>
  <c r="L120" i="5"/>
  <c r="G120" i="5"/>
  <c r="L119" i="5"/>
  <c r="G119" i="5"/>
  <c r="L118" i="5"/>
  <c r="G118" i="5"/>
  <c r="Q117" i="5"/>
  <c r="R117" i="5" s="1"/>
  <c r="S117" i="5" s="1"/>
  <c r="T117" i="5" s="1"/>
  <c r="P117" i="5"/>
  <c r="O117" i="5"/>
  <c r="M117" i="5"/>
  <c r="G117" i="5"/>
  <c r="I115" i="5"/>
  <c r="Q109" i="5"/>
  <c r="L109" i="5"/>
  <c r="L107" i="5"/>
  <c r="L106" i="5"/>
  <c r="G106" i="5"/>
  <c r="L105" i="5"/>
  <c r="G105" i="5"/>
  <c r="L104" i="5"/>
  <c r="G104" i="5"/>
  <c r="L103" i="5"/>
  <c r="G103" i="5"/>
  <c r="L102" i="5"/>
  <c r="G102" i="5"/>
  <c r="L101" i="5"/>
  <c r="G101" i="5"/>
  <c r="L100" i="5"/>
  <c r="G100" i="5"/>
  <c r="L99" i="5"/>
  <c r="G99" i="5"/>
  <c r="L98" i="5"/>
  <c r="G98" i="5"/>
  <c r="L97" i="5"/>
  <c r="G97" i="5"/>
  <c r="L96" i="5"/>
  <c r="G96" i="5"/>
  <c r="L95" i="5"/>
  <c r="G95" i="5"/>
  <c r="L94" i="5"/>
  <c r="G94" i="5"/>
  <c r="L93" i="5"/>
  <c r="G93" i="5"/>
  <c r="L92" i="5"/>
  <c r="G92" i="5"/>
  <c r="L91" i="5"/>
  <c r="G91" i="5"/>
  <c r="Q90" i="5"/>
  <c r="M90" i="5"/>
  <c r="O90" i="5" s="1"/>
  <c r="P90" i="5" s="1"/>
  <c r="G90" i="5"/>
  <c r="I88" i="5"/>
  <c r="Q82" i="5"/>
  <c r="L82" i="5"/>
  <c r="L80" i="5"/>
  <c r="L79" i="5"/>
  <c r="G79" i="5"/>
  <c r="L78" i="5"/>
  <c r="G78" i="5"/>
  <c r="L77" i="5"/>
  <c r="G77" i="5"/>
  <c r="L76" i="5"/>
  <c r="G76" i="5"/>
  <c r="L75" i="5"/>
  <c r="G75" i="5"/>
  <c r="L74" i="5"/>
  <c r="G74" i="5"/>
  <c r="L73" i="5"/>
  <c r="G73" i="5"/>
  <c r="L72" i="5"/>
  <c r="G72" i="5"/>
  <c r="L71" i="5"/>
  <c r="G71" i="5"/>
  <c r="L70" i="5"/>
  <c r="G70" i="5"/>
  <c r="L69" i="5"/>
  <c r="G69" i="5"/>
  <c r="L68" i="5"/>
  <c r="G68" i="5"/>
  <c r="L67" i="5"/>
  <c r="G67" i="5"/>
  <c r="L66" i="5"/>
  <c r="G66" i="5"/>
  <c r="L65" i="5"/>
  <c r="G65" i="5"/>
  <c r="L64" i="5"/>
  <c r="G64" i="5"/>
  <c r="Q63" i="5"/>
  <c r="R63" i="5" s="1"/>
  <c r="M63" i="5"/>
  <c r="O63" i="5" s="1"/>
  <c r="P63" i="5" s="1"/>
  <c r="G63" i="5"/>
  <c r="I61" i="5"/>
  <c r="Q55" i="5"/>
  <c r="L55" i="5"/>
  <c r="L53" i="5"/>
  <c r="L52" i="5"/>
  <c r="G52" i="5"/>
  <c r="L51" i="5"/>
  <c r="G51" i="5"/>
  <c r="L50" i="5"/>
  <c r="G50" i="5"/>
  <c r="L49" i="5"/>
  <c r="G49" i="5"/>
  <c r="L48" i="5"/>
  <c r="G48" i="5"/>
  <c r="L47" i="5"/>
  <c r="G47" i="5"/>
  <c r="L46" i="5"/>
  <c r="G46" i="5"/>
  <c r="L45" i="5"/>
  <c r="G45" i="5"/>
  <c r="L44" i="5"/>
  <c r="G44" i="5"/>
  <c r="L43" i="5"/>
  <c r="G43" i="5"/>
  <c r="L42" i="5"/>
  <c r="G42" i="5"/>
  <c r="L41" i="5"/>
  <c r="G41" i="5"/>
  <c r="L40" i="5"/>
  <c r="G40" i="5"/>
  <c r="L39" i="5"/>
  <c r="G39" i="5"/>
  <c r="L38" i="5"/>
  <c r="G38" i="5"/>
  <c r="L37" i="5"/>
  <c r="G37" i="5"/>
  <c r="R36" i="5"/>
  <c r="S36" i="5" s="1"/>
  <c r="T36" i="5" s="1"/>
  <c r="Q36" i="5"/>
  <c r="M36" i="5"/>
  <c r="O36" i="5" s="1"/>
  <c r="P36" i="5" s="1"/>
  <c r="G36" i="5"/>
  <c r="E34" i="5"/>
  <c r="G34" i="5" s="1"/>
  <c r="E33" i="5"/>
  <c r="G33" i="5" s="1"/>
  <c r="E32" i="5"/>
  <c r="G32" i="5" s="1"/>
  <c r="E31" i="5"/>
  <c r="G31" i="5" s="1"/>
  <c r="E30" i="5"/>
  <c r="G30" i="5" s="1"/>
  <c r="E29" i="5"/>
  <c r="G29" i="5" s="1"/>
  <c r="Q28" i="5"/>
  <c r="L28" i="5"/>
  <c r="E28" i="5"/>
  <c r="G28" i="5" s="1"/>
  <c r="G53" i="5" s="1"/>
  <c r="L26" i="5"/>
  <c r="G25" i="5"/>
  <c r="G24" i="5"/>
  <c r="O23" i="5"/>
  <c r="L23" i="5"/>
  <c r="J23" i="5"/>
  <c r="G23" i="5"/>
  <c r="L22" i="5"/>
  <c r="J22" i="5"/>
  <c r="G22" i="5"/>
  <c r="G26" i="5" s="1"/>
  <c r="L21" i="5"/>
  <c r="J21" i="5"/>
  <c r="G21" i="5"/>
  <c r="M20" i="5"/>
  <c r="O20" i="5" s="1"/>
  <c r="I19" i="5"/>
  <c r="K10" i="5"/>
  <c r="S92" i="9" l="1"/>
  <c r="T92" i="9" s="1"/>
  <c r="S147" i="9"/>
  <c r="T147" i="9" s="1"/>
  <c r="S65" i="9"/>
  <c r="T65" i="9" s="1"/>
  <c r="S90" i="5"/>
  <c r="T90" i="5" s="1"/>
  <c r="G195" i="9"/>
  <c r="G26" i="9"/>
  <c r="S121" i="9"/>
  <c r="T121" i="9" s="1"/>
  <c r="O10" i="5"/>
  <c r="P10" i="5" s="1"/>
  <c r="G275" i="5"/>
  <c r="S144" i="5"/>
  <c r="T144" i="5" s="1"/>
  <c r="E253" i="7"/>
  <c r="G253" i="7" s="1"/>
  <c r="G279" i="7" s="1"/>
  <c r="G346" i="5"/>
  <c r="G347" i="5"/>
  <c r="R144" i="5"/>
  <c r="R92" i="9"/>
  <c r="G337" i="5"/>
  <c r="G365" i="5"/>
  <c r="G391" i="5"/>
  <c r="G402" i="5"/>
  <c r="G422" i="5"/>
  <c r="G430" i="5"/>
  <c r="R182" i="7"/>
  <c r="S182" i="7" s="1"/>
  <c r="T182" i="7" s="1"/>
  <c r="S208" i="7"/>
  <c r="T208" i="7" s="1"/>
  <c r="S233" i="7"/>
  <c r="T233" i="7" s="1"/>
  <c r="E290" i="7"/>
  <c r="G290" i="7" s="1"/>
  <c r="G323" i="7" s="1"/>
  <c r="G285" i="5"/>
  <c r="G318" i="5" s="1"/>
  <c r="G340" i="5"/>
  <c r="G358" i="5"/>
  <c r="G368" i="5"/>
  <c r="G386" i="5"/>
  <c r="G405" i="5"/>
  <c r="R36" i="9"/>
  <c r="S36" i="9" s="1"/>
  <c r="T36" i="9" s="1"/>
  <c r="R121" i="9"/>
  <c r="G247" i="5"/>
  <c r="R147" i="9"/>
  <c r="G168" i="9"/>
  <c r="J311" i="5"/>
  <c r="J265" i="5" s="1"/>
  <c r="J266" i="5" s="1"/>
  <c r="G407" i="5"/>
  <c r="G418" i="5"/>
  <c r="G434" i="5" s="1"/>
  <c r="G426" i="5"/>
  <c r="G447" i="5"/>
  <c r="G455" i="5"/>
  <c r="G467" i="5"/>
  <c r="L10" i="5"/>
  <c r="S63" i="5"/>
  <c r="T63" i="5" s="1"/>
  <c r="S198" i="5"/>
  <c r="T198" i="5" s="1"/>
  <c r="J312" i="5"/>
  <c r="G344" i="5"/>
  <c r="S127" i="7"/>
  <c r="T127" i="7" s="1"/>
  <c r="E206" i="9"/>
  <c r="G206" i="9" s="1"/>
  <c r="G239" i="9" s="1"/>
  <c r="N10" i="5"/>
  <c r="G449" i="5"/>
  <c r="G345" i="5"/>
  <c r="G363" i="5"/>
  <c r="R65" i="9"/>
  <c r="R90" i="5"/>
  <c r="G459" i="5"/>
  <c r="G473" i="5" s="1"/>
  <c r="L10" i="9"/>
  <c r="O10" i="9" s="1"/>
  <c r="P10" i="9" s="1"/>
  <c r="G324" i="5"/>
  <c r="G364" i="5"/>
  <c r="G373" i="5"/>
  <c r="G382" i="5"/>
  <c r="G401" i="5"/>
  <c r="G470" i="5"/>
  <c r="R377" i="5"/>
  <c r="S377" i="5" s="1"/>
  <c r="T377" i="5" s="1"/>
  <c r="L405" i="5"/>
  <c r="G329" i="5"/>
  <c r="G371" i="5"/>
  <c r="G376" i="5"/>
  <c r="G404" i="5"/>
  <c r="L347" i="5"/>
  <c r="L372" i="5"/>
  <c r="G343" i="5"/>
  <c r="G356" i="5"/>
  <c r="G381" i="5"/>
  <c r="G397" i="5"/>
  <c r="G409" i="5" s="1"/>
  <c r="G420" i="5"/>
  <c r="G424" i="5"/>
  <c r="G428" i="5"/>
  <c r="G432" i="5"/>
  <c r="G330" i="5"/>
  <c r="G385" i="5"/>
  <c r="G451" i="5"/>
  <c r="G320" i="5"/>
  <c r="G332" i="5" s="1"/>
  <c r="G478" i="5" s="1"/>
  <c r="G480" i="5" s="1"/>
  <c r="G361" i="5"/>
  <c r="G460" i="5"/>
  <c r="O467" i="5"/>
  <c r="O468" i="5"/>
  <c r="E218" i="5"/>
  <c r="G218" i="5" s="1"/>
  <c r="E110" i="5"/>
  <c r="G110" i="5" s="1"/>
  <c r="E91" i="9"/>
  <c r="G91" i="9" s="1"/>
  <c r="E197" i="5"/>
  <c r="G197" i="5" s="1"/>
  <c r="E35" i="9"/>
  <c r="G35" i="9" s="1"/>
  <c r="E62" i="5"/>
  <c r="G62" i="5" s="1"/>
  <c r="E70" i="7"/>
  <c r="G70" i="7" s="1"/>
  <c r="E29" i="9"/>
  <c r="G29" i="9" s="1"/>
  <c r="E56" i="5"/>
  <c r="G56" i="5" s="1"/>
  <c r="E64" i="7"/>
  <c r="G64" i="7" s="1"/>
  <c r="E85" i="9"/>
  <c r="G85" i="9" s="1"/>
  <c r="E228" i="7"/>
  <c r="G228" i="7" s="1"/>
  <c r="E66" i="7"/>
  <c r="G66" i="7" s="1"/>
  <c r="E145" i="9"/>
  <c r="G145" i="9" s="1"/>
  <c r="E191" i="5"/>
  <c r="G191" i="5" s="1"/>
  <c r="E201" i="7"/>
  <c r="G201" i="7" s="1"/>
  <c r="E203" i="7"/>
  <c r="G203" i="7" s="1"/>
  <c r="E87" i="9"/>
  <c r="G87" i="9" s="1"/>
  <c r="E224" i="5"/>
  <c r="G224" i="5" s="1"/>
  <c r="E88" i="5"/>
  <c r="G88" i="5" s="1"/>
  <c r="E98" i="7"/>
  <c r="G98" i="7" s="1"/>
  <c r="E63" i="9"/>
  <c r="G63" i="9" s="1"/>
  <c r="E175" i="7"/>
  <c r="G175" i="7" s="1"/>
  <c r="E140" i="9"/>
  <c r="G140" i="9" s="1"/>
  <c r="E164" i="5"/>
  <c r="G164" i="5" s="1"/>
  <c r="E90" i="9"/>
  <c r="G90" i="9" s="1"/>
  <c r="E115" i="5"/>
  <c r="G115" i="5" s="1"/>
  <c r="E125" i="7"/>
  <c r="G125" i="7" s="1"/>
  <c r="E154" i="7"/>
  <c r="G154" i="7" s="1"/>
  <c r="E119" i="9"/>
  <c r="G119" i="9" s="1"/>
  <c r="E120" i="9"/>
  <c r="G120" i="9" s="1"/>
  <c r="E155" i="7"/>
  <c r="G155" i="7" s="1"/>
  <c r="E143" i="5"/>
  <c r="G143" i="5" s="1"/>
  <c r="E58" i="9"/>
  <c r="G58" i="9" s="1"/>
  <c r="E83" i="5"/>
  <c r="G83" i="5" s="1"/>
  <c r="E170" i="5"/>
  <c r="G170" i="5" s="1"/>
  <c r="E146" i="9"/>
  <c r="G146" i="9" s="1"/>
  <c r="E181" i="7"/>
  <c r="G181" i="7" s="1"/>
  <c r="E35" i="7"/>
  <c r="G35" i="7" s="1"/>
  <c r="E35" i="5"/>
  <c r="G35" i="5" s="1"/>
  <c r="E196" i="5"/>
  <c r="G196" i="5" s="1"/>
  <c r="E206" i="7"/>
  <c r="G206" i="7" s="1"/>
  <c r="E137" i="5"/>
  <c r="G137" i="5" s="1"/>
  <c r="E114" i="9"/>
  <c r="G114" i="9" s="1"/>
  <c r="E149" i="7"/>
  <c r="G149" i="7" s="1"/>
  <c r="E116" i="5"/>
  <c r="G116" i="5" s="1"/>
  <c r="E126" i="7"/>
  <c r="G126" i="7" s="1"/>
  <c r="E69" i="7"/>
  <c r="G69" i="7" s="1"/>
  <c r="E61" i="5"/>
  <c r="G61" i="5" s="1"/>
  <c r="E180" i="7"/>
  <c r="G180" i="7" s="1"/>
  <c r="O469" i="5" l="1"/>
  <c r="G485" i="5"/>
  <c r="F488" i="5" s="1"/>
  <c r="G488" i="5" s="1"/>
  <c r="G489" i="5" s="1"/>
  <c r="F491" i="5" s="1"/>
  <c r="I493" i="5" s="1"/>
  <c r="G483" i="5"/>
  <c r="G484" i="5" s="1"/>
  <c r="G482" i="5"/>
  <c r="G481" i="5"/>
  <c r="E193" i="5"/>
  <c r="G193" i="5" s="1"/>
  <c r="E58" i="5"/>
  <c r="G58" i="5" s="1"/>
  <c r="E31" i="9"/>
  <c r="G31" i="9" s="1"/>
  <c r="E166" i="5"/>
  <c r="G166" i="5" s="1"/>
  <c r="E177" i="7"/>
  <c r="G177" i="7" s="1"/>
  <c r="E142" i="9"/>
  <c r="G142" i="9" s="1"/>
  <c r="E220" i="5"/>
  <c r="G220" i="5" s="1"/>
  <c r="E112" i="5"/>
  <c r="G112" i="5" s="1"/>
  <c r="E122" i="7"/>
  <c r="G122" i="7" s="1"/>
  <c r="E148" i="7"/>
  <c r="G148" i="7" s="1"/>
  <c r="E113" i="9"/>
  <c r="G113" i="9" s="1"/>
  <c r="E136" i="5"/>
  <c r="G136" i="5" s="1"/>
  <c r="E121" i="7"/>
  <c r="G121" i="7" s="1"/>
  <c r="E86" i="9"/>
  <c r="G86" i="9" s="1"/>
  <c r="E111" i="5"/>
  <c r="G111" i="5" s="1"/>
  <c r="E192" i="5"/>
  <c r="G192" i="5" s="1"/>
  <c r="E202" i="7"/>
  <c r="G202" i="7" s="1"/>
  <c r="E163" i="5"/>
  <c r="G163" i="5" s="1"/>
  <c r="E139" i="9"/>
  <c r="G139" i="9" s="1"/>
  <c r="E174" i="7"/>
  <c r="G174" i="7" s="1"/>
  <c r="E86" i="5"/>
  <c r="G86" i="5" s="1"/>
  <c r="E61" i="9"/>
  <c r="G61" i="9" s="1"/>
  <c r="E96" i="7"/>
  <c r="G96" i="7" s="1"/>
  <c r="E95" i="7"/>
  <c r="G95" i="7" s="1"/>
  <c r="E85" i="5"/>
  <c r="G85" i="5" s="1"/>
  <c r="E60" i="9"/>
  <c r="G60" i="9" s="1"/>
  <c r="E116" i="9"/>
  <c r="G116" i="9" s="1"/>
  <c r="E151" i="7"/>
  <c r="G151" i="7" s="1"/>
  <c r="E139" i="5"/>
  <c r="G139" i="5" s="1"/>
  <c r="E204" i="7"/>
  <c r="G204" i="7" s="1"/>
  <c r="E194" i="5"/>
  <c r="G194" i="5" s="1"/>
  <c r="E144" i="9"/>
  <c r="G144" i="9" s="1"/>
  <c r="E168" i="5"/>
  <c r="G168" i="5" s="1"/>
  <c r="E179" i="7"/>
  <c r="G179" i="7" s="1"/>
  <c r="E63" i="7"/>
  <c r="G63" i="7" s="1"/>
  <c r="E55" i="5"/>
  <c r="G55" i="5" s="1"/>
  <c r="E28" i="9"/>
  <c r="G28" i="9" s="1"/>
  <c r="E62" i="9"/>
  <c r="G62" i="9" s="1"/>
  <c r="E97" i="7"/>
  <c r="G97" i="7" s="1"/>
  <c r="E87" i="5"/>
  <c r="G87" i="5" s="1"/>
  <c r="E229" i="7"/>
  <c r="G229" i="7" s="1"/>
  <c r="E221" i="5"/>
  <c r="G221" i="5" s="1"/>
  <c r="E88" i="9"/>
  <c r="G88" i="9" s="1"/>
  <c r="E113" i="5"/>
  <c r="G113" i="5" s="1"/>
  <c r="E123" i="7"/>
  <c r="G123" i="7" s="1"/>
  <c r="E64" i="9"/>
  <c r="G64" i="9" s="1"/>
  <c r="E99" i="7"/>
  <c r="G99" i="7" s="1"/>
  <c r="E89" i="5"/>
  <c r="G89" i="5" s="1"/>
  <c r="E84" i="9"/>
  <c r="G84" i="9" s="1"/>
  <c r="E119" i="7"/>
  <c r="G119" i="7" s="1"/>
  <c r="E109" i="5"/>
  <c r="G109" i="5" s="1"/>
  <c r="E205" i="7"/>
  <c r="G205" i="7" s="1"/>
  <c r="E195" i="5"/>
  <c r="G195" i="5" s="1"/>
  <c r="E141" i="9"/>
  <c r="G141" i="9" s="1"/>
  <c r="E176" i="7"/>
  <c r="G176" i="7" s="1"/>
  <c r="E165" i="5"/>
  <c r="G165" i="5" s="1"/>
  <c r="E30" i="9"/>
  <c r="G30" i="9" s="1"/>
  <c r="E65" i="7"/>
  <c r="G65" i="7" s="1"/>
  <c r="E57" i="5"/>
  <c r="G57" i="5" s="1"/>
  <c r="E222" i="5"/>
  <c r="G222" i="5" s="1"/>
  <c r="E230" i="7"/>
  <c r="G230" i="7" s="1"/>
  <c r="E190" i="5"/>
  <c r="G190" i="5" s="1"/>
  <c r="E200" i="7"/>
  <c r="G200" i="7" s="1"/>
  <c r="E82" i="5"/>
  <c r="G82" i="5" s="1"/>
  <c r="E92" i="7"/>
  <c r="G92" i="7" s="1"/>
  <c r="E57" i="9"/>
  <c r="G57" i="9" s="1"/>
  <c r="E143" i="9"/>
  <c r="G143" i="9" s="1"/>
  <c r="E167" i="5"/>
  <c r="G167" i="5" s="1"/>
  <c r="E178" i="7"/>
  <c r="G178" i="7" s="1"/>
  <c r="E59" i="5"/>
  <c r="G59" i="5" s="1"/>
  <c r="E32" i="9"/>
  <c r="G32" i="9" s="1"/>
  <c r="E67" i="7"/>
  <c r="G67" i="7" s="1"/>
  <c r="E227" i="7"/>
  <c r="G227" i="7" s="1"/>
  <c r="E219" i="5"/>
  <c r="G219" i="5" s="1"/>
  <c r="E68" i="7"/>
  <c r="G68" i="7" s="1"/>
  <c r="E33" i="9"/>
  <c r="G33" i="9" s="1"/>
  <c r="E60" i="5"/>
  <c r="G60" i="5" s="1"/>
  <c r="E89" i="9"/>
  <c r="G89" i="9" s="1"/>
  <c r="E124" i="7"/>
  <c r="G124" i="7" s="1"/>
  <c r="E114" i="5"/>
  <c r="G114" i="5" s="1"/>
  <c r="E217" i="5"/>
  <c r="G217" i="5" s="1"/>
  <c r="E225" i="7"/>
  <c r="G225" i="7" s="1"/>
  <c r="E84" i="5"/>
  <c r="G84" i="5" s="1"/>
  <c r="E59" i="9"/>
  <c r="G59" i="9" s="1"/>
  <c r="E94" i="7"/>
  <c r="G94" i="7" s="1"/>
  <c r="E140" i="5"/>
  <c r="G140" i="5" s="1"/>
  <c r="E117" i="9"/>
  <c r="G117" i="9" s="1"/>
  <c r="E152" i="7"/>
  <c r="G152" i="7" s="1"/>
  <c r="E115" i="9"/>
  <c r="G115" i="9" s="1"/>
  <c r="E150" i="7"/>
  <c r="G150" i="7" s="1"/>
  <c r="E138" i="5"/>
  <c r="G138" i="5" s="1"/>
  <c r="E141" i="5"/>
  <c r="G141" i="5" s="1"/>
  <c r="E153" i="7"/>
  <c r="G153" i="7" s="1"/>
  <c r="E118" i="9"/>
  <c r="G118" i="9" s="1"/>
  <c r="G55" i="9" l="1"/>
  <c r="G163" i="9"/>
  <c r="G80" i="5"/>
  <c r="G188" i="5"/>
  <c r="G117" i="7"/>
  <c r="G247" i="7"/>
  <c r="G90" i="7"/>
  <c r="G242" i="5"/>
  <c r="G223" i="7"/>
  <c r="G215" i="5"/>
  <c r="G134" i="5"/>
  <c r="G107" i="5"/>
  <c r="G146" i="7"/>
  <c r="G111" i="9"/>
  <c r="G161" i="5"/>
  <c r="G137" i="9"/>
  <c r="G172" i="7"/>
  <c r="G82" i="9"/>
  <c r="G198" i="7"/>
  <c r="G244" i="9" l="1"/>
  <c r="G246" i="9" s="1"/>
  <c r="G328" i="7"/>
  <c r="F254" i="9" l="1"/>
  <c r="G254" i="9" s="1"/>
  <c r="G255" i="9" s="1"/>
  <c r="G249" i="9"/>
  <c r="G250" i="9" s="1"/>
  <c r="G248" i="9"/>
  <c r="G247" i="9"/>
  <c r="G330" i="7"/>
  <c r="F338" i="7"/>
  <c r="G338" i="7" s="1"/>
  <c r="G339" i="7" s="1"/>
  <c r="G251" i="9" l="1"/>
  <c r="F257" i="9" s="1"/>
  <c r="I259" i="9" s="1"/>
  <c r="G332" i="7"/>
  <c r="G335" i="7"/>
  <c r="G331" i="7"/>
  <c r="G333" i="7"/>
  <c r="G334" i="7" s="1"/>
  <c r="G23" i="11" l="1"/>
  <c r="G26" i="11" l="1"/>
  <c r="G27" i="11" s="1"/>
  <c r="G25" i="11"/>
  <c r="G24" i="11"/>
  <c r="G28" i="11" l="1"/>
  <c r="F30" i="11" s="1"/>
</calcChain>
</file>

<file path=xl/sharedStrings.xml><?xml version="1.0" encoding="utf-8"?>
<sst xmlns="http://schemas.openxmlformats.org/spreadsheetml/2006/main" count="9831" uniqueCount="725">
  <si>
    <t>DIRECCIÓN EJECUTIVA SECCIONAL DE ADMINISTRACIÓN JUDICIAL
DESAJ MONTERÍA</t>
  </si>
  <si>
    <t>DATOS DEL CONTRATANTE O SOLICITANTE</t>
  </si>
  <si>
    <t>DOCUMENTO:</t>
  </si>
  <si>
    <t>PRESUPUESTO DE OBRA U OFERTA ECONÓMICA</t>
  </si>
  <si>
    <t xml:space="preserve">CÓDIGO: </t>
  </si>
  <si>
    <t>DEPENDENCIA:</t>
  </si>
  <si>
    <t>INFRAESTRUCTURA</t>
  </si>
  <si>
    <t>CONTRATANTE:</t>
  </si>
  <si>
    <t>DESAJ MONTERÍA</t>
  </si>
  <si>
    <t>PROCESO N°:</t>
  </si>
  <si>
    <t>TIPO DE PROCESO:</t>
  </si>
  <si>
    <t xml:space="preserve">SUPERVISOR: </t>
  </si>
  <si>
    <t>CONTRATO N°:</t>
  </si>
  <si>
    <t>TIPO DE CONTRATO:</t>
  </si>
  <si>
    <t>INTERVENTOR:</t>
  </si>
  <si>
    <t>FECHA DE SOLICITUD POR PARTE DELCONTRATANTE:</t>
  </si>
  <si>
    <t>OBJETO:</t>
  </si>
  <si>
    <t>DATOS DEL OFERENTE O COTIZANTE</t>
  </si>
  <si>
    <t>NOMBRE:</t>
  </si>
  <si>
    <t>CC O NIT:</t>
  </si>
  <si>
    <t>TELÉFONO:</t>
  </si>
  <si>
    <t>DIRECCIÓN:</t>
  </si>
  <si>
    <t>CIUDAD:</t>
  </si>
  <si>
    <t>DEPARTAMENTO:</t>
  </si>
  <si>
    <t>E-MAIL</t>
  </si>
  <si>
    <t>PAÍS:</t>
  </si>
  <si>
    <t>FECHA DE LA OFERTA:</t>
  </si>
  <si>
    <t>UND</t>
  </si>
  <si>
    <t xml:space="preserve"> CANT INICIAL</t>
  </si>
  <si>
    <t>VALOR UNITARIO</t>
  </si>
  <si>
    <t>VALOR</t>
  </si>
  <si>
    <t>1.1</t>
  </si>
  <si>
    <t>GBL</t>
  </si>
  <si>
    <t>1.2</t>
  </si>
  <si>
    <t>M2</t>
  </si>
  <si>
    <t>1.3</t>
  </si>
  <si>
    <t>1.4</t>
  </si>
  <si>
    <t>1.5</t>
  </si>
  <si>
    <t xml:space="preserve">DESMONTE DE PUERTAS, VENTANAS, MARCOS Y PROTECTORES EXISTENTES </t>
  </si>
  <si>
    <t>1.6</t>
  </si>
  <si>
    <t xml:space="preserve">DESMONTE DE AIRES ACONDICIONADOS </t>
  </si>
  <si>
    <t>1.7</t>
  </si>
  <si>
    <t>1.8</t>
  </si>
  <si>
    <t xml:space="preserve">DEMOLICIÓN MUROS 0.15 INCLUYE RETIRO DE ESCOMBROS DEL SITIO DE LA OBRA </t>
  </si>
  <si>
    <t>1.9</t>
  </si>
  <si>
    <t>1.10</t>
  </si>
  <si>
    <t>1.11</t>
  </si>
  <si>
    <t>1.12</t>
  </si>
  <si>
    <t>ML</t>
  </si>
  <si>
    <t>3.1</t>
  </si>
  <si>
    <t xml:space="preserve">PLANTILLA DE NIVELACION DE PISO EN CONCRETO, INCLUYE MALLA ELECTROSOLDADA </t>
  </si>
  <si>
    <t>3.2</t>
  </si>
  <si>
    <t>3.3</t>
  </si>
  <si>
    <t>3.4</t>
  </si>
  <si>
    <t>3.5</t>
  </si>
  <si>
    <t>4.1</t>
  </si>
  <si>
    <t>4.2</t>
  </si>
  <si>
    <t>4.3</t>
  </si>
  <si>
    <t>4.4</t>
  </si>
  <si>
    <t>5.1</t>
  </si>
  <si>
    <t>5.2</t>
  </si>
  <si>
    <t>6.1</t>
  </si>
  <si>
    <t>6.2</t>
  </si>
  <si>
    <t xml:space="preserve">SUMINISTRO E INSTALACION DE LUMINARIA TIPO PANEL LED CIRCULAR  DE 18 WATT </t>
  </si>
  <si>
    <t>9.1</t>
  </si>
  <si>
    <t>9.2</t>
  </si>
  <si>
    <t>10.1</t>
  </si>
  <si>
    <t>SUMINISTRO E INSTALACIÓN DE TUBERÍA PVC-SANITARIA DE 4", PARA AGUAS RESIDUALES. INCLUYE ACCESORIOS</t>
  </si>
  <si>
    <t>SUMINISTRO E INSTALACIÓN DE TUBERÍA PVC-SANITARIA DE 3", PARA AGUAS RESIDUALES. INCLUYE ACCESORIOS</t>
  </si>
  <si>
    <t>SUMINISTRO E INSTALACIÓN DE TUBERÍA PVC-SANITARIA DE 2", PARA AGUAS RESIDUALES. INCLUYE ACCESORIOS</t>
  </si>
  <si>
    <t xml:space="preserve">PUNTOS HIDRÁULICOS 1/2". INCLUYE ACCESORIOS EN PVC. </t>
  </si>
  <si>
    <t>SUMINISTRO E INSTALACIÓN DE PUNTO PVC-SANITARIA PARA SANITARIO DE 4", INCLUYE ACCESORIOS</t>
  </si>
  <si>
    <t>SUMINISTRO E INSTALACIÓN DE PUNTO PVC-SANITARIA PARA SIFON DE 3", INCLUYE ACCESORIOS</t>
  </si>
  <si>
    <t>SUMINISTRO E INSTALACIÓN DE PUNTO PVC-SANITARIA PARA LAVAMANOS DE 2", INCLUYE ACCESORIOS</t>
  </si>
  <si>
    <t>SUMINISTRO E INSTALACIÓN DE SANITARIO TIPO INSTITUCIONAL CORONA O SIMILAR</t>
  </si>
  <si>
    <t>SUMINISTRO E INSTALACIÓN DE LAVAMANOS DE COLGAR TIPO INSTITUCIONAL BLANCO; CORONA O SIMILAR</t>
  </si>
  <si>
    <t xml:space="preserve">SUMINISTRO E INSTALACIÓN DE GRIFO ELÉCTRICO CON SENSOR PARA LAVAMANOS </t>
  </si>
  <si>
    <t xml:space="preserve">SUMINISTROS, REPARACIONES Y ADECUACIONES VARIAS </t>
  </si>
  <si>
    <t>ASEO GENERAL</t>
  </si>
  <si>
    <t>OBSERVACIONES DEL CONTRATANTE:</t>
  </si>
  <si>
    <t>TOTAL COSTOS DIRECTOS:</t>
  </si>
  <si>
    <t>EL presente documento será usado por la entidad, única y exclusivamente como referencia, mas no es un condicionante para la escogencia del futuro oferente del proceso contractual a realizarse.</t>
  </si>
  <si>
    <t>ADMINISTRACIÓN:</t>
  </si>
  <si>
    <t>IMPREVISTOS:</t>
  </si>
  <si>
    <t>OBSERVACIONES DEL OFERENTE:</t>
  </si>
  <si>
    <t>UTILIDADES:</t>
  </si>
  <si>
    <t>IVA (sobre utilidad):</t>
  </si>
  <si>
    <t>VALOR OBRAS CIVILES:</t>
  </si>
  <si>
    <t>OTROS</t>
  </si>
  <si>
    <t>SUBTOTAL OTROS</t>
  </si>
  <si>
    <t>VALOR TOTAL DEL PRESUPUESTO</t>
  </si>
  <si>
    <t>FIRMA DEL OFERENTE:</t>
  </si>
  <si>
    <t>FORMATO POR:</t>
  </si>
  <si>
    <t>FABIO ALEJANDRO FLOREZ CASTILLO</t>
  </si>
  <si>
    <t>CARGO:</t>
  </si>
  <si>
    <t>PROF. UNIVERSITARIO</t>
  </si>
  <si>
    <t>ARQUITECTO</t>
  </si>
  <si>
    <t>REP. LEGAL:</t>
  </si>
  <si>
    <t>VERSIÓN: 01</t>
  </si>
  <si>
    <t>REVISIÓN: 01</t>
  </si>
  <si>
    <t>AÑO: 2021</t>
  </si>
  <si>
    <t>CC / NIT:</t>
  </si>
  <si>
    <t>RESPONDER EN:</t>
  </si>
  <si>
    <t>FORMATO EXCEL Y PDF</t>
  </si>
  <si>
    <t>PISO 9</t>
  </si>
  <si>
    <t>JUZGADO 5TO PENAL MUNICIPAL - CARRERA 2DA</t>
  </si>
  <si>
    <t>SUMINISTRO E INSTALACIÓN DE LAVAMANOS TRENTINO O SIMILAR MEDIDAS DE 0,63X0,48 APROXIMADAMENTE BLANCO CON MUEBLE BÁSICO ELEVADO; INCLUYE GRIFERIA.</t>
  </si>
  <si>
    <t>OBRAS PISO 1</t>
  </si>
  <si>
    <t>SUMINISTRO E INSTALACION DE BARANDA EN ACERO INOXIDABLE 304, PARALES EN TUBO REDONDO DE 1,5", PASAMANOS DE 2" Y LINEAS AUXILIARES DE 3/4.</t>
  </si>
  <si>
    <t>SUMINISTRO E INSTALACION DE BARANDA EN ACERO INOXIDABLE 304, PARALES EN TUBO REDONDO DE 1,5" Y VIDRIO TEMPLADO SEGÚN DISEÑO</t>
  </si>
  <si>
    <t xml:space="preserve">SUMINISTRO E INSTALACION DE PAPEL POLARIZADO PARA VENTANAS INTERNAS;  INCLUYE RETIRO DE PAPEL EXISTENTE Y LIMPIEZA </t>
  </si>
  <si>
    <t xml:space="preserve">OBRAS PISO 2 </t>
  </si>
  <si>
    <t>MUROS DIVISORIOS EN DRYWALL 2 CARAS INC FILOS (MEDIDAS DE 0,52*2,41</t>
  </si>
  <si>
    <t>SUMINISTRO E INSTALACIÓN DE DIVISION MODULAR PARA OFICINA EN ALUMINIO Y VIDRIO CRUDO 5MM INCOLORO, PELICULA ESMERILADA, ALUMINIO COLOR NATURAL, INCLUYE PUERTA CON CERRADURA Y TODO LO NECESARIO PARA UNA CORRECTA Y SEGURA EJECUCIÓN DE LA ACTIVIDAD.</t>
  </si>
  <si>
    <t>SUMINISTRO E INSTALACIÓN DE CANALETA PLASTICA DE 100X80MM 2 MTS CON DIVISION ND.</t>
  </si>
  <si>
    <t xml:space="preserve">INSTALACION DE PUERTA EN MADERA; INCLUYE LIMPIEZA E INSTALACION DE CERRADURA </t>
  </si>
  <si>
    <t>SUMINISTRO E INSTALACIÓN DE LUMINARIAS TIPO LED PANEL 60X60 45 W</t>
  </si>
  <si>
    <t>SUBTOTAL OBRAS EN EL PISO 2</t>
  </si>
  <si>
    <t xml:space="preserve">SEDE PRINCIPAL PALACIO DE JUSTICIA MONTERÍA - CÓRDOBA  CALLE 27 CON 2DA </t>
  </si>
  <si>
    <t>SUMINISTRO E INSTALACIÓN DE BALDOSA EN PORCELANATO DE 0,60*0,60, CON TODO LO NECESARIO PARA UNA CORRECTA Y SEGURA EJECUCIÓN DE LA ACTIVIDAD.</t>
  </si>
  <si>
    <t>6.3</t>
  </si>
  <si>
    <t>9.3</t>
  </si>
  <si>
    <t>9.4</t>
  </si>
  <si>
    <t>9.5</t>
  </si>
  <si>
    <t>9.6</t>
  </si>
  <si>
    <t>9.7</t>
  </si>
  <si>
    <t>9.8</t>
  </si>
  <si>
    <t>SUBTOTAL ASEO GENERAL Y LIMPIEZA</t>
  </si>
  <si>
    <t xml:space="preserve">SUBTOTAL DE OBRAS </t>
  </si>
  <si>
    <t>ITEM</t>
  </si>
  <si>
    <t>UNIDAD</t>
  </si>
  <si>
    <t xml:space="preserve">PINTURA VINÍLICA TIPO 1 PARA MUROS INTERIORES TRES MANOS, INCLUYE USO DE ANDAMIOS, ARNÉS, COLUMPIOS Y TODO LO NECESARIO PARA CUMPLIR CON LA SEGURIDAD YAPLICACIÓN CORRECTA DE LA MISMA. </t>
  </si>
  <si>
    <t>PISO 4</t>
  </si>
  <si>
    <t>LINEALES DE PINTURA EN VINILO TIPO 1 PARA MUROS INTERIORES, TRES MANOS, INCLUYE TODO LO NECESARIO PARA CUMPLIR CON LA SEGURIDAD Y APLICACIÓN CORRECTA DE LA MISMA.</t>
  </si>
  <si>
    <t>11.1</t>
  </si>
  <si>
    <t>10.2</t>
  </si>
  <si>
    <t>10.3</t>
  </si>
  <si>
    <t>ESTUCO PLASTICO MUROS INTERIORES  INCLUYE FILOS Y DILATACIONES  TODO LO NECESARIO PARA CUMPLIR CON LA SEGURIDAD Y APLICACIÓN CORRECTA DE LA MISMA.</t>
  </si>
  <si>
    <t>6.4</t>
  </si>
  <si>
    <t>6.5</t>
  </si>
  <si>
    <t>6.6</t>
  </si>
  <si>
    <t>6.7</t>
  </si>
  <si>
    <t>6.8</t>
  </si>
  <si>
    <t>6.9</t>
  </si>
  <si>
    <t>6.10</t>
  </si>
  <si>
    <t>6.11</t>
  </si>
  <si>
    <t xml:space="preserve">PLAN DE GESTION INTEGRAL DE OBRA </t>
  </si>
  <si>
    <t>PAÑETE IMPERMEABILIZADO PARA MUROS 1:4; INCLUYE FILOS, DILATACIONES, USO DE ANDAMIOS, ARNÉS Y TODO LO NECESARIO PARA CUMPLIR CON LA SEGURIDAD Y EJECUCIÓN CORRECTA DE LA MISMA.</t>
  </si>
  <si>
    <t xml:space="preserve">PINTURA PARA CIELO RASO TIPO 3, 2 MANOS. CON TODO LO NECESARIO PARA SU CORRECTA EJECUCION </t>
  </si>
  <si>
    <t xml:space="preserve">M2 </t>
  </si>
  <si>
    <t>DESISTALACIÓN Y RETIRO  DE DIAGONALES EN SUPERBOARD EXISTENTES.  INCLUYE USO DE ANDAMIOS, ARNÉS, COLUMPIOS Y TODO LO NECESARIO PARA CUMPLIR CON LA SEGURIDAD YAPLICACIÓN CORRECTA DE LA MISMA</t>
  </si>
  <si>
    <t>11.2</t>
  </si>
  <si>
    <t>11.3</t>
  </si>
  <si>
    <t>SUMINISTRO E INSTALACION DE MINIWAVE PERFORADO ALUZINC (0,27X0,27).</t>
  </si>
  <si>
    <t>FACHADA F 150 SÓLIDA ALUZINC (DIAGONALES Y GARAGE).</t>
  </si>
  <si>
    <t>FACHADA F 150 SÓLIDA ALUZINC (LOBBY Y ZONA DE ASCENSOR)</t>
  </si>
  <si>
    <t>REMATE DE 161 MM (SUPERIOR Y DIAGONALES).</t>
  </si>
  <si>
    <t>11.4</t>
  </si>
  <si>
    <t>11.5</t>
  </si>
  <si>
    <t>CIELO RASOS EN FACHADA</t>
  </si>
  <si>
    <t>4.5</t>
  </si>
  <si>
    <t>4.6</t>
  </si>
  <si>
    <t>4.7</t>
  </si>
  <si>
    <t>4.8</t>
  </si>
  <si>
    <t>4.9</t>
  </si>
  <si>
    <t>4.10</t>
  </si>
  <si>
    <t>4.11</t>
  </si>
  <si>
    <t>4.12</t>
  </si>
  <si>
    <t xml:space="preserve">SUMINISTRO E INSTALACIÓN DE SEÑALIZACIONES EN ACRÍLICO; INCLUYE LENGUAJE BRAILLE </t>
  </si>
  <si>
    <t>4.13</t>
  </si>
  <si>
    <t xml:space="preserve">RELLENO, NIVELACION Y COMPACTACION DEL TERRENO CON MATERIAL SELECCIONADO, INCLUYE TRASLADO AL SITIO DE LA OBRA </t>
  </si>
  <si>
    <t>M3</t>
  </si>
  <si>
    <t>SUMINISTRO E INSTALACION DE VENTANAS FIJAS EN PERFIL 5020 DE ALUMINIO Y VIDRIO CRUDO 4MM CON PAPEL ESMERILADO, (MEDIDAS DE 1,50 DE ANCHO*0,60 DE ALTO )</t>
  </si>
  <si>
    <t>3.6</t>
  </si>
  <si>
    <t>OBRAS EN EL SÓTANO</t>
  </si>
  <si>
    <t>7.1</t>
  </si>
  <si>
    <t>SUBTOTAL OBRAS EN EL SÓTANO</t>
  </si>
  <si>
    <t xml:space="preserve">DESMONTE DE CIELO RASO EN DRYWALL, INCLUYE RETIRO DE ESCOMBROS DEL SITIO DE LA OBRA. </t>
  </si>
  <si>
    <t>8.1</t>
  </si>
  <si>
    <t>CONSTRUCCIÓN DE RAMPA EN CONCRETO DE 3000 PSI CON ACABADOS LISOS. INCLUYE MANO DE OBRA, REFUERZO Y PINTURA EN ACEITE AZUL. (MEDIDAS DE 1,23*1,0)</t>
  </si>
  <si>
    <t>4.14</t>
  </si>
  <si>
    <t>ENCHAPE PARED EN CERÁMICA BLANCA EN FORMATO 0,45 CM X 0,30CM O SIMILAR; INCLUYE WIN Y ESQUINERO METALICO.</t>
  </si>
  <si>
    <t>8.2</t>
  </si>
  <si>
    <t>8.3</t>
  </si>
  <si>
    <t>INSTALACION DE VENTANA FIJA EN ALUMINIO PARA BAÑO (MEDIDAD DE 0,80 DE ALTO *1,0 DE ANCHO)</t>
  </si>
  <si>
    <t>ADECUACION DE TUBERIAS DE DESAGUES PARA AIRES ACONDICIONADOS  Y RESANES EN MORTERO CON ACABADOS EN ESTUCO Y PINTURA</t>
  </si>
  <si>
    <t>SUMINISTRO E INSTALACION DE DIVISION MODULAR PARA BAÑOS EN ACERO INOXIDABLE; INCLUYE PUERTAS, CERRADURAS Y TODO LO NECESARIO PARA UNA CORRECTA Y SEGURA EJECUCION DE LA MISMA.</t>
  </si>
  <si>
    <t xml:space="preserve">PISO 7 </t>
  </si>
  <si>
    <t>SUBTOTAL OBRAS EN PISO 7</t>
  </si>
  <si>
    <t xml:space="preserve">ADECUACIÓN PARA REJAS EN HIERRO; INCLUYE CORTE Y PINTURA EN ACEITE E INSTALACION SEGÚN DISEÑO </t>
  </si>
  <si>
    <t>13.1</t>
  </si>
  <si>
    <t xml:space="preserve">FACHADA PISO 2 </t>
  </si>
  <si>
    <t xml:space="preserve">ADECUACION DE REJAS PARA PROTECTORES EN LOBBYS DE ESCALERA Y ASCENSOR; INCLUYE CORTE Y ADECUACION DE REJAS CON MEDIDAS DE 1,17*1,54 MTS, PINTURA EN ACEITE E INSTALACION DE LA MISMA CON TODO LO NECESARIO PARA UNA CORRECTA Y SEGURA EJECUCION DE LA ACTIDAD </t>
  </si>
  <si>
    <t>13.2</t>
  </si>
  <si>
    <t>14.1</t>
  </si>
  <si>
    <t>15.1</t>
  </si>
  <si>
    <t>11.6</t>
  </si>
  <si>
    <t>11.7</t>
  </si>
  <si>
    <t>11.8</t>
  </si>
  <si>
    <t>11.9</t>
  </si>
  <si>
    <t>11.10</t>
  </si>
  <si>
    <t>11.11</t>
  </si>
  <si>
    <t>11.12</t>
  </si>
  <si>
    <t>13.3</t>
  </si>
  <si>
    <t>13.4</t>
  </si>
  <si>
    <t>13.5</t>
  </si>
  <si>
    <t>14.2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</si>
  <si>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</si>
  <si>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</si>
  <si>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</si>
  <si>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</si>
  <si>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</si>
  <si>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</si>
  <si>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</si>
  <si>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</si>
  <si>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</si>
  <si>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</si>
  <si>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</si>
  <si>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</si>
  <si>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</si>
  <si>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</si>
  <si>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</si>
  <si>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</si>
  <si>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OFICINAS
ESTRUCTURA EN ALN-1101, 6 CUERPOS FIJOS, 6 HOJAS PROYECTANTES SUPERIORES DE 30CM DE ALTO, 6 MANIJAS DE LUJO CON RECIBIDOR INCORPORADO, BRAZOS EN ACERO, EMPAQUE DE CAUCHO EPDM MARCA EXTRUSIONES, VIDRIO TEMPLADO 6MM INCOLORO, ALUMINIO COLOR NEGRO PINTURA. (LONGITUDES DE 6,08 DE ANCHO*1,56 DE ALTO)</t>
  </si>
  <si>
    <t>OFICINAS
ESTRUCTURA EN ALN-1101, 1 CUERPO FIJO, 1 HOJA PROYECTANTES SUPERIOR DE 30CM DE ALTO, 1 MANIJA DE LUJO CON RECIBIDOR INCORPORADO, BRAZOS EN ACERO, EMPAQUE DE CAUCHO EPDM MARCA EXTRUSIONES, VIDRIO TEMPLADO 6MM INCOLORO, ALUMINIO COLOR NEGRO PINTURA. (LONGITUDES DE 0,77 DE ANCHO*1,56 DE ALTO)</t>
  </si>
  <si>
    <t>OFICINAS 
ESTRUCTURA EN ALN-1101, 5 CUERPOS FIJOS, 5 HOJAS PROYECTANTES SUPERIORES DE 30CM DE ALTO, 5 MANIJAS DE LUJO CON RECIBIDOR INCORPORADO, BRAZOS EN ACERO, EMPAQUE DE CAUCHO EPDM MARCA
EXTRUSIONES, VIDRIO TEMPLADO 6;MM INCOLORO, ALUMINIO COLOR NEGRO PINTURA; (LONGITUDES DE 5,30 DE ANCHO*1,56 DE ALTO)</t>
  </si>
  <si>
    <t>OFICINAS 
ESTRUCTURA EN ALN-1101, 4 CUERPOS FIJOS, 4 HOJAS PROYECTANTES SUPERIORES DE 30CM DE ALTO, 4 MANIJAS DE LUJO CON RECIBIDOR INCORPORADO, BRAZOS EN ACERO, EMPAQUE DE CAUCHO EPDM MARCA
EXTRUSIONES, VIDRIO TEMPLADO 6MM INCOLORO, ALUMINIO COLOR NEGRO PINTURA; (LONGITUDES DE 4,04 DE ANCHO*1,56 DE ALTO)</t>
  </si>
  <si>
    <t>OFICINAS 
ESTRUCTURA EN ALN-1101, 2 CUERPOS FIJOS, 2 HOJAS PROYECTANTES SUPERIORES DE 30CM DE ALTO, 2 MANIJAS DE LUJO CON RECIBIDOR INCORPORADO, BRAZOS EN ACERO, EMPAQUE DE CAUCHO EPDM MARCA EXTRUSIONES, VIDRIO TEMPLADO 6MM INCOLORO, ALUMINIO COLOR NEGRO PINTURA. (LONGITUDES DE 1,41 DE ANCHO*1,56 DE ALTO)</t>
  </si>
  <si>
    <t>OFICINAS
ESTRUCTURA EN ALN-1101, 1 CUERPO FIJO, 1 HOJA PROYECTANTES SUPERIOR DE 30CM DE ALTO, 1 MANIJA DE LUJO CON RECIBIDOR INCORPORADO, BRAZOS EN ACERO, EMPAQUE DE CAUCHO EPDM MARCA EXTRUSIONES, VIDRIO TEMPLADO 6MM INCOLORO, ALUMINIO COLOR NEGRO PINTURA; (LONGITUDES DE 0,68 DE ANCHO*0,79 DE ALTO)</t>
  </si>
  <si>
    <t>OFICINAS 
CUERPO FIJO EN VIDRIO TEMPLADO, 1 CUERPO FIJO, 1 BOQUETE DE 30 X 10 PASA DOCUMENTOS, PERFORACIONES PASA VOZ, EFE SUPERIOR E INFERIOR, ALUMINIO COLOR NATURAL; (LONGITUDES DE 1,32 DE ANCHO* 1,130 DE ALTO)</t>
  </si>
  <si>
    <t>OFICINAS 
CUERPO FIJO EN VIDRIO TEMPLADO, 1 CUERPO FIJO, 1
BOQUETE DE 30 X 10 PASA DOCUMENTOS, PERFORACIONES PASA VOZ, EFE SUPERIOR E INFERIOR, ALUMINIO COLOR NATURAL; (LONGITUDES DE 1,52 DE ANCHO* 1,130 DE ALTO)</t>
  </si>
  <si>
    <t>OFICINAS 
CUERPO FIJO EN VIDRIO TEMPLADO, 1 CUERPO FIJO, 1
BOQUETE DE 30 X 10 PASA DOCUMENTOS, PERFORACIONES PASA VOZ, EFE SUPERIOR E INFERIOR, ALUMINIO COLOR NATURAL. (LONGITUDES DE 1,57 DE ANCHO* 1,130 DE ALTO)</t>
  </si>
  <si>
    <t>CARRERA 2 
ESTRUCTURA EN ALN-1101, 7 CUERPOS FIJOS, 7 HOJAS PROYECTANTES SUPERIORES DE 30CM DE ALTO, 7 MANIJAS DE LUJO CON RECIBIDOR INCORPORADO, BRAZOS EN ACERO, EMPAQUE DE CAUCHO EPDM MARCA EXTRUSIONES, VIDRIO TEMPLADO 6MM INCOLORO, ALUMINIO COLOR NEGRO PINTURA. (LONGITUDES DE 7,36 DE ANCHO* 1,56 DE ALTO)</t>
  </si>
  <si>
    <t>CALLE 27 
ESTRUCTURA EN ALN-1101, 8 CUERPOS FIJOS, 8 HOJAS PROYECTANTES SUPERIORES DE 30CM DE ALTO, 8 MANIJAS DE LUJO CON RECIBIDOR INCORPORADO, BRAZOS EN ACERO, EMPAQUE DE CAUCHO EPDM MARCA
EXTRUSIONES, VIDRIO TEMPLADO 6MM INCOLORO, ALUMINIO COLOR NEGRO PINTURA. (LONGITUDES DE 8,1 DE ANCHO* 1,56 DE ALTO)</t>
  </si>
  <si>
    <t>CALLE 27 
ESTRUCTURA EN ALN-1101, 7 CUERPOS FIJOS, 7 HOJAS
PROYECTANTES SUPERIORES DE 30CM DE ALTO, 7 MANIJAS DE LUJO CON RECIBIDOR INCORPORADO, BRAZOS EN ACERO, EMPAQUE DE CAUCHO EPDM MARCA EXTRUSIONES, VIDRIO TEMPLADO 6MM INCOLORO, ALUMINIO COLOR NEGRO PINTURA. (LONGITUDES DE 6,95 DE ANCHO* 1,56 DE ALTO)</t>
  </si>
  <si>
    <t xml:space="preserve"> ZONA CONDENSADORAS AIRES ACONDICIONADOS.
ESTRUCTURA EN ALN-1101, 6 CUERPOS FIJOS, 6 HOJAS
PROYECTANTES SUPERIORES DE 30CM DE ALTO, 6 MANIJAS DE LUJO CON RECIBIDOR INCORPORADO, BRAZOS EN ACERO, EMPAQUE DE CAUCHO EPDM MARCA EXTRUSIONES, VIDRIO TEMPLADO 6MM INCOLORO, ALUMINIO COLOR NEGRO PINTURA. (LONGITUDES DE 5,73 DE ANCHO* 1,56 DE ALTO)</t>
  </si>
  <si>
    <t>ZONA CONDENSADORAS AIRES ACONDICIONADOS.
ESTRUCTURA EN ALN-1101, 1 CUERPO FIJO, 1 HOJA
PROYECTANTES SUPERIOR DE 30CM DE ALTO, 1 MANIJA DE LUJO CON RECIBIDOR INCORPORADO, BRAZOS EN ACERO, EMPAQUE DE CAUCHO EPDM MARCA EXTRUSIONES, VIDRIO TEMPLADO 6MM INCOLORO, ALUMINIO COLOR NEGRO PINTURA. (LONGITUDES DE 0,72 DE ANCHO* 1,56 DE ALTO)</t>
  </si>
  <si>
    <t>ZONA CONDENSADORAS AIRES ACONDICIONADOS.
ESTRUCTURA EN ALN-1101, 2 CUERPOS FIJOS, 2 HOJAS PROYECTANTES SUPERIORES DE 30CM DE ALTO, 2 MANIJASDE LUJO CON RECIBIDOR INCORPORADO, BRAZOS EN ACERO, EMPAQUE DE CAUCHO EPDM MARCA
EXTRUSIONES, VIDRIO TEMPLADO 6MM INCOLORO, ALUMINIO COLOR NEGRO PINTURA. (LONGITUDES DE 1,60 DE ANCHO* 1,56 DE ALTO)</t>
  </si>
  <si>
    <t>ZONA CONDENSADORAS AIRES ACONDICIONADOS.
PUERTA CORREDIZA 7038, 2 HOJAS CORREDIZAS, 2
CERRADURAS OVERSEA PICO LORO, MANIJAS HALADERAS EN ALUMINIO, EMPAQUE DE CAUCHO EPDM MARCA EXTRUSIONES, ALUMINIO COLOR NEGRO PINTURA, VIDRIO TEMPLADO 6MM INCOLORO; (LONGITUDES DE 1,38 DE ANCHO* 2,36 DE ALTO)</t>
  </si>
  <si>
    <t xml:space="preserve">PISO 6 </t>
  </si>
  <si>
    <t>SUBTOTAL OBRAS EN PISO 6</t>
  </si>
  <si>
    <t>SUBTOTAL OBRAS EN EL PISO 4</t>
  </si>
  <si>
    <t>BATERIAS SANITARIAS PUBLICAS</t>
  </si>
  <si>
    <t xml:space="preserve">SUMINISTRO E INSTALACIÓN DE SALIDA PARA PUNTOS DE VOZ Y DATOS, INCLUYE, CABLE UTP CAT 6A F/UTP APANTALLADO (FOIL DE ALUMINIO), JACK CERTIFICADO CAT 6A PARA VOZ Y DATOS, FACE PLATE SENCILLOS Y DOBLES, PATCH CORDS CAT 6A DE (1.80 - 2 MT) COLOR AZUL Y PONCHADO DE JACK EN PUESTOS DE TRABAJO (SALIDA DE 10 A 20 M A CAJA). </t>
  </si>
  <si>
    <t>CERTIFICACIÓN PUNTOS DE VOZ Y DATOS CAT 6A (ATENUACIÓN, IMPEDANCIA, CONTINUIDAD, LONGITUD) INCLUYE ENTREGA DE INFORME PUNTO A PUNTO E INFORME GENERAL</t>
  </si>
  <si>
    <t xml:space="preserve">INSTALACION DE PUERTA EN MADERA; INCLUYE LIMPIEZA E INSTALACION DE CERRADURA. </t>
  </si>
  <si>
    <t xml:space="preserve">SUMINISTRO E INSTALACION DE DE PUERTA EN ALUMINIO DE 3*1 CON VIDRIO GRUDO Y PAPEL ESMERILADO, MODELO CON DIVISION A LA ALTURA DE CERRADURA,; INCLUYE CERRADURA Y TOPES PARA PUERTAS. (MEDIDAS DE 0,90 DE ANCHO * 2,0 DE ALTO).  </t>
  </si>
  <si>
    <t>MUROS DIVISORIOS EN DRYWALL 2 CARAS INC FILOS (MEDIDAS DE 2,70 ALTO*0,76 DE ANCHO Y 2,70 ALTO*0,66 DE ANCHO APROXIMADAMENTE)</t>
  </si>
  <si>
    <t>SUMINISTRO E INSTALACIÓN DE VENTANA CORREDIZA DE 2,0MTS X 2,0MTS; SERIE 50, 2 HOJAS CORREDIZAS, SEGURO DE IMPACTO LATERAL, VIDRIO CRUDO 5MM INCOLORO, FELPA, EMPAQUES, ALUMINIO COLOR NATURAL; INCLUYE CORTE Y ADECUACION DE MURO PARA INSTALACION DE VENTANA;  CON TODO LO NECESARIO PARA UNA CORRECTA Y SEGURA EJECUCIÓN DE LA ACTIVIDAD</t>
  </si>
  <si>
    <t xml:space="preserve">PROTECTOR DE 1,50 DE ANCHO*0,60 DE ALTO; EN ÁNGULO DE 1,5"X1,5" DE HIERRO, TUBOS REDONDOS DE 1/2", CON PLATINAS DE 1 Y 1/4 PERFORADA, ACABADO COLOR GRIS PARA FACHADA DE BAÑOS; CON TODO LO NECESARIO PARA UNA CORRECTA Y SEGURA EJECUCIÓN DE LA ACTIVIDAD </t>
  </si>
  <si>
    <t>SUMINISTRO E INSTALACIÓN DE KIT DE BARRA DE SEGURIDAD EN ACERO INOXIDABLE PARA BAÑOS DE MOVILIDAD REDUCIDA (12" Y 36")</t>
  </si>
  <si>
    <t xml:space="preserve">FABRICACION DE PUERTA PARA ACCESO PRINCIPAL DE CARCELETA EN HIERRO Y LAMINAS; MEDIDAS DE ,70*2,0 APROXIMADAMENTE, INCLUYE INSTALACION Y TODO LO NECESARIO PARA LA CORRECTA EJECUCION DE LA ACTIVIDAD  </t>
  </si>
  <si>
    <t>SUMINISTRO E INSTALACION DE DE VENTANA FIJA CON MONTAJE PROYECTANTE EN VIDRIO CRUDO Y ALUMINIO (MEDIDAS DE 1,67 DE ANCHO*1,44 DE ALTO)</t>
  </si>
  <si>
    <t xml:space="preserve">ZONAS COMUNES, OFICINAS Y FACHADAS </t>
  </si>
  <si>
    <t xml:space="preserve">SUBTOTAL OBRAS EN ZONAS COMUNES, OFICINAS Y FACHADAS  </t>
  </si>
  <si>
    <t xml:space="preserve">MANTENIMIENTO E INSTALACION DE AIRE ACONDICIONADO, INCLUYE TUBERIA DE DESAGUE CON TODO LO NECESARIO PARA UNA CORRECTA Y SEGURA EJECUCION DE LA ACTIVIDAD. </t>
  </si>
  <si>
    <t>REPARACIONES DE CIELO RASO EN DRYWALL, INCLUYE CORTE, INSTLACION, PINTURA Y TODO LO NECESARIO PARA SU CORRECTA EJECUCION</t>
  </si>
  <si>
    <t>4.15</t>
  </si>
  <si>
    <t>SUMINISTRO E INSTALACIÓN DE LAVAMANOS DE SOBREPONER EN PORCELANA BLANCO</t>
  </si>
  <si>
    <t>11.13</t>
  </si>
  <si>
    <t>11.14</t>
  </si>
  <si>
    <t>11.15</t>
  </si>
  <si>
    <t>11.16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</si>
  <si>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</si>
  <si>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</si>
  <si>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</si>
  <si>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</si>
  <si>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</si>
  <si>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</si>
  <si>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</si>
  <si>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</si>
  <si>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</si>
  <si>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14.3</t>
  </si>
  <si>
    <t>14.4</t>
  </si>
  <si>
    <t>15.2</t>
  </si>
  <si>
    <t>15.3</t>
  </si>
  <si>
    <t>15.4</t>
  </si>
  <si>
    <t>15.5</t>
  </si>
  <si>
    <t>16.1</t>
  </si>
  <si>
    <t>16.2</t>
  </si>
  <si>
    <t>17.1</t>
  </si>
  <si>
    <t>4.16</t>
  </si>
  <si>
    <t>SUMINISTRO E INSTALACIÓN DE ZÓCALO EN PORCELANATO, CON TODO LO NECESARIO PARA UNA CORRECTA Y SEGURA EJECUCIÓN DE LA ACTIVIDAD.</t>
  </si>
  <si>
    <t>16.3</t>
  </si>
  <si>
    <t>18.1</t>
  </si>
  <si>
    <t xml:space="preserve">SUMINISTRO E INSTALACION DE BAJANTE PARA AGUAS LLUVAS EN CADENAS PLASTICAS CON REMATE DE CONTRA PESO INFERIOR; INCLUYE INSTALACION EN TUBERIA EXISTENTE DE 4" Y TODO LO NECESARIO PARA SU CORRECTA Y SEGURA EJECUCION. </t>
  </si>
  <si>
    <t>SUMINISTRO E INSTALACIÓN DE MESÓN EN GRANITO, PARA BAÑO. ANCHO 0,60 M, INCLUYE BORDILLO.</t>
  </si>
  <si>
    <t>CONSTRUCCIÓN DE MESON EN CONCRETO DE 3000PSI; INCLUYE MANO DE OBRA, REFUERZO (MEDIDAS DE 2,82ML)</t>
  </si>
  <si>
    <t>ADECUACION EN ESTUCO PARA MUROS INTERIORES INCLUYE FILOS Y DILATACIONES (8 M2 APROXIMADAMENTE)</t>
  </si>
  <si>
    <t>LEVANTE DE MURO DIVISORIO BLOQUE  DE 10X20X40 Y PAÑETE IMPERMEABILIZADO PARA MUROS A UNA SOLA CARA, INCLUYE USO DE ANDAMIOS, ARNÉS Y TODO LO NECESARIO PARA CUMPLIR CON LA SEGURIDAD Y EJECUCIÓN CORRECTA DE LA MISMA. (MEDIDAS DE 1,0ANCHO*2,6 ALT)</t>
  </si>
  <si>
    <t xml:space="preserve">CENEFAS EN MORTERO CON ACABADOS EN GRANITO PULIDO CON TODO LO NECESARIO PARA UNA CORRECTA EJECION DE LA ACTIVIDAD </t>
  </si>
  <si>
    <t>REUBICACION DE BARRA DE ATENCION EN RECEPCION, INCLUYE DEMOLICION DE MURO EN BLOQUE A 1.0M, RETIRO DE ESCOMBROS DEL SITIO DE LA OBRA, LEVANTE DE MURO DIVISORIO EN SUPER BOARD CALIBRE 10MM, DESMONTE, INSTALACION Y ADECUACION DE VENTANA FIJA PASA PAPEL, DESMONTE E INSTALACION DE MESON EN GRANITO Y TODO LO NECESARIO PARA CUMPLIR CON LA CORRECTA Y SEGURA EJECUCION DE LA ACTIVIDAD. AREA DE 1,40 DE ANCHO*2,70 DE ALTO APROXIMADAMENTE.</t>
  </si>
  <si>
    <t>IMPERMEABILIZACIÓN DE VENTANAS CON SILICONA POR DENTRO Y POR FUERA, PARA EVITAR ENTRADA DE AGUA, CON TODO LO NECESARIO PARA CUMPLIR CON LA SEGURIDAD Y APLICACIÓN CORRECTA DE LA MISMA</t>
  </si>
  <si>
    <t>SUMINISTRO E INSTALACION DE VENTANAS FIJAS EN PERFIL 5020 DE ALUMINIO Y VIDRIO CRUDO 4MM CON PAPEL ESMERILADO, (MEDIDAS DE 0,97 DE LARGO *0,29 DE ALTO Y 0,99 DE LARGO* 0,29 DE ALTO.)</t>
  </si>
  <si>
    <t>CÓDIGO DEL DOCUMENTO:</t>
  </si>
  <si>
    <t>NOMBRE DEL DOCUMENTO</t>
  </si>
  <si>
    <t>ANÁLISIS DE PRECIOS UNITARIOS</t>
  </si>
  <si>
    <t>OFERENTE O CONTRATISTA:</t>
  </si>
  <si>
    <t>CÉDULA / NIT:</t>
  </si>
  <si>
    <t>PROCESO</t>
  </si>
  <si>
    <t>CONTRATO</t>
  </si>
  <si>
    <t>TIPO DE CONTRATO</t>
  </si>
  <si>
    <t>DEPARTAMENTO</t>
  </si>
  <si>
    <t>LUGAR DE EJECUCIÓN DEL CONTRATO</t>
  </si>
  <si>
    <t>FECHA</t>
  </si>
  <si>
    <t>OBRA CIVIL</t>
  </si>
  <si>
    <t>CÓRDOBA</t>
  </si>
  <si>
    <t xml:space="preserve">OBJETO :  </t>
  </si>
  <si>
    <t>DESCRIPCIÓN DEL ÍTEM</t>
  </si>
  <si>
    <t>I. HERRAMIENTAS Y/O EQUIPOS</t>
  </si>
  <si>
    <t>DESCRIPCIÓN</t>
  </si>
  <si>
    <t>TIPO</t>
  </si>
  <si>
    <t>T-HORA</t>
  </si>
  <si>
    <t>REND.</t>
  </si>
  <si>
    <t>V-UNIT.</t>
  </si>
  <si>
    <t xml:space="preserve">HERRAMIENTA MENOR </t>
  </si>
  <si>
    <t>%</t>
  </si>
  <si>
    <t>DIA</t>
  </si>
  <si>
    <t>SUB-TOTAL</t>
  </si>
  <si>
    <t>II. MATERIALES</t>
  </si>
  <si>
    <t>UN.</t>
  </si>
  <si>
    <t>P-UNIT.</t>
  </si>
  <si>
    <t>CANT.</t>
  </si>
  <si>
    <t>III. TRANSPORTES</t>
  </si>
  <si>
    <t>MATERIAL</t>
  </si>
  <si>
    <t>V-P ó CANT.</t>
  </si>
  <si>
    <t>DIST.</t>
  </si>
  <si>
    <t>TARIFA</t>
  </si>
  <si>
    <t>IV. MANO DE OBRA</t>
  </si>
  <si>
    <t>PERSONAL</t>
  </si>
  <si>
    <t>JORNAL</t>
  </si>
  <si>
    <t>PRES. (80%)</t>
  </si>
  <si>
    <t>J-TOTAL</t>
  </si>
  <si>
    <t xml:space="preserve">AYUDANTE </t>
  </si>
  <si>
    <t>TOTAL COSTOS UNITARIOS</t>
  </si>
  <si>
    <t>FIRMA DEL REPRESENTANTE LEGAL DEL OFERENTE O CONTRATISTA:</t>
  </si>
  <si>
    <t>CONTROL DE VERSIONES</t>
  </si>
  <si>
    <t>NOTA: EL PRESENTE FORMATO ES DE USO EXCLUSIVO DE LA DESAJ - MONTERÍA. ESTÁ PROHIBIDA SU REPRODUCCIÓN O ALTERACIÓN SIN LA DEBIDA AUTORIZACIÓN DE LA ENTIDAD CONTRATANTE.</t>
  </si>
  <si>
    <t>REVISADO POR:</t>
  </si>
  <si>
    <t xml:space="preserve">PALACIO DE JUSTICIA SEDE MONTERÍA </t>
  </si>
  <si>
    <t xml:space="preserve">DESMONTE DE PUERTAS, VENTANAS, MARCOS Y PROTECTORES EXISTENTES INCLUYE TRANSPORTE A SITIO DE DISPOCISION FINAL. </t>
  </si>
  <si>
    <t xml:space="preserve">DESMONTE DE AIRES ACONDICIONADOS INCLUYE TRANSPORTE A SITIO DE DISPOCISION FINAL. </t>
  </si>
  <si>
    <t xml:space="preserve">DESMONTE DE APARATOS SANITARIOS  INCLUYE TRANSPORTE A SITIO DE DISPOCISION FINAL. </t>
  </si>
  <si>
    <t>DESMONTE DE APARATOS SANITARIOS INCLUYE TRANSPORTE A SITIO DE DISPOCISION FINAL.</t>
  </si>
  <si>
    <t xml:space="preserve">DEMOLICIÓN MUROS 0.15 INCLUYE RETIRO DE ESCOMBROS DEL SITIO DE LA OBRA, INCLUYE TRANSPORTE A SITIO DE DISPOCISION FINAL. </t>
  </si>
  <si>
    <t xml:space="preserve">DEMOLICIÓN DE PLANTILLA O PISO EXISTENTE; INCLUYE RETIRO DE MATERIAL SOBRANTE DE LA OBRA, </t>
  </si>
  <si>
    <t>DESMONTE DE REJAS EXISTENTES EN HIERRO INCLUYE TRANSPORTE A SITIO DE DISPOCISION FINAL.</t>
  </si>
  <si>
    <t>DESMONTE DE PUERTAS, VENTANAS, MARCOS Y PROTECTORES EXISTENTES INCLUYE TRANSPORTE A SITIO DE DISPOCISION FINAL.</t>
  </si>
  <si>
    <t>DESMONTE DE BANCAS EN TABLON DE GRANITO PULIDO, INCLUYE TRANSPORTE A SITIO DE DISPOCISION FINAL.</t>
  </si>
  <si>
    <t xml:space="preserve">SUMINISTRO, TRANSPORTE E INSTALACIÓN DE MATERIALES PARA SALIDA ELÉCTRICA DE ALUMBRADO, SWITCHE, TOMA Y TOMA REGULADO COLOR NARANJA Y AIRE ACONDICIONADO 220. INCLUYE CABLE # 12, TAPA, CAJAS, CON TAPA PARA TOMA, DUCTO EMT, ADAPTADORES TERMINAL, CURVAS, PEGA PVC, CONECTORES DE CONEXIÓN Y EMPALME, TORNILLOS, OBRA CIVIL Y DEMÁS ACCESORIOS Y ELEMENTOS NECESARIOS PARA SU CORRECTA INSTALACIÓN Y FUNCIONAMIENTO. (SALIDA DE 10 A 20 M A CAJA). </t>
  </si>
  <si>
    <t>7.18</t>
  </si>
  <si>
    <t xml:space="preserve">SUMINISTRO, TRANSPORTE E INSTALACIÓN DE MATERIALES PARA SALIDA ELÉCTRICA DE ALUMBRADO, SWITCHE, TOMA Y TOMA REGULADO COLOR NARANJA Y AIRE ACONDICIONADO 220. INCLUYE CABLE # 12 , TAPA, CAJAS, CON TAPA PARA TOMA, DUCTO EMT, ADAPTADORES TERMINAL, CURVAS, PEGA PVC, CONECTORES DE CONEXIÓN Y EMPALME, TORNILLOS, OBRA CIVIL Y DEMÁS ACCESORIOS Y ELEMENTOS NECESARIOS PARA SU CORRECTA INSTALACIÓN Y FUNCIONAMIENTO. (SALIDA DE 10 A 20 M A CAJA). </t>
  </si>
  <si>
    <t xml:space="preserve">DEMOLICIÓN MUROS 0.15 INCLUYE RETIRO DE ESCOMBROS DEL SITIO DE LA OBRA INCLUYE TRANSPORTE A SITIO DE DISPOCISION FINAL. </t>
  </si>
  <si>
    <t xml:space="preserve">DESMONTE DE MESON EN GRANITO PULIDO LONGITUD DE 2,50 MTS APROXIMADAMENTE. INCLUYE TRANSPORTE A SITIO DE DISPOCISION FINAL. </t>
  </si>
  <si>
    <t xml:space="preserve">CORTE Y ADECUACION DE MURO EN DRYWALL PARA INSTALACION DE PUERTA ENTAMBORADA; INCLUYE INSTALACION DE CERRADURA Y PUERTA. </t>
  </si>
  <si>
    <t xml:space="preserve">ANDAMIOS, ARENES, LINEAS DE VIDA, ESCALERA METALICA </t>
  </si>
  <si>
    <t>MAESTRO DE OBRA</t>
  </si>
  <si>
    <t>OFICIAL</t>
  </si>
  <si>
    <t>DESMONTE DE VENTANERIA EN VIDRIO Y ALUMINIO, ESTRUCTURAS EXISTENTES EN OBRA.</t>
  </si>
  <si>
    <t>KG</t>
  </si>
  <si>
    <t>MORTERO 1:4</t>
  </si>
  <si>
    <t>RELLENO EN MORTERO Y ADECUACIÓN PARA PISO EN BALDOSA, (CANTIDAD DE CAJAS 9 UNIDADES )</t>
  </si>
  <si>
    <t xml:space="preserve">CEMENTO BLANCO </t>
  </si>
  <si>
    <t>DESMONTE DE VENTANA FIJA EN FACHADA; INCLUYE USO DE ANDAMIOS COLGANTE, ARNES PARA CUMPLIR CON LA CORRECTA Y SEGURA EJECUCION DE LA ACTIVIDAD, MEDIDAS DE (1,67 DE ANCHO*1,44 DE ALTO)</t>
  </si>
  <si>
    <t>DESMONTE DE OFICINA INTERNA EN VIDRIO TEMPLADO Y ALUMINIO, INCLUYE TRANSLADO A SITIO DE REISNTALACION PISO 9.</t>
  </si>
  <si>
    <t>INSTALACIÓN DE DIVISION MODULAR RETIRADA EN EL PISO 6, PARA OFICINA EN ALUMINIO Y VIDRIO TEMPLADO,, INCLUYE ADECUACION DE MODULOS EN SITIO A INSTALAR, INSTALACION DE PUERTA EN VIDRIO TEMPLADO, INCLUYE CORTE Y ADECUACION EN CASO DE SER NECESARIO Y TODO LO NECESARIO PARA UNA CORRECTA Y SEGURA EJECUCIÓN DE LA ACTIVIDAD.</t>
  </si>
  <si>
    <t>GLB</t>
  </si>
  <si>
    <t>OFICINAS 
ESTRUCTURA EN ALN-1101, 2 CUERPOS FIJOS, 2 HOJAS PROYECTANTES SUPERIORES DE 30CM DE ALTO, 2 MANIJASDE LUJO CON RECIBIDOR INCORPORADO, BRAZOS EN ACERO, EMPAQUE DE CAUCHO EPDM MARCA EXTRUSIONES, VIDRIO TEMPLADO 6MM INCOLORO, ALUMINIO COLOR NEGRO PINTURA; (LONGITUDES DE 1,43 DE ANCHO*1,56 DE ALTO)</t>
  </si>
  <si>
    <t xml:space="preserve">ESTUCO PLÁSTICO  INTERIOR 
</t>
  </si>
  <si>
    <t>GALON</t>
  </si>
  <si>
    <t>VINILO PARA CIELO RASO</t>
  </si>
  <si>
    <t>CINTA MALLA</t>
  </si>
  <si>
    <t>LIJA 150</t>
  </si>
  <si>
    <t>PLASTICO NEGRO</t>
  </si>
  <si>
    <t>OFICIAL VENTANERIA</t>
  </si>
  <si>
    <t>TUBE EMT</t>
  </si>
  <si>
    <t xml:space="preserve">ACCESORIOS </t>
  </si>
  <si>
    <t>CABLE</t>
  </si>
  <si>
    <t>DESPERDICIO</t>
  </si>
  <si>
    <t>MORTERO DE PEGA</t>
  </si>
  <si>
    <t>PANEL LED 60*60</t>
  </si>
  <si>
    <t>SOPORTE  PARA LAMPARA EN ALUMINIO</t>
  </si>
  <si>
    <t>SUMINISTRO E INSTALACIÓN DE SALIDA PARA PUNTOS DE VOZ Y DATOS, INCLUYE, CABLE UTP CAT 6A F/UTP APANTALLADO (FOIL DE ALUMINIO), JACK CERTIFICADO CAT 6A PARA VOZ Y DATOS, FACE PLATE SENCILLOS Y DOBLES, PATCH CORDS CAT 6A DE (1.80 - 2 MT) COLOR AZUL Y PONCHADO DE JACK EN PUESTOS DE TRABAJO (SALIDA DE 10 A 20 M A CAJA).</t>
  </si>
  <si>
    <t>CABLE UTP CAT 6A F/UTP APANTALLADO FOIL DE ALUMINIO</t>
  </si>
  <si>
    <t>JACK CERTIFICADO CAT 6A PARA PUNTOS DE VOZ Y DATOS</t>
  </si>
  <si>
    <t>FACE PLATES DOBLE</t>
  </si>
  <si>
    <t>FACE PLATES SENCILLO</t>
  </si>
  <si>
    <t>PATCH CORD CAT 6A DE (2MT) PARA PUESTO DE TRABAJO COLOR AZUL</t>
  </si>
  <si>
    <t>PATCH CORD CAT 6A DE (1MT) PARA PUESTO DE TRABAJO COLOR ROJO</t>
  </si>
  <si>
    <t>M</t>
  </si>
  <si>
    <t>OFICIAL SOLDADOR</t>
  </si>
  <si>
    <t>EQUIPO DE SOLDADURA</t>
  </si>
  <si>
    <t>SOLDADURA</t>
  </si>
  <si>
    <t>GRANITO #2</t>
  </si>
  <si>
    <t xml:space="preserve">COPA PARA DEBASTAR </t>
  </si>
  <si>
    <t>GRANITO #3</t>
  </si>
  <si>
    <t xml:space="preserve">PAPEL POLARIZADO </t>
  </si>
  <si>
    <t>SHAMPOO</t>
  </si>
  <si>
    <t xml:space="preserve">ASEO GENERAL Y LIMPIEZA EN LAS ÁREAS A INTERVENIR, INCLUYE SEPARACIÓN Y RETIRO DE DESECHOS APROVECHABLES Y NO APROVECHABLES. </t>
  </si>
  <si>
    <t>ADECUACION DE TUBERIAS DE DESAGUES PARA AIRES ACONDICIONADOS  Y RESANES EN MORTERO CON ACABADOS EN ESTUCO Y PINTURA.</t>
  </si>
  <si>
    <t>MANTENIMIENTO E INSTALACIÓN DE AIRES ACONDICIONADOS INCLUYE LA ADECUACION DE TOMACORRIENTE  220V CON PT  CERTIFICADO  PARA AIRE ACONDICIONADO (INCUYE DUCTERIA  PVC SCH 80 Y EMT  1/2" EN CONDUCTOR  DE COBRE 12 AISLADO  PVC CERTIFICADO Y ACCESORIOS).</t>
  </si>
  <si>
    <t xml:space="preserve">ACTIVIDADES PRELIMINARES EN BATERIAS SANITARIAS PUBLICAS </t>
  </si>
  <si>
    <t xml:space="preserve">SUMINISTROS, REPARACIONES Y ADECUACIONES EN BATERIAS SANITARIAS PUBLICAS </t>
  </si>
  <si>
    <t xml:space="preserve">INTERVENCIÓN ELÉCTRICA (SALIDAS ELECTRICAS) Y TUBERIA DE AIRE ACONDICIONADOS EN BATERIAS SANITARIAS PUBLICAS. </t>
  </si>
  <si>
    <t xml:space="preserve">INSTALACIONES HIDRAULICAS Y SANITARIAS, APARATOS SANITARIOS Y ACCESORIOS EN BATERIAS SANITARIAS PUBLICAS. </t>
  </si>
  <si>
    <t>CARPINTERÍA METALICA Y VIDRIO TEMPLADO EN FACHADA PISO 2</t>
  </si>
  <si>
    <t>ACTIVIDADES PRELIMINARES EN EL SÓTANO - REUNBICACIÓN DE CARCELETA</t>
  </si>
  <si>
    <t>SUMINISTROS, REPARACIONES Y ADECUACIONES EN EL SÓTANO - REUNBICACIÓN DE CARCELETA</t>
  </si>
  <si>
    <t>SUMINISTROS, REPARACIONES Y ADECUACIONES EN EL PISO 4</t>
  </si>
  <si>
    <t>SUMINISTROS, REPARACIONES Y ADECUACIONES EN EL PISO 6</t>
  </si>
  <si>
    <t>SUMINISTROS, REPARACIONES Y ADECUACIONES EN EL PISO 7</t>
  </si>
  <si>
    <t>SUMINISTROS, REPARACIONES Y ADECUACIONES EN EL PISO 9</t>
  </si>
  <si>
    <t>ACABADOS EN ESTUCOS Y PINTURA EN PISOS DEL EDIFICIO ZONAS COMUNES, OFICINAS</t>
  </si>
  <si>
    <t>SUMINISTROS, ADECUACIONES EN ZONAS COMUNES Y FACHADA</t>
  </si>
  <si>
    <t>ADECUACIONES, MANTENIMIENTOS Y REMODELACIONES DE INFRAESTUCTURA  EN EL PALACIO DE JUSTICIA DE MONTERÍA</t>
  </si>
  <si>
    <t>REMATE DE 161 MM (INFERIOR Y ESQUINERO).</t>
  </si>
  <si>
    <t>AUI</t>
  </si>
  <si>
    <t>IMPUESTO</t>
  </si>
  <si>
    <t xml:space="preserve">COSTO </t>
  </si>
  <si>
    <t>UTILIDAD</t>
  </si>
  <si>
    <t>GASTO</t>
  </si>
  <si>
    <t>REMATE TIPO CORTA GOTERO (CELOSIA)</t>
  </si>
  <si>
    <t>T PRINCIPAL.</t>
  </si>
  <si>
    <t>CARPINTERÍA METALICA Y VIDRIO TEMPLADO EN FACHADA PISO 3</t>
  </si>
  <si>
    <t xml:space="preserve">SUMINISTRO E INSTALACION DE TUBO RECTANGULAR CALIBRE 16 (3X1 1/2"). INCLUYE PINTURA ANTICORROSIVA Y TODO LO NECESARIO PARA UNA CORRECTA Y SEGURA EJECUCION DE LA ACTIVIDAD. </t>
  </si>
  <si>
    <t>PAÑETE PARA VANOS DE VENTANAS, MORTERO 1:4; INCLUYE TODO LO NECESARIO PARA CUMPLIR CON LA SEGURIDAD Y EJECUCIÓN CORRECTA DE LA MISMA.</t>
  </si>
  <si>
    <t>ESTUCO PARA VANOS DE VENTANAS; INCLUYE TODO LO NECESARIO PARA CUMPLIR CON LA SEGURIDAD Y EJECUCIÓN CORRECTA DE LA MISMA.</t>
  </si>
  <si>
    <t>SUMINISTRO E INSTALACION DE PAPEL POLARIZADO PARA VENTANAS INTERNAS.</t>
  </si>
  <si>
    <t>IMPERMEABILIZACIÓN DE VENTANAS CON SILICONA, PARA EVITAR ENTRADA DE AGUA, CON TODO LO NECESARIO PARA CUMPLIR CON LA SEGURIDAD Y APLICACIÓN CORRECTA DE LA MISMA</t>
  </si>
  <si>
    <t>SUMINISTRO Y APLICACIÓN DE IMPERMEABILIZANTE EN ALFAJIAS DE CONCRETO.</t>
  </si>
  <si>
    <t>CARPINTERÍA METALICA Y VIDRIO TEMPLADO EN FACHADA PISO 6</t>
  </si>
  <si>
    <t>SUBTOTAL OBRAS EN EL PISO 6</t>
  </si>
  <si>
    <t>SUBTOTAL OBRAS EN EL PISO 3</t>
  </si>
  <si>
    <t>CARPINTERÍA METALICA Y VIDRIO TEMPLADO EN FACHADA PISO 7</t>
  </si>
  <si>
    <t>SUBTOTAL OBRAS EN EL PISO 7</t>
  </si>
  <si>
    <t>CARPINTERÍA METALICA Y VIDRIO TEMPLADO EN FACHADA PISO 8</t>
  </si>
  <si>
    <t>SUBTOTAL OBRAS EN EL PISO 8</t>
  </si>
  <si>
    <t>SUBTOTAL OBRAS EN EL PISO 9</t>
  </si>
  <si>
    <t>CARPINTERÍA METALICA Y VIDRIO TEMPLADO EN FACHADA PISO 9</t>
  </si>
  <si>
    <t>CARPINTERÍA METALICA Y VIDRIO TEMPLADO EN FACHADA PISO 10</t>
  </si>
  <si>
    <t>SUBTOTAL OBRAS EN EL PISO 10</t>
  </si>
  <si>
    <t>CARPINTERÍA METALICA Y VIDRIO TEMPLADO EN FACHADA PISO 11</t>
  </si>
  <si>
    <t>SUBTOTAL OBRAS EN EL PISO 11</t>
  </si>
  <si>
    <t>CARPINTERÍA METALICA Y VIDRIO TEMPLADO EN FACHADA PISO 12</t>
  </si>
  <si>
    <t>SUBTOTAL OBRAS EN EL PISO 12</t>
  </si>
  <si>
    <t xml:space="preserve">MUEBLE CASETA DE VIGILANCIA E "L" DE 2,70 X 1,50 X 0,75 X 0,60 ELABORADO EN AGLOMERADO HR COLOR AMARETTO O SIMILAR, INCLUYE HERRAJE NECESARIO. </t>
  </si>
  <si>
    <t xml:space="preserve">LOOCKER DE 1,50 X 2,0 X 0,30 SEGÚN DISEÑO EN AGLOMERADA HR DE 15MM COLOR BLANCO EN LA PARTE INTERNA, PARTE EXTERNA AMARETTO O SIMILAR Y PUERTAS EN AZUL, AMARILLO Y BLANCO.INCLUYE HERRAJE NECESARIO. </t>
  </si>
  <si>
    <t>FONDO PARA TV SEGÚN DISEÑO DE 2,80 X 1,20 .</t>
  </si>
  <si>
    <t>ENCHAPE COLUMNAS  A LA ENTRADA DEL LOBBY DE 5,30 X 1,60 X 0,60 EN AGLOMERADO HR 15 MM COLOR AMARETTO. NCLUYE ANDAMIOS Y ELEMENTOS NECESARIOS PARA SU INSTALACION.</t>
  </si>
  <si>
    <t>TABALERO DE MADERA Y RECUBIERTO EN CORCHO PARA CARTEL DE INFORMACION 1,20 X 1,20</t>
  </si>
  <si>
    <t xml:space="preserve">ML </t>
  </si>
  <si>
    <t xml:space="preserve">PINTURA PARA BASE EN MADERA DE PASAMANOS DE ESCALERA Y PASILLOS 128 ML. INCLUYE PREPARACION DE LA SUPERFICIE EXISTENTE Y TODO LO NECESARIO PARA SU CORRECTA EJECUCION. ACTIVIDAD A REALIZAR EN HORARIOS NO LABORALES.. </t>
  </si>
  <si>
    <t>SUBTOTAL OBRAS CIELO RASO Y FACHADA</t>
  </si>
  <si>
    <t>DESMONTE CORTE Y ADECUACION DE REJA EXISTENTE, INCLUYE TODO LO NECESARIO PARA SU CORRECTA EJECUCION.</t>
  </si>
  <si>
    <t xml:space="preserve">GLB </t>
  </si>
  <si>
    <t>LEVANTE DE MURO  EN BLOQUE MACIZO  (MURO DE 1,65m X0,8m  Y 1,4m X 1,00 m) DE  10 X 20 X 40 CMS PARA CONSTRUCION DE ALFAJIA,NCLUYE PAÑETE Y TODO LO NECESARIO PARA SU CORRECTA EJECUCION.</t>
  </si>
  <si>
    <t>PRECIO DE TUBO 195000</t>
  </si>
  <si>
    <t>DEMOLICION DE CASETA EN SUPERBOARD EXISTENTE.  INCLUYE RETIRO Y TODO LO NECESARIO PARA SU CORRECTA EJECUCION.</t>
  </si>
  <si>
    <t>SUMINSITRO E INSTALACION DE TUBO CUADRADO DE 70mm x 70mm ESTRUCTURAL CALIBRE 14, PARA EXTENSION DE ESTRUCTURA METALICA DE SOPORTE HORIZONTAL,  INCLUYE APLICACIÓN DE ANTICORROSIVO Y ESMALTE NEGRO Y TODO LO NECESARIO PARA SU CORRECTA EJECUCION.</t>
  </si>
  <si>
    <t xml:space="preserve">SUMINISTRO E INSTALACION DE TUBO RECTANGULAR CALIBRE 16 (3X1 1/2"). INCLUYE PINTURA ANTICORROSIVA ,  ESMALTE Y TODO LO NECESARIO PARA UNA CORRECTA Y SEGURA EJECUCION DE LA ACTIVIDAD. </t>
  </si>
  <si>
    <t>SUMINISTRO E INSTALACION DE JARDIN VERTICAL ARTIFICIAL SOBRE TEJA INCLUYE TODO LO NECESARIO PARA CORRECTA INSTALACION.</t>
  </si>
  <si>
    <t>LIMPIEZA,  ADECUACION Y PINTURA REJA EXTERIOR EN ESMALTE NEGRO, INCLUYE TODO LO NECESARIO PARA SU CORRECTA EJECUCION.</t>
  </si>
  <si>
    <t xml:space="preserve">SALE </t>
  </si>
  <si>
    <t>SUMINISTRO E INSTALACION DE MURO EN SUPERBOARD (2 CARAS), INCLUYE FILOS, ANDAMIOS Y  TODO LO NECESARIO PARA SU CORRECTA EJECUCION.</t>
  </si>
  <si>
    <t>CONSTRUCCION DE DRENAJE EN TUBERIA DE 2 PULGADAS,   PARA TEJA GARITA DE VIGILANCIA  INCLUYE RESANE EN MORTERO YTODO LO NECESARIO PARA CORRECTA INSTALACION.</t>
  </si>
  <si>
    <t>SUMINISTRO E INSTALACIÓN TEJA ARQUITECTONICA TIPO GUERRERA PREPINTADA, COLOR INSTITUCIONAL INCLUYE TODO LO NECESARIO PARA CORRECTA INSTALACION.</t>
  </si>
  <si>
    <t>CONSTRUCCIONDE CANALETA METALICA DE 10 cm x 10 cm,  EN LAMINA GALVANIZADA CALIBRE 24, INCLUYE TODO LO NECESARIO PARA CORRECTA INSTALACION.</t>
  </si>
  <si>
    <t>CONSTRUCION DE MESON EN GRANITO PARA RECEPCION GARITA, INCLUYE TODO LO NECESARIO PARA CORRECTA INSTALACION.</t>
  </si>
  <si>
    <t>SUMINISTRO E INSTALACIÓN DE AIRE ACONDICIONADO 9000 BTU; ACOMETIDA AIRE ACONDICIONADO EN TUBO DE COBRE DE 1/4 Y 1/2,  Y TIRA DE RODA T 5/8 X 1/2 . INCLUYE TODO LO NECESARIO PARA SU INSTALACIÓN.</t>
  </si>
  <si>
    <t>VERIFICAR TIPO DE PINTURA ALFAJIA</t>
  </si>
  <si>
    <t>PINTURA VINÍLICA TIPO 1 PARA MUROS INTERIORES TRES MANOS, INCLUYE USO DE ANDAMIOS Y TODO LO NECESARIO PARA CUMPLIR CON LA SEGURIDAD YAPLICACIÓN CORRECTA DE LA MISMA.</t>
  </si>
  <si>
    <t>SUMINISTRO, TRANSPORTE E INSTALACIÓN DE MATERIALES PARA SALIDA ELÉCTRICA DE ALUMBRADO, SWITCHE, TOMA Y TOMA REGULADO COLOR NARANJA Y AIRE ACONDICIONADO 220. INCLUYE CABLE # 12 , TAPA, CAJAS, CON TAPA PARA TOMA, DUCTO EMT, ADAPTADORES TERMINAL, CURVAS, PEGA PVC, CONECTORES DE CONEXIÓN Y EMPALME, TORNILLOS, OBRA CIVIL Y DEMÁS ACCESORIOS Y ELEMENTOS NECESARIOS PARA SU CORRECTA INSTALACIÓN Y FUNCIONAMIENTO. (SALIDA DE 10 A 20 M A CAJA).</t>
  </si>
  <si>
    <t>SUMINISTRO E INSTALACION DE CIELO RASO EN DRYWALL  CON DILATACION LATERAL Y CON TODO LO NECESARIO PARA UNA CORRECTA Y SEGURA EJECUCION DE LA ACTIVIDAD</t>
  </si>
  <si>
    <t>TAMDEN DE 3 PUESTOS EN ACERO, EN ESPALDAR Y ASIENTO DE ALTA CALIDAD CON RECUBRIMIENTO EN PINTURA EN POLVO, LOS SOPORTES DE LOS BRAZOS, LOS COSTADOS Y LAS PATAS SON EN ACERO CROMO.</t>
  </si>
  <si>
    <t>SUMINISTRO E INSTALACION DE MESA DE 1,3 m X 0,6 m CON BASE METALICA Y SUPERFICIE EN GRANITO PULIDO., INCLUYE TODO LO NECESARIO PARA CUMPLIR CON LA SEGURIDAD Y APLICACIÓN CORRECTA DE LA MISMA.</t>
  </si>
  <si>
    <t xml:space="preserve">MUEBLES SALA DE ESTANCIA EFIMERA DE 0,85m X 0,9mEN MATERIAL SINTENTICO, SEGÚN DISEÑO. </t>
  </si>
  <si>
    <t xml:space="preserve">SUMINISTRO DE SILLA GIRATORIA TIPO OFICINA. PARA GARITA DE VIGILANCIA Y SALA DE JUNTAS. </t>
  </si>
  <si>
    <t>SUMINISTRO E INSTALACION DE APLIQUE DE PARED BIDIRECCIONAL PARA LOBBY Y ZONA DE ASCENSOR. INCLUYE TODO LO NECESARIO PARA CORRECTA INSTALACION.</t>
  </si>
  <si>
    <t>SUMINISTRO E INSTALACION DE PLACA EN  EN DRYWALL, PARA CIELO RASO, ANCLADA A ESTRUCTURA METALICA  CON TODO LO NECESARIO PARA UNA CORRECTA Y SEGURA EJECUCION DE LA ACTIVIDAD</t>
  </si>
  <si>
    <t>LINEALES DE PINTURA EN VINILO TIPO 1 ALFAJIA, TRES MANOS, INCLUYE TODO LO NECESARIO PARA CUMPLIR CON LA SEGURIDAD Y APLICACIÓN CORRECTA DE LA MISMA.</t>
  </si>
  <si>
    <t>SUMINISTRO E INSTALACIÓN DE VENTILADOR DE TECHO  INDUSTRIAL PARA ZONA DE GARITA;  INCLUYE ANCLAJE  Y TODO LO NECESARIO PARA SU INSTALACIÓN.</t>
  </si>
  <si>
    <t>SUMINISTRO E INSTALACION DE MURO EN SUPERBOARD (2 CARAS),  PARA CUARTO DE RACK, INCLUYE FILOS,  ANDAMIOS Y  TODO LO NECESARIO PARA SU CORRECTA EJECUCION.</t>
  </si>
  <si>
    <t>SUMINISTRO E INSTALACIÓN DE PUERTA EN MADERA ENTAMBORADA DE 0,90 X 2,3 MTS EN AGLOMERADO HR; INCLUYE MARCO EN MADERA, JAMBA Y CERRADURA</t>
  </si>
  <si>
    <t>SUMINISTRO E INSTALACIÓN DE SISTEMAS DE REVESTIMIENTO EN WPC ACUSTICO (WOOD PLASTIC COMPOSITE) ZONA DE GARITA DE SEGURIDAD, CON FIJACIÓN OCULTA RESALTANDO SU APARIENCIA ESTÉTICA CON TODO LO NECESARIO PARA UNA CORRECTA Y SEGURA EJECUCIÓN DE LA ACTIVIDAD</t>
  </si>
  <si>
    <t>SUMINISTRO E INSTALACIÓN DE SISTEMAS DE REVESTIMIENTO EN WPC ACUSTICO (WOOD PLASTIC COMPOSITE) ZONA DE ESTANCIA EFIMERA Y SALA DE JUNTAS, CON FIJACIÓN OCULTA RESALTANDO SU APARIENCIA ESTÉTICA CON TODO LO NECESARIO PARA UNA CORRECTA Y SEGURA EJECUCIÓN DE LA ACTIVIDAD</t>
  </si>
  <si>
    <t>SUMINISTRO E INSTALACION DE LUZ INDIRECTA EN CINTA LED, EN BORDE DEL FONDO DE TV,  INCLUYE  TODO LO NECESARIO PARA SU CORRECTA INSTALACION.</t>
  </si>
  <si>
    <t>PULIDA DE PIEDRA PARED  ZONA ASCENSOR, NCLUYE TODO LO NECESARIO PARA SU CORRECTA EJECUCION.</t>
  </si>
  <si>
    <t>PULIDA DE PARED EN MARMOL ZONA ASCENSOR, INCLUYE TODO LO NECESARIO PARA SU CORRECTA EJECUCION.</t>
  </si>
  <si>
    <t>CONSTRUCION DEL ALFAJIA DE 0,28 X 0,05, EN SUPEROBOARD, INCLUYE FILOS, ANDAMIOS Y  TODO LO NECESARIO PARA SU CORRECTA EJECUCION.</t>
  </si>
  <si>
    <t>SUBTOTAL OBRAS EN EL LOBBY (SALA DE JUNTAS, ZONA ESTANCIA EFIMERA Y LOBBY ACSENSORES)</t>
  </si>
  <si>
    <t>REMODELACION, ADECUACIONES Y CARPINTERIA EN MADERA LOBBY  (SALA DE JUNTAS, ZONA ESTANCIA EFIMERA Y LOBBY ACSENSORES)</t>
  </si>
  <si>
    <t>REMODELACION, ADECUACIONES Y CARPINTERIA EN MADERA EN ZONA DE VIGILANCIA</t>
  </si>
  <si>
    <t>SUBTOTAL OBRAS EN ZONA DE VIGILANCIA</t>
  </si>
  <si>
    <t>CONSTRUCCION DE JARDINERA EN ESCALERA PRINCIPAL DE 1,8 m X 1,6m,  INCLUYE ALFAJIA, PAÑETE IMPERMEABILIZADO, ESTUCO PLASTICO, PINTURA Y TODO LO NECESARIO PARA SU CORRECTA EJECUCION.</t>
  </si>
  <si>
    <t>CONSTRUCION DE AFAJIA EN CONCRETO DE 3000 PSI DE 0,25 X 0,05 M  Y LONG 0,75 M, INCLUYE ACERO CON 2 Ø 3/8" Y Ø 1/4" @ 0.20 MTS Y TODO LO NECESARIO PARA SU CORRECTA EJECUCION.</t>
  </si>
  <si>
    <t xml:space="preserve">SUMINISTRO DE SILLA GIRATORIA TIPO OFICINA. PARA SALA DE JUNTAS. </t>
  </si>
  <si>
    <t>SUMINISTRO E INSTALACION PLACA EN SUPERBOARD  PARA TECHO CUARTO DE RACK, INCLUYE FILOS,  ANDAMIOS Y  TODO LO NECESARIO PARA SU CORRECTA EJECUCION.</t>
  </si>
  <si>
    <t>SUMINISTRO E INSTALACION DE LUZ INDIRECTA EN CINTA LED  CON PERFIL ALUMINIO , TODO LO NECESARIO PARA SU CORRECTA INSTALACION.</t>
  </si>
  <si>
    <t>SUMINISTRO DE MESA DE JUNTAS INCLUYE CAJA PARA TOMA DE DATOS Y ELECTRICOS.</t>
  </si>
  <si>
    <t>SUMINISTRO DE MUEBLE BAJO PARA SALA DE JUNTAS, SEGÚN DISEÑO EN AGLOMERADO HR COLO R AMRETO OSIMILAR.</t>
  </si>
  <si>
    <t xml:space="preserve">SUMINISTRO E INSTALACION DE MINI OJO DE BUEY DE INCRUSTAR  LUZ CÁLIDA 3000K
POTENCIA 1 W. </t>
  </si>
  <si>
    <t xml:space="preserve">SUMINISTRO E INSTALACIÓN DE LUMINARIAS TIPO LED PANEL 60X60 45 W DE SOBREPONER. </t>
  </si>
  <si>
    <t>SUMINISTRO E INSTALACION DE REFLECTOR DE PISO LUZ CALIDA. NCLUYE TODO LO NECESARIO PARA CORRECTA INSTALACION.</t>
  </si>
  <si>
    <t>VENTANERIA EN VIDRIO TEMPLADO.</t>
  </si>
  <si>
    <t>SUMINISTRO E INSTALACION DE TELEVISOR DE 50", INCLUYE SOPORTE Y TODO LO NECESARIO PARA SU CORRECTA INSTALACION.</t>
  </si>
  <si>
    <t xml:space="preserve">SUMINISTRO E INSTALACIÓN DE VINILO ESMERILADO CON ESCUDO EN EL CENTRO CON UNA MEDIDA DE 5 MTS DE LARGOX 1,5 MTS DE ALTO APROXIMADAMENTE. </t>
  </si>
  <si>
    <t>SUMINISTRO E INSTALACIÓN DE AIRE ACONDICIONADO 9000 BTU; ACOMETIDA AIRE ACONDICIONADO EN TUBO DE COBRE DE 1/4 Y 1/2,  Y TIRA DE RODA T 5/8 X 1/2 . INCLUYE TODO LO NECESARIO PARA SU INSTALACIÓN.-CUARTO DE RACK.</t>
  </si>
  <si>
    <t xml:space="preserve">MARCO EN MADERA ACCESO A GARITA. DE LONGITUD  5.90 , CON JAMBA EN COLOR AMARETTO O SIMILAR. </t>
  </si>
  <si>
    <t>ENCHAPE CONTINUO CASETA DE VIGILANCIA DE 1,75 X 2,60 EN AGLOMERADO HR COLOR AMARETTO O SIMILAR . INCLUYE ANDAMIOS Y ELEMENTOS NECESARIOS PARA SU INSTALACION.</t>
  </si>
  <si>
    <t>DIOSA DE LA JUSTICIA</t>
  </si>
  <si>
    <t xml:space="preserve"> SUMINISTRO E INSTALACION DE ZOCALO EN PCV PARA SALA DE JUNTAS, INCLUYE TODO LO NECESARIO PARA SU CORRECTA INSTALACION. </t>
  </si>
  <si>
    <t xml:space="preserve"> SUMINISTRO E INSTALACION DE PISO EN SISTEMA CLICK SPC 5MM, PARA LA SALA DE JUNTAS.  </t>
  </si>
  <si>
    <t>ALISTAMIENTO DE SUPERFICIE DE LOSA CON MASTICO RESANADOR, PARA LA INSTALACION DE PISO EN SALA DE JUNTAS. INCLUYE TODO LO NECESARIO PARA SU CORRECTA EJECUCION.</t>
  </si>
  <si>
    <t xml:space="preserve">SUMINISTRO E INSTALACION DE  LOGO CIRCULAR DE 1.48CM DE DIÁMETRO CON BASE EN MDF 15MM CON VINILO LAMINADO DE FONDO Y APLIQUES DE ELEMENTOS EN ACRÍLICO 3MM, AVISO SEPARADO CON EFECTO FLOTANTE Y SUJETADO A PERFILES DE MADERA CON SISTEMA DE ENGANCHE </t>
  </si>
  <si>
    <t>SUMINISTRO Y APLICACIÓN DE IMPERMEABILIZANTE DE CONCRETO.</t>
  </si>
  <si>
    <t>REPARACION PERIMETRAL DEL CIELO RASO AFECTADO POR EL DESMONTE DE VENTANAS. INCLUYE CORTE, INSTALACION DE ESTRUCTURA, LAMINA EN DRYWALL, Y ACABADO EN ESTUCO</t>
  </si>
  <si>
    <t xml:space="preserve">ACTIVIDAD </t>
  </si>
  <si>
    <t xml:space="preserve">UNIDAD </t>
  </si>
  <si>
    <t xml:space="preserve">CANTIDAD </t>
  </si>
  <si>
    <t xml:space="preserve"> CANALETA METALICA DE 10 cm x 10 cm,  EN LAMINA GALVANIZADA CALIBRE 24</t>
  </si>
  <si>
    <t>DESMONTE CORTE Y ADECUACION DE REJA EXISTENTE</t>
  </si>
  <si>
    <t>INSTALACION DE TUBO CUADRADO DE 70mm x 70mm ESTRUCTURAL CALIBRE 14, PARA EXTENSION DE ESTRUCTURA METALICA</t>
  </si>
  <si>
    <t>CRA 2-1 
ESTRUCTURA EN ALN-1101, 5 CUERPOS FIJOS, 5 HOJAS PROYECTANTES SUPERIORES DE 30CM DE ALTO, 5 MANIJAS DE LUJO CON RECIBIDOR INCORPORADO, BRAZOS EN ACERO, EMPAQUE DE CAUCHO EPDM MARCA EXTRUSIONES, VIDRIO TEMPLADO 6MM INCOLORO, ALUMINIO COLOR NEGRO PINTURA.  (LONGITUDES DE 5,43 DE ANCHO*1,45 DE ALTO)</t>
  </si>
  <si>
    <t>CRA 2-2 
ESTRUCTURA EN ALN-1101, 4 CUERPOS FIJOS, 4 HOJAS PROYECTANTES SUPERIORES DE 30CM DE ALTO, 4 MANIJAS DE LUJO CON RECIBIDOR INCORPORADO, BRAZOS EN ACERO, EMPAQUE DE CAUCHO EPDM MARCA EXTRUSIONES, VIDRIO TEMPLADO 6MM INCOLORO, ALUMINIO COLOR NEGRO PINTURA. (LONGITUDES DE 2,92 DE ANCHO*1,45 DE ALTO)</t>
  </si>
  <si>
    <t>CRA 2-3 
PUERTA CORREDIZA 7038, 2 HOJAS CORREDIZAS, 2 CERRADURAS OVERSEA PICO LORO, MANIJAS HALADERAS EN ALUMINIO, EMPAQUE DE CAUCHO EPDM MARCA EXTRUSIONES, ALUMINIO COLOR NEGRO PINTURA, VIDRIO TEMPLADO 6MM INCOLORO. (LONGITUDES DE 1,53*2,20 DE ALTO)</t>
  </si>
  <si>
    <t>CRA 2-4 
ESTRUCTURA EN ALN-1101, 4 CUERPOS FIJOS, 4 HOJAS PROYECTANTES SUPERIORES DE 30CM DE ALTO, 4 MANIJAS DE LUJO CON RECIBIDOR INCORPORADO, BRAZOS EN ACERO, EMPAQUE DE CAUCHO EPDM MARCA EXTRUSIONES, VIDRIO TEMPLADO 6MM INCOLORO, ALUMINIO COLOR NEGRO PINTURA. (LONGITUDES DE 3,01 DE ANCHO*1,45 DE ALTO)</t>
  </si>
  <si>
    <t>CRA 2-5 
ESTRUCTURA EN ALN-1101, 4 CUERPOS FIJOS, 4 HOJAS PROYECTANTES SUPERIORES DE 30CM DE ALTO, 4 MANIJAS DE LUJO CON RECIBIDOR INCORPORADO, BRAZOS EN ACERO, EMPAQUE DE CAUCHO EPDM MARCA EXTRUSIONES, VIDRIO TEMPLADO 6MM INCOLORO, ALUMINIO COLOR NEGRO PINTURA. (LONGITUDES DE 3,15 DE ANCHO*1,45 DE ALTO)</t>
  </si>
  <si>
    <t>CRA 2-6 
ESTRUCTURA EN ALN-1101, 4 CUERPOS FIJOS, 4 HOJAS PROYECTANTES SUPERIORES DE 30CM DE ALTO, 4 MANIJAS DE LUJO CON RECIBIDOR INCORPORADO, BRAZOS EN ACERO, EMPAQUE DE CAUCHO EPDM MARCA EXTRUSIONES, VIDRIO TEMPLADO 6MM INCOLORO, ALUMINIO COLOR NEGRO PINTURA. (LONGITUDES DE 3,00 DE ANCHO*1,45 DE ALTO)</t>
  </si>
  <si>
    <t>CRA 2-7 
ESTRUCTURA EN ALN-1101, 4 CUERPOS FIJOS, 4 HOJAS PROYECTANTES SUPERIORES DE 30CM DE ALTO, 4 MANIJAS DE LUJO CON RECIBIDOR INCORPORADO, BRAZOS EN ACERO, EMPAQUE DE CAUCHO EPDM MARCA EXTRUSIONES, VIDRIO TEMPLADO 6MM INCOLORO, ALUMINIO COLOR NEGRO PINTURA.  (LONGITUDES DE 3,28 DE ANCHO*1,45 DE ALTO)</t>
  </si>
  <si>
    <t>CALLE 27-1 
ESTRUCTURA EN ALN-1101, 4 CUERPOS FIJOS, 4 HOJAS PROYECTANTES SUPERIORES DE 30CM DE ALTO, 4 MANIJAS DE LUJO CON RECIBIDOR INCORPORADO, BRAZOS EN ACERO, EMPAQUE DE CAUCHO EPDM MARCA EXTRUSIONES, VIDRIO TEMPLADO 6MM INCOLORO, ALUMINIO COLOR NEGRO PINTURA.  ; (LONGITUDES DE 1,32 DE ANCHO* 1,130 DE ALTO)</t>
  </si>
  <si>
    <t>CALLE 27-2 
ESTRUCTURA EN ALN-1101, 4 CUERPOS FIJOS, 4 HOJAS PROYECTANTES SUPERIORES DE 30CM DE ALTO, 4 MANIJAS DE LUJO CON RECIBIDOR INCORPORADO, BRAZOS EN ACERO, EMPAQUE DE CAUCHO EPDM MARCA EXTRUSIONES, VIDRIO TEMPLADO 6MM INCOLORO, ALUMINIO COLOR NEGRO PINTURA. (LONGITUDES DE 2,95 DE ANCHO*1,45 DE ALTO)</t>
  </si>
  <si>
    <t>CALLE 27-3 
ESTRUCTURA EN ALN-1101, 4 CUERPOS FIJOS, 4 HOJAS PROYECTANTES SUPERIORES DE 30CM DE ALTO, 4 MANIJAS DE LUJO CON RECIBIDOR INCORPORADO, BRAZOS EN ACERO, EMPAQUE DE CAUCHO EPDM MARCA EXTRUSIONES, VIDRIO TEMPLADO 6MM INCOLORO, ALUMINIO COLOR NEGRO PINTURA. (LONGITUDES DE 2,68 DE ANCHO* 1,45 DE ALTO)</t>
  </si>
  <si>
    <t>CALLE 27-4 
PUERTA CORREDIZA 7038, 2 HOJAS CORREDIZAS, 2 CERRADURAS OVERSEA PICO LORO, MANIJAS HALADERAS EN ALUMINIO, EMPAQUE DE CAUCHO EPDM MARCA EXTRUSIONES, ALUMINIO COLOR NEGRO PINTURA, VIDRIO 
TEMPLADO 6MM INCOLORO. (LONGITUDES DE 7,36 DE ANCHO* 1,56 DE ALTO)</t>
  </si>
  <si>
    <t>CALLE 27-5 
ESTRUCTURA EN ALN-1101, 4 CUERPOS FIJOS, 4 HOJAS PROYECTANTES SUPERIORES DE 30CM DE ALTO, 4 MANIJAS DE LUJO CON RECIBIDOR INCORPORADO, BRAZOS EN ACERO, EMPAQUE DE CAUCHO EPDM MARCA EXTRUSIONES, VIDRIO TEMPLADO 6MM INCOLORO, ALUMINIO COLOR NEGRO PINTURA. (LONGITUDES DE 3,12 DE ANCHO* 1,45 DE ALTO)</t>
  </si>
  <si>
    <t>CALLE 27-6 
ESTRUCTURA EN ALN-1101, 1 CUERPO FIJO, 1 HOJA PROYECTANTES SUPERIOR DE 30CM DE ALTO, 1 MANIJA DE LUJO CON RECIBIDOR INCORPORADO, BRAZOS EN ACERO, EMPAQUE DE CAUCHO EPDM MARCA EXTRUSIONES, VIDRIO TEMPLADO 6MM INCOLORO, ALUMINIO COLOR NEGRO PINTURA.  (LONGITUDES DE 1,09 DE ANCHO* 1,45 DE ALTO)</t>
  </si>
  <si>
    <t>CALLE 27-7 
ESTRUCTURA EN ALN-1101, 4 CUERPOS FIJOS, 4 HOJAS PROYECTANTES SUPERIORES DE 30CM DE ALTO, 4 MANIJAS DE LUJO CON RECIBIDOR INCORPORADO, BRAZOS EN ACERO, EMPAQUE DE CAUCHO EPDM MARCA EXTRUSIONES, VIDRIO TEMPLADO 6MM INCOLORO, ALUMINIO COLOR NEGRO PINTURA. (LONGITUDES DE 2,57 DE ANCHO* 1,45 DE ALTO)</t>
  </si>
  <si>
    <t>CRA 3-1 
ESTRUCTURA EN ALN-1101, 4 CUERPOS FIJOS, 4 HOJAS PROYECTANTES SUPERIORES DE 30CM DE ALTO, 4 MANIJAS DE LUJO CON RECIBIDOR INCORPORADO, BRAZOS EN ACERO, EMPAQUE DE CAUCHO EPDM MARCA EXTRUSIONES, VIDRIO TEMPLADO 6MM INCOLORO, ALUMINIO COLOR NEGRO PINTURA.  (LONGITUDES DE 2,51 DE ANCHO* 1,45 DE ALTO)</t>
  </si>
  <si>
    <t>CRA 3-2 
ESTRUCTURA EN ALN-1101, 4 CUERPOS FIJOS, 4 HOJAS PROYECTANTES SUPERIORES DE 30CM DE ALTO, 4 MANIJAS DE LUJO CON RECIBIDOR INCORPORADO, BRAZOS EN ACERO, EMPAQUE DE CAUCHO EPDM MARCA EXTRUSIONES, VIDRIO TEMPLADO 6MM INCOLORO, ALUMINIO COLOR NEGRO PINTURA.  (LONGITUDES DE 2,38 DE ANCHO* 1,45 DE ALTO)</t>
  </si>
  <si>
    <t>CRA 3-3 
ESTRUCTURA EN ALN-1101, 4 CUERPOS FIJOS, 4 HOJAS PROYECTANTES SUPERIORES DE 30CM DE ALTO, 4 MANIJAS DE LUJO CON RECIBIDOR INCORPORADO, BRAZOS EN ACERO, EMPAQUE DE CAUCHO EPDM MARCA EXTRUSIONES, VIDRIO TEMPLADO 6MM INCOLORO, ALUMINIO COLOR NEGRO PINTURA. (LONGITUDES DE 2,37 DE ANCHO* 1,45 DE ALTO)</t>
  </si>
  <si>
    <t>CRA 3-4 
ESTRUCTURA EN ALN-1101, 5 CUERPOS FIJOS, 5 HOJAS PROYECTANTES SUPERIORES DE 30CM DE ALTO, 5 MANIJAS DE LUJO CON RECIBIDOR INCORPORADO, BRAZOS EN ACERO, EMPAQUE DE CAUCHO EPDM MARCA EXTRUSIONES, VIDRIO TEMPLADO 6MM INCOLORO, ALUMINIO COLOR NEGRO PINTURA.(LONGITUDES DE 5,28 DE ANCHO* 1,45 DE ALTO)</t>
  </si>
  <si>
    <t>CRA 3-5 
VENTANA CORREDIZA 744 EN ELE, 1 HOJA CORREDIZA, 2 CUERPOS FIJOS LATERALES, 1 SEGURO DE IMPACTO UDINESE, EMPAQUE DE CAUCHO EDPM MARCA EXTRUSIONES, ALUMINIO COLOR  NEGRO, VIDRIO FLOTADO CRUDO 4MM INCOLORO. (LONGITUDES DE 1,26*185 DE ANCHO* 1,56 DE ALTO)</t>
  </si>
  <si>
    <t>CALLE 26-1 
ESTRUCTURA EN ALN-1101, 4 CUERPOS FIJOS, 4 HOJAS PROYECTANTES SUPERIORES DE 30CM DE ALTO, 4 MANIJAS DE LUJO CON RECIBIDOR INCORPORADO, BRAZOS EN ACERO, EMPAQUE DE CAUCHO EPDM MARCA EXTRUSIONES, VIDRIO TEMPLADO 6MM INCOLORO, ALUMINIO COLOR NEGRO PINTURA.(LONGITUDES DE 3,63 DE ANCHO* 1,45 DE ALTO)</t>
  </si>
  <si>
    <t>CALLE 26-2 
ESTRUCTURA EN ALN-1101, 4 CUERPOS FIJOS, 4 HOJAS PROYECTANTES SUPERIORES DE 30CM DE ALTO, 4 MANIJAS DE LUJO CON RECIBIDOR INCORPORADO, BRAZOS EN ACERO, EMPAQUE DE CAUCHO EPDM MARCA EXTRUSIONES, VIDRIO TEMPLADO 6MM INCOLORO, ALUMINIO COLOR NEGRO PINTURA. (LONGITUDES DE 2,7 DE ANCHO* 1,45 DE ALTO)</t>
  </si>
  <si>
    <t>CALLE 26-3 
ESTRUCTURA EN ALN-1101, 4 CUERPOS FIJOS, 4 HOJAS PROYECTANTES SUPERIORES DE 30CM DE ALTO, 4 MANIJAS DE LUJO CON RECIBIDOR INCORPORADO, BRAZOS EN ACERO, EMPAQUE DE CAUCHO EPDM MARCA EXTRUSIONES, VIDRIO TEMPLADO 6MM INCOLORO, ALUMINIO COLOR NEGRO PINTURA. (LONGITUDES DE 3,63 DE ANCHO* 1,45 DE ALTO)</t>
  </si>
  <si>
    <t>CALLE 26-4 
ESTRUCTURA EN ALN-1101, 4 CUERPOS FIJOS, 4 HOJAS PROYECTANTES SUPERIORES DE 30CM DE ALTO, 4 MANIJAS DE LUJO CON RECIBIDOR INCORPORADO, BRAZOS EN ACERO, EMPAQUE DE CAUCHO EPDM MARCA EXTRUSIONES, VIDRIO TEMPLADO 6MM INCOLORO, ALUMINIO COLOR NEGRO PINTURA. (LONGITUDES DE 4,13 DE ANCHO* 1,45 DE ALTO)</t>
  </si>
  <si>
    <t>AIRES 
PUERTA CORREDIZA 7038, 2 HOJAS CORREDIZAS, 2 CERRADURAS OVERSEA PICO LORO, MANIJAS HALADERAS EN ALUMINIO, EMPAQUE DE CAUCHO EPDM MARCA EXTRUSIONES, ALUMINIO COLOR NEGRO PINTURA, VIDRIO TEMPLADO 6MM INCOLORO. (LONGITUDES DE 1,38 DE ANCHO* 2,275 DE ALTO)</t>
  </si>
  <si>
    <t>BAÑO 
ESTRUCTURA EN ALN-1101, 1 CUERPO FIJO INFERIOR EN VIDRIO, 1 CUERPO FIJO EN PERSIANA ALN-315, EMPAQUE DE CAUCHO EPDM MARCA EXTRUSIONES, VIDRIO TEMPLADO 6MM INCOLORO, ALUMINIO COLOR NEGRO PINTURA. (LONGITUDES DE 4,13 DE ANCHO* 1,45 DE ALTO)</t>
  </si>
  <si>
    <t>CARRERA 3 
VENTANA CORREDIZA 744 EN ELE, 1 HOJA CORREDIZA, 2 CUERPOS FIJOS LATERALES, 1 SEGURO DE IMPACTO UDINESE, EMPAQUE DE CAUCHO EDPM MARCA EXTRUSIONES, ALUMINIO COLOR  NEGRO, VIDRIO FLOTADO 
CRUDO 4MM INCOLORO. (LONGITUDES DE 0,91*2,01 DE ANCHO*1,60 DE ALTO)</t>
  </si>
  <si>
    <t>CRA 3-1 
ESTRUCTURA EN ALN-1101, 2 CUERPOS FIJOS, 2 HOJAS PROYECTANTES SUPERIORES DE 30CM DE ALTO, 2 MANIJAS DE LUJO CON RECIBIDOR INCORPORADO, BRAZOS EN ACERO, EMPAQUE DE CAUCHO EPDM MARCA EXTRUSIONES, VIDRIO TEMPLADO 6MM INCOLORO, ALUMINIO COLOR NEGRO PINTURA.  (LONGITUDES DE 1,92 DE ANCHO*1,45 DE ALTO)</t>
  </si>
  <si>
    <t>CRA 3-2 
ESTRUCTURA EN ALN-1101, 3 CUERPOS FIJOS, 3 HOJAS PROYECTANTES SUPERIORES DE 30CM DE ALTO, 3 MANIJAS DE LUJO CON RECIBIDOR INCORPORADO, BRAZOS EN ACERO, EMPAQUE DE CAUCHO EPDM MARCA EXTRUSIONES, VIDRIO TEMPLADO 6MM INCOLORO, ALUMINIO COLOR NEGRO PINTURA. (LONGITUDES DE 2,63 DE ANCHO*1,45 DE ALTO)</t>
  </si>
  <si>
    <t>CRA 3-3 
ESTRUCTURA EN ALN-1101, 3 CUERPOS FIJOS, 3 HOJAS PROYECTANTES SUPERIORES DE 30CM DE ALTO, 3 MANIJAS DE LUJO CON RECIBIDOR INCORPORADO, BRAZOS EN ACERO, EMPAQUE DE CAUCHO EPDM MARCA EXTRUSIONES, VIDRIO TEMPLADO 6MM INCOLORO, ALUMINIO COLOR NEGRO PINTURA. (LONGITUDES DE 3,04 DE ANCHO*1,45 DE ALTO)</t>
  </si>
  <si>
    <t>ESCALERAS 
VENTANA FIJA EN ALN-1101, 2 CUERPOS FIJOS EN PERSIANA ALN-315, ALUMINIO COLOR NEGRO. (LONGITUDES DE 2,23 DE ANCHO*1,72 DE ALTO)</t>
  </si>
  <si>
    <t>CALLE 27-2 
ESTRUCTURA EN ALN-1101, 2 CUERPOS FIJOS, 2 HOJAS PROYECTANTES SUPERIORES DE 30CM DE ALTO, 2 MANIJAS DE LUJO CON RECIBIDOR INCORPORADO, BRAZOS EN ACERO,EMPAQUE DE CAUCHO EPDM MARCA EXTRUSIONES, VIDRIO TEMPLADO 6MM INCOLORO, ALUMINIO COLOR NEGRO PINTURA. (LONGITUDES DE 2,16 DE ANCHO*1,45 DE ALTO)</t>
  </si>
  <si>
    <t>CALLE 27-3 
PUERTA BATIENTE EN ALN-1102, 1 HOJA BATIENTE, 1 CERRADURA DE BOLA TIPO CAROLINA, EMPAQUE DE CAUCHO EPDM MARCA EXTRUSIONES, ALUMINIO COLOR NEGRO, VIDRIO  TEMPLADO 5MM INCOLORO. (LONGITUDES DE 0,835 DE ANCHO*2,18 DE ALTO)</t>
  </si>
  <si>
    <t>CALLE 27 - 4 
ESTRUCTURA EN ALN-1101, 3 CUERPOS FIJOS, 3 HOJAS PROYECTANTES SUPERIORES DE 30CM DE ALTO, 3 MANIJAS DE LUJO CON RECIBIDOR INCORPORADO, BRAZOS EN ACERO, EMPAQUE DE CAUCHO EPDM MARCA EXTRUSIONES, VIDRIO TEMPLADO 6MM INCOLORO, ALUMINIO COLOR NEGRO PINTURA. (LONGITUDES DE 2,44 DE ANCHO* 1,945 DE ALTO)</t>
  </si>
  <si>
    <t>CALLE 27 - 5 
ESTRUCTURA EN ALN-1101, 3 CUERPOS FIJOS, 3 HOJAS PROYECTANTES SUPERIORES DE 30CM DE ALTO, 3 MANIJAS DE LUJO CON RECIBIDOR INCORPORADO, BRAZOS EN ACERO, EMPAQUE DE CAUCHO EPDM MARCA EXTRUSIONES, VIDRIO TEMPLADO 6MM INCOLORO, ALUMINIO COLOR NEGRO PINTURA.   (LONGITUDES DE 2,86 DE ANCHO* 1,945 DE ALTO)</t>
  </si>
  <si>
    <t>CALLE 27-6 
ESTRUCTURA EN ALN-1101, 2 CUERPOS FIJOS, 2 HOJAS PROYECTANTES SUPERIORES DE 30CM DE ALTO, 2 MANIJAS DE LUJO CON RECIBIDOR INCORPORADO, BRAZOS EN ACERO, EMPAQUE DE CAUCHO EPDM MARCA EXTRUSIONES, VIDRIO TEMPLADO 6MM INCOLORO, ALUMINIO COLOR NEGRO PINTURA (LONGITUDES DE 2,185 DE ANCHO* 1,945 DE ALTO)</t>
  </si>
  <si>
    <t>CALLE 27-7 
PUERTA BATIENTE EN ALN-1102, 1 HOJA BATIENTE, 1 CERRADURA DE BOLA TIPO CAROLINA, EMPAQUE DE CAUCHO EPDM MARCA EXTRUSIONES, ALUMINIO COLOR NEGRO, VIDRIO  TEMPLADO 5MM INCOLORO. (LONGITUDES DE 0,83 DE ANCHO* 2,18 DE ALTO)</t>
  </si>
  <si>
    <t>CALLE 27-8 
ESTRUCTURA EN ALN-1101, 2 CUERPOS FIJOS, 2 HOJAS PROYECTANTES SUPERIORES DE 30CM DE ALTO, 2 MANIJAS DE LUJO CON RECIBIDOR INCORPORADO, BRAZOS EN ACERO, EMPAQUE DE CAUCHO EPDM MARCA EXTRUSIONES, VIDRIO TEMPLADO 6MM INCOLORO, ALUMINIO COLOR NEGRO PINTURA. (LONGITUDES DE 1,92 DE ANCHO* 1,45 DE ALTO)</t>
  </si>
  <si>
    <t>CRA 2-1 
ESTRUCTURA EN ALN-1101, 4 CUERPOS FIJOS, 4 HOJAS PROYECTANTES SUPERIORES DE 30CM DE ALTO, 4 MANIJAS DE LUJO CON RECIBIDOR INCORPORADO, BRAZOS EN ACERO, EMPAQUE DE CAUCHO EPDM MARCA EXTRUSIONES, VIDRIO TEMPLADO 6MM INCOLORO, ALUMINIO COLOR NEGRO PINTURA. (LONGITUDES DE 4,515 DE ANCHO* 1,45 DE ALTO)</t>
  </si>
  <si>
    <t xml:space="preserve"> CRA 2-2 
ESTRUCTURA EN ALN-1101, 6 CUERPOS FIJOS, 6 HOJAS PROYECTANTES SUPERIORES DE 30CM DE ALTO, 6 MANIJAS DE LUJO CON RECIBIDORZINCORPORADO, BRAZOS EN ACERO, EMPAQUE DE CAUCHO EPDM MARCA EXTRUSIONES, VIDRIO TEMPLADO 6MM INCOLORO, ALUMINIO COLOR NEGRO PINTURA. (LONGITUDES DE 5,535 DE ANCHO* 1,45 DE ALTO)</t>
  </si>
  <si>
    <t>CRA 2-3 
PUERTA BATIENTE EN ALN-1102, 1 HOJA BATIENTE, 1 CERRADURA DE BOLA TIPO CAROLINA, EMPAQUE DE CAUCHO EPDM MARCA EXTRUSIONES, ALUMINIO COLOR NEGRO, VIDRIO  TEMPLADO 5MM INCOLORO. (LONGITUDES DE 0,90 DE ANCHO* 2,18 DE ALTO)</t>
  </si>
  <si>
    <t>CRA 2-4 
ESTRUCTURA EN ALN-1101, 3 CUERPOS FIJOS, 3 HOJAS PROYECTANTES SUPERIORES DE 30CM DE ALTO, 3 MANIJAS DE LUJO CON RECIBIDOR INCORPORADO, BRAZOS EN ACERO, EMPAQUE DE CAUCHO EPDM MARCA EXTRUSIONES, VIDRIO TEMPLADO 6MM INCOLORO, ALUMINIO COLOR NEGRO PINTURA. (LONGITUDES DE 3,05 DE ANCHO* 1,45 DE ALTO)</t>
  </si>
  <si>
    <t>CALLE 26-1 
ESTRUCTURA EN ALN-1101, 2 CUERPOS FIJOS, 2 HOJAS PROYECTANTES SUPERIORES DE 30CM DE ALTO, 2 MANIJAS DE LUJO CON RECIBIDOR INCORPORADO, BRAZOS EN ACERO, EMPAQUE DE CAUCHO EPDM MARCA EXTRUSIONES, VIDRIO TEMPLADO 6MM INCOLORO, ALUMINIO COLOR NEGRO PINTURA.  (LONGITUDES DE 1,91 DE ANCHO* 1,45 DE ALTO)</t>
  </si>
  <si>
    <t>CALLE 26-2 
ESTRUCTURA EN ALN-1101, 1 CUERPO FIJO, 1 HOJA PROYECTANTES SUPERIOR DE 30CM DE ALTO, 1 MANIJA DE LUJO CON RECIBIDOR INCORPORADO, BRAZOS EN ACERO, EMPAQUE DE CAUCHO EPDM MARCA EXTRUSIONES, VIDRIO TEMPLADO 6MM INCOLORO, ALUMINIO COLOR NEGRO PINTURA.  (LONGITUDES DE 0,735 DE ANCHO* 1,45 DE ALTO)</t>
  </si>
  <si>
    <t>CALLE 26-3 
ESTRUCTURA EN ALN-1101, 2 CUERPOS FIJOS, 2 HOJAS PROYECTANTES SUPERIORES DE 30CM DE ALTO, 2 MANIJAS DE LUJO CON RECIBIDOR INCORPORADO, BRAZOS EN ACERO, EMPAQUE DE CAUCHO EPDM MARCA EXTRUSIONES, VIDRIO TEMPLADO 6MM INCOLORO, ALUMINIO COLOR NEGRO PINTURA.  (LONGITUDES DE 2,205 DE ANCHO* 1,45 DE ALTO)</t>
  </si>
  <si>
    <t>CRA 3-1
VENTANA CORREDIZA 744 EN ELE, 1 HOJA CORREDIZA, 2 CUERPOS FIJOS LATERALES, 1 SEGURO DE IMPACTO UDINESE, EMPAQUE DE CAUCHO EDPM MARCA EXTRUSIONES, ALUMINIO COLOR  NEGRO, VIDRIO FLOTADO 
CRUDO 4MM INCOLORO. (LONGITUDES DE 1,56*0,87 DE ANCHO*1,85 DE ALTO)</t>
  </si>
  <si>
    <t>ESCALERAS 
VENTANA FIJA EN ALN-1101, 2 CUERPOS FIJOS EN PERSIANA ALN-315, ALUMINIO COLOR NEGRO.  (LONGITUDES DE 2,244 DE ANCHO*1,795 DE ALTO)</t>
  </si>
  <si>
    <t>CRA 3-3 
ESTRUCTURA EN ALN-1101, 3 CUERPOS FIJOS, 3 HOJAS PROYECTANTES SUPERIORES DE 30CM DE ALTO, 3 MANIJAS DE LUJO CON RECIBIDOR INCORPORADO, BRAZOS EN ACERO, EMPAQUE DE CAUCHO EPDM MARCA EXTRUSIONES, VIDRIO TEMPLADO 6MM INCOLORO, ALUMINIO COLOR NEGRO PINTURA. (LONGITUDES DE 2,60 DE ANCHO*1,45 DE ALTO)</t>
  </si>
  <si>
    <t>CRA 3-4 
ESTRUCTURA EN ALN-1101, 3 CUERPOS FIJOS, 3 HOJAS PROYECTANTES SUPERIORES DE 30CM DE ALTO, 3 MANIJAS DE LUJO CON RECIBIDOR INCORPORADO, BRAZOS EN ACERO, EMPAQUE DE CAUCHO EPDM MARCA EXTRUSIONES, VIDRIO TEMPLADO 6MM INCOLORO, ALUMINIO COLOR NEGRO PINTURA(LONGITUDES DE 3,01 DE ANCHO*1,45 DE ALTO)</t>
  </si>
  <si>
    <t>CALLE 27-2 
ESTRUCTURA EN ALN-1101, 3 CUERPOS FIJOS, 3 HOJAS PROYECTANTES SUPERIORES DE 30CM DE ALTO, 3 MANIJAS DE LUJO CON RECIBIDOR INCORPORADO, BRAZOS EN ACERO, EMPAQUE DE CAUCHO EPDM MARCA EXTRUSIONES, VIDRIO TEMPLADO 6MM INCOLORO, ALUMINIO COLOR NEGRO PINTURA. (LONGITUDES DE 2,465 DE ANCHO*1,56 DE ALTO)</t>
  </si>
  <si>
    <t>CALLE 27-3 
ESTRUCTURA EN ALN-1101, 3 CUERPOS FIJOS, 3 HOJAS PROYECTANTES SUPERIORES DE 30CM DE ALTO, 3 MANIJAS DE LUJO CON RECIBIDOR INCORPORADO, BRAZOS EN ACERO, EMPAQUE DE CAUCHO EPDM MARCA EXTRUSIONES, VIDRIO TEMPLADO 6MM INCOLORO, ALUMINIO COLOR NEGRO PINTURA. (LONGITUDES DE 2,856 DE ANCHO*1,45 DE ALTO)</t>
  </si>
  <si>
    <t>CALLE 27-4 
ESTRUCTURA EN ALN-1101, 3 CUERPOS FIJOS, 3 HOJAS PROYECTANTES SUPERIORES DE 30CM DE ALTO, 3 MANIJAS DE LUJO CON RECIBIDOR INCORPORADO, BRAZOS EN ACERO, EMPAQUE DE CAUCHO EPDM MARCA EXTRUSIONES, VIDRIO TEMPLADO 6MM INCOLORO, ALUMINIO COLOR NEGRO PINTURA. (LONGITUDES DE 3,13 DE ANCHO*1,45 DE ALTO)</t>
  </si>
  <si>
    <t>CALLE 27-5 
ESTRUCTURA EN ALN-1101, 1 CUERPO FIJO, 1 HOJA PROYECTANTES SUPERIOR DE 30CM DE ALTO, 1 MANIJA DE LUJO CON RECIBIDOR INCORPORADO, BRAZOS EN ACERO, EMPAQUE DE CAUCHO EPDM MARCA EXTRUSIONES, VIDRIO TEMPLADO 6MM INCOLORO, ALUMINIO COLOR NEGRO PINTURA. (LONGITUDES DE 1,29 DE ANCHO* 1,45 DE ALTO)</t>
  </si>
  <si>
    <t>CRA 2-1 
ESTRUCTURA EN ALN-1101, 3 CUERPOS FIJOS, 3 HOJAS PROYECTANTES SUPERIORES DE 30CM DE ALTO, 3 MANIJAS DE LUJO CON RECIBIDOR INCORPORADO, BRAZOS EN ACERO, EMPAQUE DE CAUCHO EPDM MARCA EXTRUSIONES, VIDRIO TEMPLADO 6MM INCOLORO, ALUMINIO COLOR NEGRO PINTURA. (LONGITUDES DE 2,87 DE ANCHO* 1,45 DE ALTO)</t>
  </si>
  <si>
    <t>CRA 2-2 
ESTRUCTURA EN ALN-1101, 1 CUERPO FIJO, 1 HOJA PROYECTANTES SUPERIOR DE 30CM DE ALTO, 1 MANIJA DE LUJO CON RECIBIDOR INCORPORADO, BRAZOS EN ACERO, EMPAQUE DE CAUCHO EPDM MARCA EXTRUSIONES, VIDRIO TEMPLADO 6MM INCOLORO, ALUMINIO COLOR NEGRO PINTURA. (LONGITUDES DE 1,325 DE ANCHO* 1,45 DE ALTO)</t>
  </si>
  <si>
    <t>CRA 2-3 
ESTRUCTURA EN ALN-1101, 6 CUERPOS FIJOS, 6 HOJAS PROYECTANTES SUPERIORES DE 30CM DE ALTO, 6 MANIJAS DE LUJO CON RECIBIDOR INCORPORADO, BRAZOS EN ACERO, EMPAQUE DE CAUCHO EPDM MARCA EXTRUSIONES, VIDRIO TEMPLADO 6MM INCOLORO, ALUMINIO COLOR NEGRO PINTURA. (LONGITUDES DE 6,485 DE ANCHO* 1,45 DE ALTO)</t>
  </si>
  <si>
    <t>CRA 2-4 
ESTRUCTURA EN ALN-1101, 3 CUERPOS FIJOS, 3 HOJAS PROYECTANTES SUPERIORES DE 30CM DE ALTO, 3 MANIJAS DE LUJO CON RECIBIDOR INCORPORADO, BRAZOS EN ACERO, EMPAQUE DE CAUCHO EPDM MARCA EXTRUSIONES, VIDRIO TEMPLADO 6MM INCOLORO, ALUMINIO COLOR NEGRO PINTURA. (LONGITUDES DE 3,015 DE ANCHO* 1,45 DE ALTO)</t>
  </si>
  <si>
    <t>CALLE 26-1 
ESTRUCTURA EN ALN-1101, 4 CUERPOS FIJOS, 4 HOJAS PROYECTANTES SUPERIORES DE 30CM DE ALTO, 4 MANIJAS DE LUJO CON RECIBIDOR INCORPORADO, BRAZOS EN ACERO, EMPAQUE DE CAUCHO EPDM MARCA EXTRUSIONES, VIDRIO TEMPLADO 6MM INCOLORO, ALUMINIO COLOR NEGRO PINTURA.  (LONGITUDES DE 4,44 DE ANCHO* 1,45 DE ALTO)</t>
  </si>
  <si>
    <t>CALLE 26-2 
ESTRUCTURA EN ALN-1101, 1 CUERPO FIJO, 1 HOJA PROYECTANTES SUPERIOR DE 30CM DE ALTO, 1 MANIJA DE LUJO CON RECIBIDOR INCORPORADO, BRAZOS EN ACERO, EMPAQUE DE CAUCHO EPDM MARCA EXTRUSIONES, VIDRIO TEMPLADO 6MM INCOLORO, ALUMINIO COLOR NEGRO PINTURA. (LONGITUDES DE 1,15 DE ANCHO* 1,45 DE ALTO)</t>
  </si>
  <si>
    <t>CALLE 26-3 
ESTRUCTURA EN ALN-1101, 2 CUERPOS FIJOS, 2 HOJAS PROYECTANTES SUPERIORES DE 30CM DE ALTO, 2 MANIJAS DE LUJO CON RECIBIDOR INCORPORADO, BRAZOS EN ACERO, EMPAQUE DE CAUCHO EPDM MARCA EXTRUSIONES, VIDRIO TEMPLADO 6MM INCOLORO, ALUMINIO COLOR NEGRO PINTURA.  (LONGITUDES DE 1,615 DE ANCHO* 1,45 DE ALTO)</t>
  </si>
  <si>
    <t>CALLE 26-4 
ESTRUCTURA EN ALN-1101, 4 CUERPOS FIJOS, 4 HOJAS PROYECTANTES SUPERIORES DE 30CM DE ALTO, 4 MANIJAS DE LUJO CON RECIBIDOR INCORPORADO, BRAZOS EN ACERO, EMPAQUE DE CAUCHO EPDM MARCA EXTRUSIONES, VIDRIO TEMPLADO 6MM INCOLORO, ALUMINIO COLOR NEGRO PINTURA. (LONGITUDES DE 3,615 DE ANCHO* 1,45 DE ALTO)</t>
  </si>
  <si>
    <t>VENTANA CORREDIZA 744, 2 HOJAS CORREDIZAS, 1 CUERPOS FIJO SUPERIOR EN 3 X 1", 2 SEGUROS DE IMPACTO UDINESE, EMPAQUE DE CAUCHO EDPM MARCA EXTRUSIONES, ALUMINIO COLOR  NEGRO, VIDRIO FLOTADO CRUDO 4MM INCOLORO.  (LONGITUDES DE 0,70 DE ANCHO* 1,67 DE ALTO)</t>
  </si>
  <si>
    <t>CRA 3-1 
VENTANA CORREDIZA 744 EN ELE, 1 HOJA CORREDIZA, 2 CUERPOS FIJOS LATERALES, 1 SEGURO DE IMPACTO UDINESE, EMPAQUE DE CAUCHO EDPM MARCA EXTRUSIONES, ALUMINIO COLOR  NEGRO, VIDRIO FLOTADO 
CRUDO 4MM INCOLORO.  (LONGITUDES DE 1,86*0,875 DE ANCHO*1,45 DE ALTO)</t>
  </si>
  <si>
    <t>ESCALERAS 
VENTANA FIJA EN ALN-1101, 2 CUERPOS FIJOS EN PERSIANA  ALN-315, ALUMINIO COLOR NEGRO. (LONGITUDES DE 2,255 DE ANCHO*1,885 DE ALTO)</t>
  </si>
  <si>
    <t>CRA 3-3 
ESTRUCTURA EN ALN-1101, 3 CUERPOS FIJOS, 3 HOJAS PROYECTANTES SUPERIORES DE 30CM DE ALTO, 3 MANIJAS DE LUJO CON RECIBIDOR INCORPORADO, BRAZOS EN ACERO, EMPAQUE DE CAUCHO EPDM MARCA EXTRUSIONES, VIDRIO TEMPLADO 6MM INCOLORO, ALUMINIO COLOR NEGRO PINTURA. (LONGITUDES DE 2,77 DE ANCHO*1,45 DE ALTO)</t>
  </si>
  <si>
    <t>CRA 3-4 
ESTRUCTURA EN ALN-1101, 3 CUERPOS FIJOS, 3 HOJAS PROYECTANTES SUPERIORES DE 30CM DE ALTO, 3 MANIJAS DE LUJO CON RECIBIDOR INCORPORADO, BRAZOS EN ACERO, EMPAQUE DE CAUCHO EPDM MARCA EXTRUSIONES, VIDRIO TEMPLADO 6MM INCOLORO, ALUMINIO COLOR NEGRO PINTURA. (LONGITUDES DE 2,865 DE ANCHO*1,45 DE ALTO)</t>
  </si>
  <si>
    <t>CALLE 27-1 
ESTRUCTURA EN ALN-1101, 4 CUERPOS FIJOS, 4 HOJAS PROYECTANTES SUPERIORES DE 30CM DE ALTO, 4 MANIJAS DE LUJO CON RECIBIDOR INCORPORADO, BRAZOS EN ACERO, EMPAQUE DE CAUCHO EPDM MARCA EXTRUSIONES, VIDRIO TEMPLADO 6MM INCOLORO, ALUMINIO COLOR NEGRO PINTURA. (LONGITUDES DE 4,3 DE ANCHO*1,45 DE ALTO)</t>
  </si>
  <si>
    <t>CALLE 27-2 
ESTRUCTURA EN ALN-1101, 3 CUERPOS FIJOS, 3 HOJAS PROYECTANTES SUPERIORES DE 30CM DE ALTO, 3 MANIJAS DE LUJO CON RECIBIDOR INCORPORADO, BRAZOS EN ACERO, EMPAQUE DE CAUCHO EPDM MARCA EXTRUSIONES, VIDRIO TEMPLADO 6MM INCOLORO, ALUMINIO COLOR NEGRO PINTURA. (LONGITUDES DE 3,12 DE ANCHO*1,45 DE ALTO)</t>
  </si>
  <si>
    <t>CALLE 27-3 
ESTRUCTURA EN ALN-1101, 3 CUERPOS FIJOS, 3 HOJAS PROYECTANTES SUPERIORES DE 30CM DE ALTO, 3 MANIJAS DE LUJO CON RECIBIDOR INCORPORADO, BRAZOS EN ACERO, EMPAQUE DE CAUCHO EPDM MARCA EXTRUSIONES, VIDRIO TEMPLADO 6MM INCOLORO, ALUMINIO COLOR NEGRO PINTURA. (LONGITUDES DE 3,075 DE ANCHO*1,45 DE ALTO)</t>
  </si>
  <si>
    <t>CALLE 27-4 
ESTRUCTURA EN ALN-1101, 4 CUERPOS FIJOS, 4 HOJAS PROYECTANTES SUPERIORES DE 30CM DE ALTO, 4 MANIJAS DE LUJO CON RECIBIDOR INCORPORADO, BRAZOS EN ACERO, EMPAQUE DE CAUCHO EPDM MARCA EXTRUSIONES, VIDRIO TEMPLADO 6MM INCOLORO, ALUMINIO COLOR NEGRO PINTURA. (LONGITUDES DE 3,815 DE ANCHO* 1,450 DE ALTO)</t>
  </si>
  <si>
    <t>CRA 2-1 
ESTRUCTURA EN ALN-1101, 3 CUERPOS FIJOS, 3 HOJAS PROYECTANTES SUPERIORES DE 30CM DE ALTO, 3 MANIJAS DE LUJO CON RECIBIDOR INCORPORADO, BRAZOS EN ACERO, EMPAQUE DE CAUCHO EPDM MARCA EXTRUSIONES, VIDRIO TEMPLADO 6MM INCOLORO, ALUMINIO COLOR NEGRO PINTURA. (LONGITUDES DE 2,858 DE ANCHO* 1,45 DE ALTO)</t>
  </si>
  <si>
    <t>CRA 2-2 
ESTRUCTURA EN ALN-1101, 2 CUERPOS FIJOS, 2 HOJAS PROYECTANTES SUPERIORES DE 30CM DE ALTO, 2 MANIJAS DE LUJO CON RECIBIDOR INCORPORADO, BRAZOS EN ACERO, EMPAQUE DE CAUCHO EPDM MARCA EXTRUSIONES, VIDRIO TEMPLADO 6MM INCOLORO, ALUMINIO COLOR NEGRO PINTURA. (LONGITUDES DE 1,86 DE ANCHO* 1,45 DE ALTO)</t>
  </si>
  <si>
    <t>CRA 2-3 
ESTRUCTURA EN ALN-1101, 2 CUERPOS FIJOS, 2 HOJAS PROYECTANTES SUPERIORES DE 30CM DE ALTO, 2 MANIJAS DE LUJO CON RECIBIDOR INCORPORADO, BRAZOS EN ACERO, EMPAQUE DE CAUCHO EPDM MARCA EXTRUSIONES, VIDRIO TEMPLADO 6MM INCOLORO, ALUMINIO COLOR NEGRO PINTURA.  (LONGITUDES DE 1,458 DE ANCHO* 1,45 DE ALTO)</t>
  </si>
  <si>
    <t>CRA 2-4 
ESTRUCTURA EN ALN-1101, 1 CUERPO FIJO, 1 HOJA PROYECTANTES SUPERIOR DE 30CM DE ALTO, 1 MANIJA DE LUJO CON RECIBIDOR INCORPORADO, BRAZOS EN ACERO, EMPAQUE DE CAUCHO EPDM MARCA EXTRUSIONES, VIDRIO TEMPLADO 6MM INCOLORO, ALUMINIO COLOR NEGRO PINTURA. LONGITUDES DE 0,875 DE ANCHO* 1,45 DE ALTO)</t>
  </si>
  <si>
    <t>CRA 2-5 
ESTRUCTURA EN ALN-1101, 1 CUERPO FIJO, 1 HOJA PROYECTANTES SUPERIOR DE 30CM DE ALTO, 1 MANIJA DE LUJO CON RECIBIDOR INCORPORADO, BRAZOS EN ACERO, EMPAQUE DE CAUCHO EPDM MARCA EXTRUSIONES, VIDRIO TEMPLADO 6MM INCOLORO, ALUMINIO COLOR NEGRO PINTURA. (LONGITUDES DE 0,855 DE ANCHO* 1,45 DE ALTO)</t>
  </si>
  <si>
    <t xml:space="preserve"> CRA 2-6 
ESTRUCTURA EN ALN-1101, 3 CUERPOS FIJOS, 3 HOJAS PROYECTANTES SUPERIORES DE 30CM DE ALTO, 3 MANIJAS DE LUJO CON RECIBIDOR INCORPORADO, BRAZOS EN ACERO, EMPAQUE DE CAUCHO EPDM MARCA EXTRUSIONES, VIDRIO TEMPLADO 6MM INCOLORO, ALUMINIO COLOR NEGRO PINTURA. (LONGITUDES DE 2,338 ANCHO* 1,45 DE ALTO)</t>
  </si>
  <si>
    <t>CRA 2-7 
ESTRUCTURA EN ALN-1101, 3 CUERPOS FIJOS, 3 HOJAS PROYECTANTES SUPERIORES DE 30CM DE ALTO, 3 MANIJAS DE LUJO CON RECIBIDOR INCORPORADO, BRAZOS EN ACERO, EMPAQUE DE CAUCHO EPDM MARCA EXTRUSIONES, VIDRIO TEMPLADO 6MM INCOLORO, ALUMINIO COLOR NEGRO PINTURA. (LONGITUDES DE 2,845 DE ANCHO* 1,45 DE ALTO)</t>
  </si>
  <si>
    <t>CALLE 26-1 
ESTRUCTURA EN ALN-1101, 4 CUERPOS FIJOS, 4 HOJAS PROYECTANTES SUPERIORES DE 30CM DE ALTO, 4 MANIJAS DE LUJO CON RECIBIDOR INCORPORADO, BRAZOS EN ACERO, EMPAQUE DE CAUCHO EPDM MARCA EXTRUSIONES, VIDRIO TEMPLADO 6MM INCOLORO, ALUMINIO COLOR NEGRO PINTURA. (LONGITUDES DE 3,80 DE ANCHO* 1,45 DE ALTO)</t>
  </si>
  <si>
    <t>CALLE 26-2 
ESTRUCTURA EN ALN-1101, 4 CUERPOS FIJOS, 4 HOJAS PROYECTANTES SUPERIORES DE 30CM DE ALTO, 4 MANIJAS DE LUJO CON RECIBIDOR INCORPORADO, BRAZOS EN ACERO, EMPAQUE DE CAUCHO EPDM MARCA EXTRUSIONES, VIDRIO TEMPLADO 6MM INCOLORO, ALUMINIO COLOR NEGRO PINTURA. (LONGITUDES DE 4,102 DE ANCHO* 1,45 DE ALTO)</t>
  </si>
  <si>
    <t>CRA 26-3 
ESTRUCTURA EN ALN-1101, 3 CUERPOS FIJOS, 3 HOJAS PROYECTANTES SUPERIORES DE 30CM DE ALTO, 3 MANIJAS DE LUJO CON RECIBIDOR INCORPORADO, BRAZOS EN ACERO, EMPAQUE DE CAUCHO EPDM MARCA EXTRUSIONES, VIDRIO TEMPLADO 6MM INCOLORO, ALUMINIO COLOR NEGRO PINTURA. (LONGITUDES DE 2,51 DE ANCHO* 1,45 DE ALTO)</t>
  </si>
  <si>
    <t xml:space="preserve">BAÑOS
VENTANA CORREDIZA 744, 2 HOJAS CORREDIZAS, 1 CUERPOS FIJO SUPERIOR EN 3 X 1", 2 SEGUROS DE IMPACTO UDINESE, EMPAQUE DE CAUCHO EDPM MARCA EXTRUSIONES, ALUMINIO COLOR  NEGRO, VIDRIO FLOTADO CRUDO 4MM INCOLORO.  </t>
  </si>
  <si>
    <t>CRA 3-1 
VENTANA CORREDIZA 744 EN ELE, 1 HOJA CORREDIZA, 2 CUERPOS FIJOS LATERALES, 1 SEGURO DE IMPACTO UDINESE, EMPAQUE DE CAUCHO EDPM MARCA EXTRUSIONES, ALUMINIO COLOR  NEGRO, VIDRIO FLOTADO CRUDO 4MM INCOLORO. (LONGITUDES DE 1,86*0,87 DE ANCHO*1,58 DE ALTO)</t>
  </si>
  <si>
    <t>CRA 3-2 
ESTRUCTURA EN ALN-1101, 2 CUERPOS FIJOS, 2 HOJAS PROYECTANTES SUPERIORES DE 30CM DE ALTO, 2 MANIJAS DE LUJO CON RECIBIDOR INCORPORADO, BRAZOS EN ACERO, EMPAQUE DE CAUCHO EPDM MARCA EXTRUSIONES, VIDRIO TEMPLADO 6MM INCOLORO, ALUMINIO COLOR NEGRO PINTURA. (LONGITUDES DE 1,415 DE ANCHO*1,45 DE ALTO)</t>
  </si>
  <si>
    <t>CRA 3-3 
ESTRUCTURA EN ALN-1101, 6 CUERPOS FIJOS, 6 HOJAS PROYECTANTES SUPERIORES DE 30CM DE ALTO, 6 MANIJAS DE LUJO CON RECIBIDOR INCORPORADO, BRAZOS EN ACERO, EMPAQUE DE CAUCHO EPDM MARCA EXTRUSIONES, VIDRIO TEMPLADO 6MM INCOLORO, ALUMINIO COLOR NEGRO PINTURA.  (LONGITUDES DE 6,41 DE ANCHO*1,45 DE ALTO)</t>
  </si>
  <si>
    <t>CALLE 27-1 
ESTRUCTURA EN ALN-1101, 6 CUERPOS FIJOS, 6 HOJAS PROYECTANTES SUPERIORES DE 30CM DE ALTO, 6 MANIJAS DE LUJO CON RECIBIDOR INCORPORADO, BRAZOS EN ACERO, EMPAQUE DE CAUCHO EPDM MARCA EXTRUSIONES, VIDRIO TEMPLADO 6MM INCOLORO, ALUMINIO COLOR NEGRO PINTURA. (LONGITUDES DE 5,04 DE ANCHO*1,45 DE ALTO)</t>
  </si>
  <si>
    <t>CALLE 27-2 
ESTRUCTURA EN ALN-1101, 3 CUERPOS FIJOS, 3 HOJAS PROYECTANTES SUPERIORES DE 30CM DE ALTO, 3 MANIJAS DE LUJO CON RECIBIDOR INCORPORADO, BRAZOS EN ACERO, EMPAQUE DE CAUCHO EPDM MARCA EXTRUSIONES, VIDRIO TEMPLADO 6MM INCOLORO, ALUMINIO COLOR NEGRO PINTURA. (LONGITUDES DE 3,00 DE ANCHO*1,45 DE ALTO)</t>
  </si>
  <si>
    <t>CALLE 27-3 
ESTRUCTURA EN ALN-1101, 6 CUERPOS FIJOS, 6 HOJAS PROYECTANTES SUPERIORES DE 30CM DE ALTO, 6 MANIJAS DE LUJO CON RECIBIDOR INCORPORADO, BRAZOS EN ACERO, EMPAQUE DE CAUCHO EPDM MARCA EXTRUSIONES, VIDRIO TEMPLADO 6MM INCOLORO, ALUMINIO COLOR NEGRO PINTURA. (LONGITUDES DE 6,07 DE ANCHO*1,45 DE ALTO)</t>
  </si>
  <si>
    <t>CRA 2-1 
ESTRUCTURA EN ALN-1101, 2 CUERPOS FIJOS, 2 HOJAS PROYECTANTES SUPERIORES DE 30CM DE ALTO, 2 MANIJAS DE LUJO CON RECIBIDOR INCORPORADO, BRAZOS EN ACERO, EMPAQUE DE CAUCHO EPDM MARCA EXTRUSIONES, VIDRIO TEMPLADO 6MM INCOLORO, ALUMINIO COLOR NEGRO PINTURA. (LONGITUDES DE 1,578 DE ANCHO*1,45 DE ALTO)</t>
  </si>
  <si>
    <t>CRA 2-2 
ESTRUCTURA EN ALN-1101, 1 CUERPO FIJO, 1 HOJA PROYECTANTES SUPERIOR DE 30CM DE ALTO, 1 MANIJA DE LUJO CON RECIBIDOR INCORPORADO, BRAZOS EN ACERO, EMPAQUE DE CAUCHO EPDM MARCA EXTRUSIONES, VIDRIO TEMPLADO 6MM INCOLORO, ALUMINIO COLOR NEGRO PINTURA. (LONGITUDES DE 1,283 DE ANCHO* 1,45 DE ALTO)</t>
  </si>
  <si>
    <t>CRA 2-3 
ESTRUCTURA EN ALN-1101, 3 CUERPOS FIJOS, 3 HOJAS PROYECTANTES SUPERIORES DE 30CM DE ALTO, 3 MANIJAS DE LUJO CON RECIBIDOR INCORPORADO, BRAZOS EN ACERO, EMPAQUE DE CAUCHO EPDM MARCA EXTRUSIONES, VIDRIO TEMPLADO 6MM INCOLORO, ALUMINIO COLOR NEGRO PINTURA.  (LONGITUDES DE 2,536 DE ANCHO* 1,45 DE ALTO)</t>
  </si>
  <si>
    <t>CRA 2-4 
ESTRUCTURA EN ALN-1101, 2 CUERPOS FIJOS, 2 HOJAS PROYECTANTES SUPERIORES DE 30CM DE ALTO, 2 MANIJAS DE LUJO CON RECIBIDOR INCORPORADO, BRAZOS EN ACERO, EMPAQUE DE CAUCHO EPDM MARCA EXTRUSIONES, VIDRIO TEMPLADO 6MM INCOLORO, ALUMINIO COLOR NEGRO PINTURA.  (LONGITUDES DE 1,443 DE ANCHO* 1,45 DE ALTO)</t>
  </si>
  <si>
    <t>CRA 2-5 
ESTRUCTURA EN ALN-1101, 3 CUERPOS FIJOS, 3 HOJAS PROYECTANTES SUPERIORES DE 30CM DE ALTO, 3 MANIJAS DE LUJO CON RECIBIDOR INCORPORADO, BRAZOS EN ACERO, EMPAQUE DE CAUCHO EPDM MARCA EXTRUSIONES, VIDRIO TEMPLADO 6MM INCOLORO, ALUMINIO COLOR NEGRO PINTURA. (LONGITUDES DE 2,478 DE ANCHO* 1,45 DE ALTO)</t>
  </si>
  <si>
    <t>CRA 2-6 
ESTRUCTURA EN ALN-1101, 2 CUERPOS FIJOS, 2 HOJAS PROYECTANTES SUPERIORES DE 30CM DE ALTO, 2 MANIJAS DE LUJO CON RECIBIDOR INCORPORADO, BRAZOS EN ACERO, EMPAQUE DE CAUCHO EPDM MARCA EXTRUSIONES, VIDRIO TEMPLADO 6MM INCOLORO, ALUMINIO COLOR NEGRO PINTURA. (LONGITUDES DE 1,835 DE ANCHO* 1,45 DE ALTO)</t>
  </si>
  <si>
    <t>CALLE 26-1 
ESTRUCTURA EN ALN-1101, 4 CUERPOS FIJOS, 4 HOJAS PROYECTANTES SUPERIORES DE 30CM DE ALTO, 4 MANIJAS DE LUJO CON RECIBIDOR INCORPORADO, BRAZOS EN ACERO, EMPAQUE DE CAUCHO EPDM MARCA EXTRUSIONES, VIDRIO TEMPLADO 6MM INCOLORO, ALUMINIO COLOR NEGRO PINTURA. (LONGITUDES DE 3,624 DE ANCHO* 1,45 DE ALTO)</t>
  </si>
  <si>
    <t>CALLE 26-2 
ESTRUCTURA EN ALN-1101, 3 CUERPOS FIJOS, 3 HOJAS PROYECTANTES SUPERIORES DE 30CM DE ALTO, 3 MANIJAS DE LUJO CON RECIBIDOR INCORPORADO, BRAZOS EN ACERO, EMPAQUE DE CAUCHO EPDM MARCA EXTRUSIONES, VIDRIO TEMPLADO 6MM INCOLORO, ALUMINIO COLOR NEGRO PINTURA. (LONGITUDES DE 2,338 DE ANCHO* 1,45 DE ALTO)</t>
  </si>
  <si>
    <t>CALLE 26-3 
ESTRUCTURA EN ALN-1101, 4 CUERPOS FIJOS, 4 HOJAS PROYECTANTES SUPERIORES DE 30CM DE ALTO, 4 MANIJAS DE LUJO CON RECIBIDOR INCORPORADO, BRAZOS EN ACERO, EMPAQUE DE CAUCHO EPDM MARCA EXTRUSIONES, VIDRIO TEMPLADO 6MM INCOLORO, ALUMINIO COLOR NEGRO PINTURA.  (LONGITUDES DE 4,145 DE ANCHO* 1,45 DE ALTO)</t>
  </si>
  <si>
    <t>CALLE 26 
VENTANA CORREDIZA 744, 2 HOJAS CORREDIZAS, 1 CUERPOS FIJO SUPERIOR EN 3 X 1", 2 SEGUROS DE IMPACTO UDINESE, EMPAQUE DE CAUCHO EDPM MARCA EXTRUSIONES, LUMINIO COLOR  NEGRO, VIDRIO FLOTADO CRUDO 4MM INCOLORO. (LONGITUDES DE 0,70 DE ANCHO* 1,45 DE ALTO)</t>
  </si>
  <si>
    <t>CRA 3-2 
ESTRUCTURA EN ALN-1101, 2 CUERPOS FIJOS, 2 HOJAS PROYECTANTES SUPERIORES DE 30CM DE ALTO, 2 MANIJAS DE LUJO CON RECIBIDOR INCORPORADO, BRAZOS EN ACERO, EMPAQUE DE CAUCHO EPDM MARCA EXTRUSIONES, VIDRIO TEMPLADO 6MM INCOLORO, ALUMINIO COLOR NEGRO PINTURA. (LONGITUDES DE 1,45 DE ANCHO*1,45 DE ALTO)</t>
  </si>
  <si>
    <t>CRA 3-3 
ESTRUCTURA EN ALN-1101, 6 CUERPOS FIJOS, 6 HOJAS PROYECTANTES SUPERIORES DE 30CM DE ALTO, 6 MANIJAS DE LUJO CON RECIBIDOR INCORPORADO, BRAZOS EN ACERO, EMPAQUE DE CAUCHO EPDM MARCA EXTRUSIONES, VIDRIO TEMPLADO 6MM INCOLORO, ALUMINIO COLOR NEGRO PINTURA. (LONGITUDES DE 6,585 DE ANCHO*1,45 DE ALTO)</t>
  </si>
  <si>
    <t>CALLE 27-1 
ESTRUCTURA EN ALN-1101, 4 CUERPOS FIJOS, 4 HOJAS PROYECTANTES SUPERIORES DE 30CM DE ALTO, 4 MANIJAS DE LUJO CON RECIBIDOR INCORPORADO, BRAZOS EN ACERO, EMPAQUE DE CAUCHO EPDM MARCA EXTRUSIONES, VIDRIO TEMPLADO 6MM INCOLORO, ALUMINIO COLOR NEGRO PINTURA. (LONGITUDES DE 3,804 DE ANCHO*1,45 DE ALTO)</t>
  </si>
  <si>
    <t>CALLE 27-2 
ESTRUCTURA EN ALN-1101, 4 CUERPOS FIJOS, 4 HOJAS PROYECTANTES SUPERIORES DE 30CM DE ALTO, 4 MANIJAS DE LUJO CON RECIBIDOR INCORPORADO, BRAZOS EN ACERO, EMPAQUE DE CAUCHO EPDM MARCA EXTRUSIONES, VIDRIO TEMPLADO 6MM INCOLORO, ALUMINIO COLOR NEGRO PINTURA. (LONGITUDES DE 3,674 DE ANCHO*1,45 DE ALTO)</t>
  </si>
  <si>
    <t>CALLE 27-3 
ESTRUCTURA EN ALN-1101, 3 CUERPOS FIJOS, 3 HOJAS PROYECTANTES SUPERIORES DE 30CM DE ALTO, 3 MANIJAS DE LUJO CON RECIBIDOR INCORPORADO, BRAZOS EN ACERO, EMPAQUE DE CAUCHO EPDM MARCA EXTRUSIONES, VIDRIO TEMPLADO 6MM INCOLORO, ALUMINIO COLOR NEGRO PINTURA. (LONGITUDES DE 3,146 DE ANCHO*1,45 DE ALTO)</t>
  </si>
  <si>
    <t>CALLE 27-4 
ESTRUCTURA EN ALN-1101, 3 CUERPOS FIJOS, 3 HOJAS PROYECTANTES SUPERIORES DE 30CM DE ALTO, 3 MANIJAS DE LUJO CON RECIBIDOR INCORPORADO, BRAZOS EN ACERO, EMPAQUE DE CAUCHO EPDM MARCA EXTRUSIONES, VIDRIO TEMPLADO 6MM INCOLORO, ALUMINIO COLOR NEGRO PINTURA. (LONGITUDES DE 3,085 DE ANCHO*1,45 DE ALTO)</t>
  </si>
  <si>
    <t>CRA 2-1 
ESTRUCTURA EN ALN-1101, 2 CUERPOS FIJOS, 2 HOJAS PROYECTANTES SUPERIORES DE 30CM DE ALTO, 2 MANIJAS DE LUJO CON RECIBIDOR INCORPORADO, BRAZOS EN ACERO, EMPAQUE DE CAUCHO EPDM MARCA EXTRUSIONES, VIDRIO TEMPLADO 6MM INCOLORO, ALUMINIO COLOR NEGRO PINTURA. (LONGITUDES DE 1,602 DE ANCHO* 1,45 DE ALTO)</t>
  </si>
  <si>
    <t>CRA 2-2 
ESTRUCTURA EN ALN-1101, 4 CUERPOS FIJOS, 4 HOJAS PROYECTANTES SUPERIORES DE 30CM DE ALTO, 4 MANIJAS DE LUJO CON RECIBIDOR INCORPORADO, BRAZOS EN ACERO, EMPAQUE DE CAUCHO EPDM MARCA EXTRUSIONES, VIDRIO TEMPLADO 6MM INCOLORO, ALUMINIO COLOR NEGRO PINTURA. (LONGITUDES DE 4,042 DE ANCHO* 1,45 DE ALTO)</t>
  </si>
  <si>
    <t>CRA 2-3 
ESTRUCTURA EN ALN-1101, 2 CUERPOS FIJOS, 2 HOJAS PROYECTANTES SUPERIORES DE 30CM DE ALTO, 2 MANIJAS DE LUJO CON RECIBIDOR INCORPORADO, BRAZOS EN ACERO, EMPAQUE DE CAUCHO EPDM MARCA EXTRUSIONES, VIDRIO TEMPLADO 6MM INCOLORO, ALUMINIO COLOR NEGRO PINTURA. (LONGITUDES DE 1,443 DE ANCHO* 1,45 DE ALTO)</t>
  </si>
  <si>
    <t>CRA 2-4 
ESTRUCTURA EN ALN-1101, 3 CUERPOS FIJOS, 3 HOJAS PROYECTANTES SUPERIORES DE 30CM DE ALTO, 3 MANIJAS DE LUJO CON RECIBIDOR INCORPORADO, BRAZOS EN ACERO, EMPAQUE DE CAUCHO EPDM MARCA EXTRUSIONES, VIDRIO TEMPLADO 6MM INCOLORO, ALUMINIO COLOR NEGRO PINTURA. (LONGITUDES DE 2,764 DE ANCHO* 1,45 DE ALTO)</t>
  </si>
  <si>
    <t>CRA 2-5 
ESTRUCTURA EN ALN-1101, 2 CUERPOS FIJOS, 2 HOJAS PROYECTANTES SUPERIORES DE 30CM DE ALTO, 2 MANIJAS DE LUJO CON RECIBIDOR INCORPORADO, BRAZOS EN ACERO, EMPAQUE DE CAUCHO EPDM MARCA EXTRUSIONES, VIDRIO TEMPLADO 6MM INCOLORO, ALUMINIO COLOR NEGRO PINTURA. (LONGITUDES DE 1,922 DE ANCHO* 1,45 DE ALTO)</t>
  </si>
  <si>
    <t>CALLE 26-1 
ESTRUCTURA EN ALN-1101, 3 CUERPOS FIJOS, 3 HOJAS PROYECTANTES SUPERIORES DE 30CM DE ALTO, 3 MANIJAS DE LUJO CON RECIBIDOR INCORPORADO, BRAZOS EN ACERO, EMPAQUE DE CAUCHO EPDM MARCA EXTRUSIONES, VIDRIO TEMPLADO 6MM INCOLORO, ALUMINIO COLOR NEGRO PINTURA. (LONGITUDES DE 3,10 DE ANCHO* 1,45 DE ALTO)</t>
  </si>
  <si>
    <t xml:space="preserve"> CALLE 26-2 
ESTRUCTURA EN ALN-1101, 3 CUERPOS FIJOS, 3 HOJAS PROYECTANTES SUPERIORES DE 30CM DE ALTO, 3 MANIJAS DE LUJO CON RECIBIDOR INCORPORADO, BRAZOS EN ACERO, EMPAQUE DE CAUCHO EPDM MARCA EXTRUSIONES, VIDRIO TEMPLADO 6MM INCOLORO, ALUMINIO COLOR NEGRO PINTURA. (LONGITUDES DE 3,143 DE ANCHO* 1,45 DE ALTO)</t>
  </si>
  <si>
    <t>CALLE 26-3 
ESTRUCTURA EN ALN-1101, 4 CUERPOS FIJOS, 4 HOJAS PROYECTANTES SUPERIORES DE 30CM DE ALTO, 4 MANIJAS DE LUJO CON RECIBIDOR INCORPORADO, BRAZOS EN ACERO, EMPAQUE DE CAUCHO EPDM MARCA EXTRUSIONES, VIDRIO TEMPLADO 6MM INCOLORO, ALUMINIO COLOR NEGRO PINTURA. (LONGITUDES DE 3,562 DE ANCHO* 1,45 DE ALTO)</t>
  </si>
  <si>
    <t>CALLE 26 BAÑO 
VENTANA CORREDIZA 744, 2 HOJAS CORREDIZAS, 1 CUERPOS FIJO SUPERIOR EN 3 X 1", 2 SEGUROS DE IMPACTO UDINESE, EMPAQUE DE CAUCHO EDPM MARCA EXTRUSIONES, ALUMINIO COLOR  NEGRO, VIDRIO FLOTADO CRUDO 4MM INCOLORO. (LONGITUDES DE 0,70 DE ANCHO* 1,65 DE ALTO)</t>
  </si>
  <si>
    <t>CRA 3-1 
VENTANA CORREDIZA 744 EN ELE, 1 HOJA CORREDIZA, 2 CUERPOS FIJOS LATERALES, 1 SEGURO DE IMPACTO UDINESE, EMPAQUE DE CAUCHO EDPM MARCA EXTRUSIONES, ALUMINIO COLOR  NEGRO, VIDRIO FLOTADO CRUDO 4MM INCOLORO. (LONGITUDES DE 0,89*1,84 DE ANCHO*1,58 DE ALTO)</t>
  </si>
  <si>
    <t>CRA 3-2 
ESTRUCTURA EN ALN-1101, 2 CUERPOS FIJOS, 2 HOJAS PROYECTANTES SUPERIORES DE 30CM DE ALTO, 2 MANIJAS  DE LUJO CON RECIBIDOR INCORPORADO, BRAZOS EN ACERO, EMPAQUE DE CAUCHO EPDM MARCA EXTRUSIONES, VIDRIO TEMPLADO 6MM INCOLORO, ALUMINIO COLOR NEGRO PINTURA. (LONGITUDES DE 1,437 DE ANCHO*1,45 DE ALTO)</t>
  </si>
  <si>
    <t>CRA 3-3 
ESTRUCTURA EN ALN-1101, 6 CUERPOS FIJOS, 6 HOJAS PROYECTANTES SUPERIORES DE 30CM DE ALTO, 6 MANIJAS DE LUJO CON RECIBIDOR INCORPORADO, BRAZOS EN ACERO, EMPAQUE DE CAUCHO EPDM MARCA EXTRUSIONES, VIDRIO TEMPLADO 6MM INCOLORO, ALUMINIO COLOR NEGRO PINTURA. (LONGITUDES DE 6,60 DE ANCHO*1,45 DE ALTO)</t>
  </si>
  <si>
    <t>CALLE 27-1 
ESTRUCTURA EN ALN-1101, 4 CUERPOS FIJOS, 4 HOJAS PROYECTANTES SUPERIORES DE 30CM DE ALTO, 4 MANIJAS DE LUJO CON RECIBIDOR INCORPORADO, BRAZOS EN ACERO, EMPAQUE DE CAUCHO EPDM MARCA EXTRUSIONES, VIDRIO TEMPLADO 6MM INCOLORO, ALUMINIO COLOR NEGRO PINTURA. (LONGITUDES DE 3,815 DE ANCHO*1,45 DE ALTO)</t>
  </si>
  <si>
    <t>CALLE 27-2 
ESTRUCTURA EN ALN-1101, 4 CUERPOS FIJOS, 4 HOJAS PROYECTANTES SUPERIORES DE 30CM DE ALTO, 4 MANIJAS DE LUJO CON RECIBIDOR INCORPORADO, BRAZOS EN ACERO, EMPAQUE DE CAUCHO EPDM MARCA EXTRUSIONES, VIDRIO TEMPLADO 6MM INCOLORO, ALUMINIO COLOR NEGRO PINTURA. (LONGITUDES DE 3,678 DE ANCHO*1,45 DE ALTO)</t>
  </si>
  <si>
    <t>CALLE 27-3 
ESTRUCTURA EN ALN-1101, 3 CUERPOS FIJOS, 3 HOJAS PROYECTANTES SUPERIORES DE 30CM DE ALTO, 3 MANIJAS DE LUJO CON RECIBIDOR INCORPORADO, BRAZOS EN ACERO, EMPAQUE DE CAUCHO EPDM MARCA EXTRUSIONES, VIDRIO TEMPLADO 6MM INCOLORO, ALUMINIO COLOR NEGRO PINTURA.  (LONGITUDES DE 3,108 DE ANCHO*1,45 DE ALTO)</t>
  </si>
  <si>
    <t>CALLE 27-4 
ESTRUCTURA EN ALN-1101, 3 CUERPOS FIJOS, 3 HOJAS PROYECTANTES SUPERIORES DE 30CM DE ALTO, 3 MANIJAS DE LUJO CON RECIBIDOR INCORPORADO, BRAZOS EN ACERO, EMPAQUE DE CAUCHO EPDM MARCA EXTRUSIONES, VIDRIO TEMPLADO 6MM INCOLORO, ALUMINIO COLOR NEGRO PINTURA. (LONGITUDES DE 3,179 DE ANCHO*1,45 DE ALTO)</t>
  </si>
  <si>
    <t>CRA 2-1 
ESTRUCTURA EN ALN-1101, 2 CUERPOS FIJOS, 2 HOJAS PROYECTANTES SUPERIORES DE 30CM DE ALTO, 2 MANIJAS DE LUJO CON RECIBIDOR INCORPORADO, BRAZOS EN ACERO, EMPAQUE DE CAUCHO EPDM MARCA EXTRUSIONES, VIDRIO TEMPLADO 6MM INCOLORO, ALUMINIO COLOR NEGRO PINTURA (LONGITUDES DE 1,70 DE ANCHO* 1,45 DE ALTO)</t>
  </si>
  <si>
    <t>CRA 2-2 
ESTRUCTURA EN ALN-1101, 4 CUERPOS FIJOS, 4 HOJAS PROYECTANTES SUPERIORES DE 30CM DE ALTO, 4 MANIJAS DE LUJO CON RECIBIDOR INCORPORADO, BRAZOS EN ACERO, EMPAQUE DE CAUCHO EPDM MARCA EXTRUSIONES, VIDRIO TEMPLADO 6MM INCOLORO, ALUMINIO COLOR NEGRO PINTURA. (LONGITUDES DE 4,045 DE ANCHO* 1,450 DE ALTO)</t>
  </si>
  <si>
    <t>CRA 2-3 
ESTRUCTURA EN ALN-1101, 2 CUERPOS FIJOS, 2 HOJAS PROYECTANTES SUPERIORES DE 30CM DE ALTO, 2 MANIJAS DE LUJO CON RECIBIDOR INCORPORADO, BRAZOS EN ACERO, EMPAQUE DE CAUCHO EPDM MARCA EXTRUSIONES, VIDRIO TEMPLADO 6MM INCOLORO, ALUMINIO COLOR NEGRO PINTURA. (LONGITUDES DE 1,97 DE ANCHO* 1,45 DE ALTO)</t>
  </si>
  <si>
    <t>CRA 2-4 
ESTRUCTURA EN ALN-1101, 3 CUERPOS FIJOS, 3 HOJAS PROYECTANTES SUPERIORES DE 30CM DE ALTO, 3 MANIJAS DE LUJO CON RECIBIDOR INCORPORADO, BRAZOS EN ACERO, EMPAQUE DE CAUCHO EPDM MARCA EXTRUSIONES, VIDRIO TEMPLADO 6MM INCOLORO, ALUMINIO COLOR NEGRO PINTURA. (LONGITUDES DE 2,859 DE ANCHO* 1,45 DE ALTO)</t>
  </si>
  <si>
    <t>CRA 2-5 
ESTRUCTURA EN ALN-1101, 2 CUERPOS FIJOS, 2 HOJAS PROYECTANTES SUPERIORES DE 30CM DE ALTO, 2 MANIJAS DE LUJO CON RECIBIDOR INCORPORADO, BRAZOS EN ACERO, EMPAQUE DE CAUCHO EPDM MARCA EXTRUSIONES, VIDRIO TEMPLADO 6MM INCOLORO, ALUMINIO COLOR NEGRO PINTURA. (LONGITUDES DE 2,037 DE ANCHO* 1,45 DE ALTO)</t>
  </si>
  <si>
    <t>CALLE 26-1 
ESTRUCTURA EN ALN-1101, 3 CUERPOS FIJOS, 3 HOJAS PROYECTANTES SUPERIORES DE 30CM DE ALTO, 3 MANIJAS DE LUJO CON RECIBIDOR INCORPORADO, BRAZOS EN ACERO, EMPAQUE DE CAUCHO EPDM MARCA EXTRUSIONES, VIDRIO TEMPLADO 6MM INCOLORO, ALUMINIO COLOR NEGRO PINTURA. (LONGITUDES DE 3,175 DE ANCHO* 1,45 DE ALTO)</t>
  </si>
  <si>
    <t>CALLE 26-2 
ESTRUCTURA EN ALN-1101, 3 CUERPOS FIJOS, 3 HOJAS PROYECTANTES SUPERIORES DE 30CM DE ALTO, 3 MANIJAS DE LUJO CON RECIBIDOR INCORPORADO, BRAZOS EN ACERO,EMPAQUE DE CAUCHO EPDM MARCA EXTRUSIONES, VIDRIO TEMPLADO 6MM INCOLORO, ALUMINIO COLOR NEGRO PINTURA.  (LONGITUDES DE 3,106 DE ANCHO* 1,45 DE ALTO)</t>
  </si>
  <si>
    <t>CALLE 26-3 
ESTRUCTURA EN ALN-1101, 4 CUERPOS FIJOS, 4 HOJAS PROYECTANTES SUPERIORES DE 30CM DE ALTO, 4 MANIJAS DE LUJO CON RECIBIDOR INCORPORADO, BRAZOS EN ACERO, EMPAQUE DE CAUCHO EPDM MARCA EXTRUSIONES, VIDRIO TEMPLADO 6MM INCOLORO, ALUMINIO COLOR NEGRO PINTURA. (LONGITUDES DE 3,586 DE ANCHO* 1,45 DE ALTO)</t>
  </si>
  <si>
    <t>CRA 3-1 
VENTANA CORREDIZA 744 EN ELE, 1 HOJA CORREDIZA, 2 CUERPOS FIJOS LATERALES, 1 SEGURO DE IMPACTO UDINESE, EMPAQUE DE CAUCHO EDPM MARCA EXTRUSIONES, ALUMINIO COLOR  NEGRO, VIDRIO FLOTADO CRUDO 4MM INCOLORO.  (LONGITUDES DE 0,855* 1,875DE ANCHO*1,58 DE ALTO)</t>
  </si>
  <si>
    <t>CRA 3-2 
ESTRUCTURA EN ALN-1101, 3 CUERPOS FIJOS, 3 HOJAS PROYECTANTES SUPERIORES DE 30CM DE ALTO, 3 MANIJAS DE LUJO CON RECIBIDOR INCORPORADO, BRAZOS EN ACERO, EMPAQUE DE CAUCHO EPDM MARCA EXTRUSIONES, VIDRIO TEMPLADO 6MM INCOLORO, ALUMINIO COLOR NEGRO PINTURA.(LONGITUDES DE 3,014 DE ANCHO*1,46 DE ALTO)</t>
  </si>
  <si>
    <t>CRA 3-3 
ESTRUCTURA EN ALN-1101, 5 CUERPOS FIJOS, 5 HOJAS PROYECTANTES SUPERIORES DE 30CM DE ALTO, 5 MANIJAS DE LUJO CON RECIBIDOR INCORPORADO, BRAZOS EN ACERO, EMPAQUE DE CAUCHO EPDM MARCA EXTRUSIONES, VIDRIO TEMPLADO 6MM INCOLORO, ALUMINIO COLOR NEGRO PINTURA. (LONGITUDES DE 5,10 DE ANCHO*1,46 DE ALTO)</t>
  </si>
  <si>
    <t>CALLE 27-1 
ESTRUCTURA EN ALN-1101, 5 CUERPOS FIJOS, 5 HOJAS PROYECTANTES SUPERIORES DE 30CM DE ALTO, 5 MANIJAS DE LUJO CON RECIBIDOR INCORPORADO, BRAZOS EN ACERO, EMPAQUE DE CAUCHO EPDM MARCA EXTRUSIONES, VIDRIO TEMPLADO 6MM INCOLORO, ALUMINIO COLOR NEGRO PINTURA.  (LONGITUDES DE 4,85 DE ANCHO*1,46 DE ALTO)</t>
  </si>
  <si>
    <t>CALLE 27-2 
ESTRUCTURA EN ALN-1101, 9 CUERPOS FIJOS, 9 HOJAS PROYECTANTES SUPERIORES DE 30CM DE ALTO, 9 MANIJAS DE LUJO CON RECIBIDOR INCORPORADO, BRAZOS EN ACERO, EMPAQUE DE CAUCHO EPDM MARCA EXTRUSIONES, VIDRIO TEMPLADO 6MM INCOLORO, ALUMINIO COLOR NEGRO PINTURA. (LONGITUDES DE 8,957 DE ANCHO*1,46 DE ALTO)</t>
  </si>
  <si>
    <t>CRA 2-1 
ESTRUCTURA EN ALN-1101, 2 CUERPOS FIJOS, 2 HOJAS PROYECTANTES SUPERIORES DE 30CM DE ALTO, 2 MANIJAS DE LUJO CON RECIBIDOR INCORPORADO, BRAZOS EN ACERO, EMPAQUE DE CAUCHO EPDM MARCA EXTRUSIONES, VIDRIO TEMPLADO 6MM INCOLORO, ALUMINIO COLOR NEGRO PINTURA.  (LONGITUDES DE 1,749 DE ANCHO*1,46 DE ALTO)</t>
  </si>
  <si>
    <t>CRA 2-2 
ESTRUCTURA EN ALN-1101, 8 CUERPOS FIJOS, 8 HOJAS PROYECTANTES SUPERIORES DE 30CM DE ALTO, 8 MANIJASDE LUJO CON RECIBIDOR INCORPORADO, BRAZOS EN ACERO, EMPAQUE DE CAUCHO EPDM MARCA EXTRUSIONES, VIDRIO TEMPLADO 6MM INCOLORO, ALUMINIO COLOR NEGRO PINTURA. (LONGITUDES DE 7,483 DE ANCHO*1,46 DE ALTO)</t>
  </si>
  <si>
    <t>CRA 2-3 
ESTRUCTURA EN ALN-1101, 1 CUERPO FIJO, 1 HOJA PROYECTANTES SUPERIOR DE 30CM DE ALTO, 1 MANIJA DE LUJO CON RECIBIDOR INCORPORADO, BRAZOS EN ACERO, EMPAQUE DE CAUCHO EPDM MARCA EXTRUSIONES, VIDRIO TEMPLADO 6MM INCOLORO, ALUMINIO COLOR NEGRO PINTURA.  (LONGITUDES DE 0,978DE ANCHO* 1,46 DE ALTO)</t>
  </si>
  <si>
    <t>CRA 2-4 
ESTRUCTURA EN ALN-1101, 2 CUERPOS FIJOS, 2 HOJAS PROYECTANTES SUPERIORES DE 30CM DE ALTO, 2 MANIJAS DE LUJO CON RECIBIDOR INCORPORADO, BRAZOS EN ACERO, EMPAQUE DE CAUCHO EPDM MARCA EXTRUSIONES, VIDRIO TEMPLADO 6MM INCOLORO, ALUMINIO COLOR NEGRO PINTURA. (LONGITUDES DE 1,97 DE ANCHO* 1,46 DE ALTO)</t>
  </si>
  <si>
    <t>CALLE 26-1 
ESTRUCTURA EN ALN-1101, 1 CUERPO FIJO, 1 HOJA PROYECTANTES SUPERIOR DE 30CM DE ALTO, 1 MANIJA DE LUJO CON RECIBIDOR INCORPORADO, BRAZOS EN ACERO, EMPAQUE DE CAUCHO EPDM MARCA EXTRUSIONES, VIDRIO TEMPLADO 6MM INCOLORO, ALUMINIO COLOR NEGRO PINTURA.  (LONGITUDES DE 1,191 DE ANCHO* 1,46 DE ALTO)</t>
  </si>
  <si>
    <t>CALLE 26-2 
ESTRUCTURA EN ALN-1101, 2 CUERPOS FIJOS, 2 HOJAS PROYECTANTES SUPERIORES DE 30CM DE ALTO, 2 MANIJAS DE LUJO CON RECIBIDOR INCORPORADO, BRAZOS EN ACERO, EMPAQUE DE CAUCHO EPDM MARCA EXTRUSIONES, VIDRIO TEMPLADO 6MM INCOLORO, ALUMINIO COLOR NEGRO PINTURA. (LONGITUDES DE 1,886 DE ANCHO* 1,46 DE ALTO)</t>
  </si>
  <si>
    <t>CALLE 26-3 
ESTRUCTURA EN ALN-1101, 1 CUERPO FIJO, 1 HOJA PROYECTANTES SUPERIOR DE 30CM DE ALTO, 1 MANIJA DE LUJO CON RECIBIDOR INCORPORADO, BRAZOS EN ACERO, EMPAQUE DE CAUCHO EPDM MARCA EXTRUSIONES, VIDRIO TEMPLADO 6MM INCOLORO, ALUMINIO COLOR NEGRO PINTURA.  (LONGITUDES DE 1,356 DE ANCHO* 1,46 DE ALTO)</t>
  </si>
  <si>
    <t>CALLE 26-4 
ESTRUCTURA EN ALN-1101, 4 CUERPOS FIJOS, 4 HOJAS PROYECTANTES SUPERIORES DE 30CM DE ALTO, 4 MANIJAS DE LUJO CON RECIBIDOR INCORPORADO, BRAZOS EN ACERO, EMPAQUE DE CAUCHO EPDM MARCA EXTRUSIONES, VIDRIO TEMPLADO 6MM INCOLORO, ALUMINIO COLOR NEGRO PINTURA. (LONGITUDES DE 3,528 DE ANCHO* 1,46 DE ALTO)</t>
  </si>
  <si>
    <t>CALLE 26-5 
ESTRUCTURA EN ALN-1101, 2 CUERPOS FIJOS, 2 HOJAS PROYECTANTES SUPERIORES DE 30CM DE ALTO, 2 MANIJAS DE LUJO CON RECIBIDOR INCORPORADO, BRAZOS EN ACERO, EMPAQUE DE CAUCHO EPDM MARCA EXTRUSIONES, VIDRIO TEMPLADO 6MM INCOLORO, ALUMINIO COLOR NEGRO PINTURA.  (LONGITUDES DE 1,528 DE ANCHO* 1,46 DE ALTO)</t>
  </si>
  <si>
    <t>CRA 3-1 
VENTANA CORREDIZA 744 EN ELE, 1 HOJA CORREDIZA, 2 CUERPOS FIJOS LATERALES, 1 SEGURO DE IMPACTO UDINESE, EMPAQUE DE CAUCHO EDPM MARCA EXTRUSIONES, ALUMINIO COLOR  NEGRO, VIDRIO FLOTADO CRUDO 4MM INCOLORO. (LONGITUDES DE 0,855*1,875 DE ANCHO*1,58 DE ALTO)</t>
  </si>
  <si>
    <t>FACHADA EN VIDRIO TEMPLADO 10MM INCOLORO, 5 CUERPOS FIJOS, EFE SUPERIOR E INFERIOR, 1 PUERTA BATIENTE EN 3 X 1 1/2", 1 CERRADURA YALE E-35 CON MANIJA, EMPAQUE DE CAUCHO EPDM MARCA ESTRUSIONES, VIDRIO TEMPLADO 5MM INCOLORO, ALUMINIO COLOR NEGRO.</t>
  </si>
  <si>
    <t xml:space="preserve">VENTANA CORREDIZA , 2 HOJAS CORREDIZAS DE 1,98 m X 1,4 m, 1 CUERPOS FIJO DE VENTANILLA DE ATENCION DE 0,94m X 1,4m  , ALUMINIO COLOR  NEGRO, VIDRIO FLOTADO CRUDO 4MM INCOLORO. </t>
  </si>
  <si>
    <t xml:space="preserve">VENTANA CORREDIZA , 2 HOJAS CORREDIZAS DE 2,08 m X 1,4 m  , ALUMINIO COLOR  NEGRO, VIDRIO FLOTADO CRUDO 4MM INCOLORO. </t>
  </si>
  <si>
    <t xml:space="preserve">CUERPO FIJO DE 0,4m X 1,4m, EN ALUMINI DE COLOR NEGRO VIDRIO FLOTADO CRUDO 4MM INCOLORO. </t>
  </si>
  <si>
    <t>SUMINISTRO Y APLICACIÓN DE IMPERMEABILIZANTE DE CONCRETO EN JARDINERAS.</t>
  </si>
  <si>
    <t xml:space="preserve">PAISAJISMO EN ÁREAS INTERNAS Y EXTERNAS DE LA EDIFICACIÓN; INCLUYE MATERAS , SUMINISTROS Y SIEMBRA PLANTAS, ABONO Y TODO LO NECESARIO PARA UNA CORRECTA EJECUCIÓN DE LA ACTIVIDAD </t>
  </si>
  <si>
    <t>ESTRUCTURA EN ALN-1101, 1 CUERPO FIJO INFERIOR EN VIDRIO, 1 CUERPO FIJO EN PERSIANA ALN-315, EMPAQUE DE CAUCHO EPDM MARCA EXTRUSIONES, VIDRIO TEMPLADO 6MM INCOLORO, ALUMINIO COLOR NEGRO PINTURA MEDIDA 700,0 x 1.254,0 INCLUYE DESMONTE DE VENTANA EXISTENTE Y RESANE DE VANO.</t>
  </si>
  <si>
    <t>ESTRUCTURA EN ALN-1101, 1 CUERPO FIJO INFERIOR EN VIDRIO, 1 CUERPO FIJO EN PERSIANA ALN-315, EMPAQUE DE CAUCHO EPDM MARCA EXTRUSIONES, VIDRIO TEMPLADO 6MM INCOLORO, ALUMINIO COLOR NEGRO PINTURA MEDIDA 700,0 x 1.177,0. INCLUYE DESMONTE DE VENTANA EXISTENTE Y RESANE DE VANO.</t>
  </si>
  <si>
    <t>ESTRUCTURA EN ALN-1101, 1 CUERPO FIJO INFERIOR EN VIDRIO, 1 CUERPO FIJO EN PERSIANA ALN-315, EMPAQUE DE CAUCHO EPDM MARCA EXTRUSIONES, VIDRIO TEMPLADO 6MM INCOLORO, ALUMINIO COLOR NEGRO PINTURA. MEDIDAS 700,0 x 1.150,0. INCLUYE DESMONTE DE EVNTANA EXISTENTE Y RESANE DE VANO.</t>
  </si>
  <si>
    <t>MO</t>
  </si>
  <si>
    <t>AYUDANTE</t>
  </si>
  <si>
    <t xml:space="preserve">MAESTRO </t>
  </si>
  <si>
    <t xml:space="preserve">HERRAMIENTA </t>
  </si>
  <si>
    <t>EQUIPO T ALTURA</t>
  </si>
  <si>
    <t>T/HORA</t>
  </si>
  <si>
    <t xml:space="preserve">MATERIALES </t>
  </si>
  <si>
    <t>DRYWALL</t>
  </si>
  <si>
    <t>VIGUETA</t>
  </si>
  <si>
    <t xml:space="preserve">COSTALES </t>
  </si>
  <si>
    <t>BLOQUE  10X20X40</t>
  </si>
  <si>
    <t xml:space="preserve">DESPERDICIO MORTERO </t>
  </si>
  <si>
    <t>PULIDORA</t>
  </si>
  <si>
    <t>PINTURA ANTICORROSIVA</t>
  </si>
  <si>
    <t>THINNER</t>
  </si>
  <si>
    <t>DISCO DE CORTE 4 1/2"</t>
  </si>
  <si>
    <t>OMEGAS</t>
  </si>
  <si>
    <t>CINTA MALLA X90 M</t>
  </si>
  <si>
    <t>MASILLA X 27KG</t>
  </si>
  <si>
    <t>TORNILLOS PANEL DRYWALL</t>
  </si>
  <si>
    <t>TORNILLOS ESTRUCTURA</t>
  </si>
  <si>
    <t xml:space="preserve">LIJA PARA MADERA </t>
  </si>
  <si>
    <t xml:space="preserve">SELLADOR LIJABLE </t>
  </si>
  <si>
    <t xml:space="preserve">DISOLVENTE </t>
  </si>
  <si>
    <t xml:space="preserve">PINTURA PARA MADERA </t>
  </si>
  <si>
    <t>gal</t>
  </si>
  <si>
    <t>und</t>
  </si>
  <si>
    <t xml:space="preserve">EQUIPO DE PINTAR </t>
  </si>
  <si>
    <t>TUBO CUADRADO DE 70 MM X 70 MM CAL 14</t>
  </si>
  <si>
    <t>LAMINA SUPERBOARD 8MM</t>
  </si>
  <si>
    <t xml:space="preserve">PERFIL C </t>
  </si>
  <si>
    <t>PERFIL U</t>
  </si>
  <si>
    <t>EPOXICO PARA JUNTAS</t>
  </si>
  <si>
    <t>TUBERIA DE COBRE 1/4</t>
  </si>
  <si>
    <t>TUBERIA DE COBRE 1/2</t>
  </si>
  <si>
    <t>RUBATEX 5/8</t>
  </si>
  <si>
    <t>CINTA VINILO</t>
  </si>
  <si>
    <t>ROLLO</t>
  </si>
  <si>
    <t>AIRE ACONDICIONADO 9.000 BTU CONVENCIONAL</t>
  </si>
  <si>
    <t xml:space="preserve">ESTRUCTURA </t>
  </si>
  <si>
    <t xml:space="preserve">BAÑOS
VENTANA CORREDIZA 744, 2 HOJAS CORREDIZAS, 1 CUERPOS FIJO SUPERIOR EN 3 X 1", 2 SEGUROS DE IMPACTO UDINESE, EMPAQUE DE CAUCHO EDPM MARCA EXTRUSIONES, ALUMINIO COLOR  NEGRO, VIDRIO FLOTADO CRUDO 4MM INCOLORO. </t>
  </si>
  <si>
    <t xml:space="preserve"> </t>
  </si>
  <si>
    <t>CONTRATAR LA FASE I DE INSTALACIÓN DE NUEVOS PUNTOS DE RED EN SEDES JUDICIALES Y EL MANTENIMIENTO DE ALGUNOS PUNTOS DE RED EXISTENTES ASÍ COMO LA   ORGANIZACIÓN DE LOS RACKS DE COMUNICACIONES DE ALGUNAS DEPENDENCIAS JUDICIALES EN EL DISTRITO DE MONTERIA</t>
  </si>
  <si>
    <t>SISTEMAS</t>
  </si>
  <si>
    <t>PRESUPUESTO DE MANTENIMIENTO DE PUNTOS DE RED U OFERTA ECONÓMICA</t>
  </si>
  <si>
    <t>AÑO: 2026</t>
  </si>
  <si>
    <t>Suministro, instalación y tendido de cables UTP Cat 6. para conexión de puntos de red. Incluye, Suministro de todo el metraje necesario de cable, tubos, canaletas, conectores RJ45, Jack, Faceplace.</t>
  </si>
  <si>
    <t>ITEMS</t>
  </si>
  <si>
    <t>ACTIVIDAD</t>
  </si>
  <si>
    <t>Mantenimiento de puntos de red, incluye reparación o reemplazo de puntos de red defectuosos, sustitución de cableado deteriorado, obsoleto o fuera de norma, corrección de fallas de conectividad detectadas durante el diagnóstico.</t>
  </si>
  <si>
    <t>Mantenimiento del Rack de comunicaciones, incluye limpieza y organización de gabinetes y cuartos de comunicaciones, reorganización y peinado de cableado, revisión y ajuste de conexiones en patch panel y tomas de usuario.</t>
  </si>
  <si>
    <t>VALOR :</t>
  </si>
  <si>
    <t xml:space="preserve">SUBTOTAL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</si>
</sst>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0.0"/>
    <numFmt numFmtId="166" formatCode="_-&quot;$&quot;* #,##0.00_-;\-&quot;$&quot;* #,##0.00_-;_-&quot;$&quot;* &quot;-&quot;_-;_-@_-"/>
    <numFmt numFmtId="167" formatCode="_ [$€-2]\ * #,##0.00_ ;_ [$€-2]\ * \-#,##0.00_ ;_ [$€-2]\ * &quot;-&quot;??_ "/>
    <numFmt numFmtId="168" formatCode="_-[$$-240A]\ * #,##0_-;\-[$$-240A]\ * #,##0_-;_-[$$-240A]\ * &quot;-&quot;??_-;_-@_-"/>
    <numFmt numFmtId="169" formatCode="_ [$€-2]\ * #,##0.00_ ;_ [$€-2]\ * \-#,##0.00_ ;_ [$€-2]\ * \-??_ "/>
    <numFmt numFmtId="170" formatCode="_([$$-240A]\ * #,##0_);_([$$-240A]\ * \(#,##0\);_([$$-240A]\ * &quot;-&quot;??_);_(@_)"/>
    <numFmt numFmtId="171" formatCode="[$$-240A]\ #,##0"/>
    <numFmt numFmtId="172" formatCode="_ * #,##0.00_ ;_ * \-#,##0.00_ ;_ * &quot;-&quot;??_ ;_ @_ "/>
    <numFmt numFmtId="173" formatCode="_([$$-240A]\ * #,##0.00_);_([$$-240A]\ * \(#,##0.00\);_([$$-240A]\ * &quot;-&quot;??_);_(@_)"/>
    <numFmt numFmtId="174" formatCode="_ &quot;$&quot;\ * #,##0.00_ ;_ &quot;$&quot;\ * \-#,##0.00_ ;_ &quot;$&quot;\ * &quot;-&quot;??_ ;_ @_ "/>
    <numFmt numFmtId="175" formatCode="_-* #,##0_-;\-* #,##0_-;_-* &quot;-&quot;??_-;_-@_-"/>
    <numFmt numFmtId="176" formatCode="_-* #,##0.0_-;\-* #,##0.0_-;_-* &quot;-&quot;??_-;_-@_-"/>
    <numFmt numFmtId="177" formatCode="_-[$$-240A]\ * #,##0.00_-;\-[$$-240A]\ * #,##0.00_-;_-[$$-240A]\ * &quot;-&quot;??_-;_-@_-"/>
    <numFmt numFmtId="178" formatCode="_-[$$-240A]\ * #,##0.000_-;\-[$$-240A]\ * #,##0.000_-;_-[$$-240A]\ * &quot;-&quot;??_-;_-@_-"/>
    <numFmt numFmtId="179" formatCode="_-&quot;$&quot;\ * #,##0.0000_-;\-&quot;$&quot;\ * #,##0.0000_-;_-&quot;$&quot;\ * &quot;-&quot;??_-;_-@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 Narrow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b/>
      <sz val="6"/>
      <name val="Arial"/>
      <family val="2"/>
    </font>
    <font>
      <b/>
      <sz val="12"/>
      <color indexed="8"/>
      <name val="Arial"/>
      <family val="2"/>
    </font>
    <font>
      <sz val="20"/>
      <color theme="1"/>
      <name val="Arial Narrow"/>
      <family val="2"/>
    </font>
    <font>
      <sz val="20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 Narrow"/>
      <family val="2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sz val="6"/>
      <name val="Times New Roman"/>
      <family val="1"/>
    </font>
    <font>
      <sz val="6"/>
      <name val="Arial"/>
      <family val="2"/>
    </font>
    <font>
      <b/>
      <sz val="6"/>
      <color indexed="8"/>
      <name val="Arial"/>
      <family val="2"/>
    </font>
    <font>
      <sz val="11"/>
      <color rgb="FFFF0000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1111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1" tint="0.499984740745262"/>
      </bottom>
      <diagonal/>
    </border>
    <border>
      <left/>
      <right/>
      <top style="medium">
        <color indexed="64"/>
      </top>
      <bottom style="thin">
        <color theme="1" tint="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medium">
        <color indexed="64"/>
      </right>
      <top style="thin">
        <color theme="1" tint="0.499984740745262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1" tint="0.499984740745262"/>
      </top>
      <bottom style="medium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/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/>
      <right/>
      <top style="thin">
        <color theme="1" tint="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1" tint="0.499984740745262"/>
      </top>
      <bottom style="medium">
        <color indexed="64"/>
      </bottom>
      <diagonal/>
    </border>
    <border>
      <left/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2" tint="-0.499984740745262"/>
      </right>
      <top style="medium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indexed="64"/>
      </top>
      <bottom/>
      <diagonal/>
    </border>
    <border>
      <left style="thin">
        <color theme="2" tint="-0.499984740745262"/>
      </left>
      <right/>
      <top style="medium">
        <color indexed="64"/>
      </top>
      <bottom/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medium">
        <color indexed="64"/>
      </bottom>
      <diagonal/>
    </border>
    <border>
      <left style="thin">
        <color theme="2" tint="-0.499984740745262"/>
      </left>
      <right/>
      <top/>
      <bottom style="medium">
        <color indexed="64"/>
      </bottom>
      <diagonal/>
    </border>
    <border>
      <left/>
      <right style="thin">
        <color theme="2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2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2" tint="-0.499984740745262"/>
      </left>
      <right/>
      <top style="medium">
        <color indexed="64"/>
      </top>
      <bottom style="thin">
        <color theme="2" tint="-0.499984740745262"/>
      </bottom>
      <diagonal/>
    </border>
    <border>
      <left/>
      <right/>
      <top style="medium">
        <color indexed="64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medium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medium">
        <color indexed="64"/>
      </top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/>
      <right style="medium">
        <color indexed="64"/>
      </right>
      <top/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/>
      <top style="thin">
        <color theme="2" tint="-0.499984740745262"/>
      </top>
      <bottom style="medium">
        <color indexed="64"/>
      </bottom>
      <diagonal/>
    </border>
    <border>
      <left/>
      <right/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medium">
        <color indexed="64"/>
      </bottom>
      <diagonal/>
    </border>
    <border>
      <left style="medium">
        <color indexed="64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/>
      <top style="medium">
        <color auto="1"/>
      </top>
      <bottom/>
      <diagonal/>
    </border>
    <border>
      <left style="medium">
        <color indexed="64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indexed="64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2" tint="-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2" tint="-0.499984740745262"/>
      </bottom>
      <diagonal/>
    </border>
    <border>
      <left style="medium">
        <color indexed="64"/>
      </left>
      <right/>
      <top style="thin">
        <color theme="2" tint="-0.499984740745262"/>
      </top>
      <bottom/>
      <diagonal/>
    </border>
    <border>
      <left/>
      <right/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/>
      <diagonal/>
    </border>
  </borders>
  <cellStyleXfs count="5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7" fontId="2" fillId="0" borderId="0"/>
    <xf numFmtId="169" fontId="2" fillId="0" borderId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/>
    <xf numFmtId="167" fontId="2" fillId="0" borderId="0"/>
    <xf numFmtId="0" fontId="19" fillId="0" borderId="0"/>
    <xf numFmtId="43" fontId="19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24" fillId="0" borderId="0"/>
    <xf numFmtId="0" fontId="8" fillId="0" borderId="0"/>
    <xf numFmtId="0" fontId="2" fillId="0" borderId="0"/>
    <xf numFmtId="174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43">
    <xf numFmtId="0" fontId="0" fillId="0" borderId="0" xfId="0"/>
    <xf numFmtId="0" fontId="3" fillId="0" borderId="1" xfId="2" applyFont="1" applyBorder="1"/>
    <xf numFmtId="0" fontId="3" fillId="0" borderId="2" xfId="2" applyFont="1" applyBorder="1" applyAlignment="1">
      <alignment horizontal="center" vertical="center"/>
    </xf>
    <xf numFmtId="0" fontId="3" fillId="0" borderId="2" xfId="2" applyFont="1" applyBorder="1" applyAlignment="1">
      <alignment horizontal="justify" vertical="center"/>
    </xf>
    <xf numFmtId="42" fontId="3" fillId="0" borderId="2" xfId="2" applyNumberFormat="1" applyFont="1" applyBorder="1" applyAlignment="1">
      <alignment horizontal="right" vertical="center"/>
    </xf>
    <xf numFmtId="166" fontId="3" fillId="0" borderId="2" xfId="2" applyNumberFormat="1" applyFont="1" applyBorder="1" applyAlignment="1">
      <alignment vertical="center"/>
    </xf>
    <xf numFmtId="0" fontId="3" fillId="0" borderId="3" xfId="2" applyFont="1" applyBorder="1"/>
    <xf numFmtId="0" fontId="3" fillId="0" borderId="0" xfId="2" applyFont="1"/>
    <xf numFmtId="0" fontId="4" fillId="0" borderId="4" xfId="2" applyFont="1" applyBorder="1" applyAlignment="1">
      <alignment vertical="center"/>
    </xf>
    <xf numFmtId="0" fontId="4" fillId="2" borderId="8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0" fontId="7" fillId="0" borderId="12" xfId="2" applyFont="1" applyBorder="1" applyAlignment="1">
      <alignment horizontal="left" vertical="center"/>
    </xf>
    <xf numFmtId="0" fontId="7" fillId="0" borderId="13" xfId="2" applyFont="1" applyBorder="1" applyAlignment="1">
      <alignment horizontal="center" vertical="center"/>
    </xf>
    <xf numFmtId="0" fontId="7" fillId="0" borderId="14" xfId="2" applyFont="1" applyBorder="1" applyAlignment="1">
      <alignment horizontal="left" vertical="center"/>
    </xf>
    <xf numFmtId="166" fontId="7" fillId="0" borderId="14" xfId="2" applyNumberFormat="1" applyFont="1" applyBorder="1" applyAlignment="1">
      <alignment vertical="center"/>
    </xf>
    <xf numFmtId="0" fontId="4" fillId="0" borderId="15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/>
    </xf>
    <xf numFmtId="14" fontId="4" fillId="0" borderId="15" xfId="2" applyNumberFormat="1" applyFont="1" applyBorder="1" applyAlignment="1">
      <alignment horizontal="center" vertical="center" wrapText="1"/>
    </xf>
    <xf numFmtId="17" fontId="4" fillId="0" borderId="15" xfId="2" applyNumberFormat="1" applyFont="1" applyBorder="1" applyAlignment="1">
      <alignment horizontal="center" vertical="center"/>
    </xf>
    <xf numFmtId="0" fontId="7" fillId="0" borderId="12" xfId="2" applyFont="1" applyBorder="1" applyAlignment="1">
      <alignment vertical="center" wrapText="1"/>
    </xf>
    <xf numFmtId="0" fontId="7" fillId="0" borderId="14" xfId="2" applyFont="1" applyBorder="1" applyAlignment="1">
      <alignment vertical="center" wrapText="1"/>
    </xf>
    <xf numFmtId="1" fontId="4" fillId="0" borderId="15" xfId="1" applyNumberFormat="1" applyFont="1" applyBorder="1" applyAlignment="1">
      <alignment horizontal="center" vertical="center" wrapText="1"/>
    </xf>
    <xf numFmtId="0" fontId="7" fillId="0" borderId="23" xfId="2" applyFont="1" applyBorder="1" applyAlignment="1">
      <alignment vertical="center" wrapText="1"/>
    </xf>
    <xf numFmtId="0" fontId="4" fillId="0" borderId="24" xfId="2" applyFont="1" applyBorder="1" applyAlignment="1">
      <alignment horizontal="center" vertical="center"/>
    </xf>
    <xf numFmtId="0" fontId="7" fillId="0" borderId="25" xfId="2" applyFont="1" applyBorder="1" applyAlignment="1">
      <alignment vertical="center" wrapText="1"/>
    </xf>
    <xf numFmtId="0" fontId="3" fillId="0" borderId="4" xfId="2" applyFont="1" applyBorder="1"/>
    <xf numFmtId="0" fontId="3" fillId="2" borderId="8" xfId="2" applyFont="1" applyFill="1" applyBorder="1"/>
    <xf numFmtId="0" fontId="10" fillId="4" borderId="12" xfId="2" applyFont="1" applyFill="1" applyBorder="1" applyAlignment="1">
      <alignment horizontal="center" vertical="center"/>
    </xf>
    <xf numFmtId="0" fontId="10" fillId="4" borderId="16" xfId="2" applyFont="1" applyFill="1" applyBorder="1" applyAlignment="1">
      <alignment horizontal="center" vertical="center"/>
    </xf>
    <xf numFmtId="167" fontId="7" fillId="4" borderId="16" xfId="3" applyFont="1" applyFill="1" applyBorder="1" applyAlignment="1">
      <alignment horizontal="center" vertical="center"/>
    </xf>
    <xf numFmtId="167" fontId="7" fillId="4" borderId="16" xfId="3" applyFont="1" applyFill="1" applyBorder="1" applyAlignment="1">
      <alignment horizontal="center" vertical="center" wrapText="1"/>
    </xf>
    <xf numFmtId="166" fontId="7" fillId="4" borderId="15" xfId="3" applyNumberFormat="1" applyFont="1" applyFill="1" applyBorder="1" applyAlignment="1">
      <alignment horizontal="center" vertical="center" wrapText="1"/>
    </xf>
    <xf numFmtId="0" fontId="4" fillId="0" borderId="26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42" fontId="4" fillId="0" borderId="28" xfId="2" applyNumberFormat="1" applyFont="1" applyBorder="1" applyAlignment="1">
      <alignment horizontal="right" vertical="center"/>
    </xf>
    <xf numFmtId="169" fontId="4" fillId="2" borderId="27" xfId="4" applyFont="1" applyFill="1" applyBorder="1" applyAlignment="1">
      <alignment horizontal="left" vertical="center" wrapText="1"/>
    </xf>
    <xf numFmtId="168" fontId="11" fillId="0" borderId="27" xfId="2" applyNumberFormat="1" applyFont="1" applyBorder="1" applyAlignment="1">
      <alignment horizontal="right" vertical="center"/>
    </xf>
    <xf numFmtId="0" fontId="4" fillId="2" borderId="27" xfId="2" applyFont="1" applyFill="1" applyBorder="1" applyAlignment="1">
      <alignment horizontal="center" vertical="center"/>
    </xf>
    <xf numFmtId="0" fontId="3" fillId="2" borderId="4" xfId="2" applyFont="1" applyFill="1" applyBorder="1"/>
    <xf numFmtId="0" fontId="3" fillId="2" borderId="0" xfId="2" applyFont="1" applyFill="1"/>
    <xf numFmtId="169" fontId="4" fillId="0" borderId="27" xfId="4" applyFont="1" applyBorder="1" applyAlignment="1">
      <alignment horizontal="left" vertical="center" wrapText="1"/>
    </xf>
    <xf numFmtId="2" fontId="4" fillId="0" borderId="27" xfId="2" applyNumberFormat="1" applyFont="1" applyBorder="1" applyAlignment="1">
      <alignment horizontal="center" vertical="center"/>
    </xf>
    <xf numFmtId="2" fontId="4" fillId="2" borderId="27" xfId="2" applyNumberFormat="1" applyFont="1" applyFill="1" applyBorder="1" applyAlignment="1">
      <alignment horizontal="center" vertical="center"/>
    </xf>
    <xf numFmtId="0" fontId="7" fillId="5" borderId="25" xfId="2" applyFont="1" applyFill="1" applyBorder="1" applyAlignment="1">
      <alignment vertical="center" wrapText="1"/>
    </xf>
    <xf numFmtId="0" fontId="7" fillId="5" borderId="31" xfId="2" applyFont="1" applyFill="1" applyBorder="1" applyAlignment="1">
      <alignment vertical="center" wrapText="1"/>
    </xf>
    <xf numFmtId="170" fontId="7" fillId="5" borderId="31" xfId="5" applyNumberFormat="1" applyFont="1" applyFill="1" applyBorder="1" applyAlignment="1">
      <alignment horizontal="center" vertical="center" wrapText="1"/>
    </xf>
    <xf numFmtId="42" fontId="13" fillId="4" borderId="34" xfId="2" applyNumberFormat="1" applyFont="1" applyFill="1" applyBorder="1" applyAlignment="1">
      <alignment vertical="center"/>
    </xf>
    <xf numFmtId="42" fontId="13" fillId="4" borderId="33" xfId="2" applyNumberFormat="1" applyFont="1" applyFill="1" applyBorder="1" applyAlignment="1">
      <alignment vertical="center"/>
    </xf>
    <xf numFmtId="42" fontId="7" fillId="4" borderId="35" xfId="2" applyNumberFormat="1" applyFont="1" applyFill="1" applyBorder="1" applyAlignment="1">
      <alignment horizontal="right"/>
    </xf>
    <xf numFmtId="9" fontId="7" fillId="4" borderId="27" xfId="6" applyFont="1" applyFill="1" applyBorder="1" applyAlignment="1">
      <alignment horizontal="center" vertical="center"/>
    </xf>
    <xf numFmtId="166" fontId="4" fillId="4" borderId="28" xfId="2" applyNumberFormat="1" applyFont="1" applyFill="1" applyBorder="1" applyAlignment="1">
      <alignment horizontal="right"/>
    </xf>
    <xf numFmtId="166" fontId="4" fillId="4" borderId="28" xfId="7" applyNumberFormat="1" applyFont="1" applyFill="1" applyBorder="1" applyAlignment="1">
      <alignment horizontal="right"/>
    </xf>
    <xf numFmtId="42" fontId="14" fillId="4" borderId="25" xfId="2" applyNumberFormat="1" applyFont="1" applyFill="1" applyBorder="1" applyAlignment="1">
      <alignment horizontal="left" vertical="center"/>
    </xf>
    <xf numFmtId="42" fontId="14" fillId="4" borderId="24" xfId="2" applyNumberFormat="1" applyFont="1" applyFill="1" applyBorder="1" applyAlignment="1">
      <alignment horizontal="left" vertical="center"/>
    </xf>
    <xf numFmtId="167" fontId="7" fillId="4" borderId="10" xfId="3" applyFont="1" applyFill="1" applyBorder="1" applyAlignment="1">
      <alignment horizontal="center" vertical="center"/>
    </xf>
    <xf numFmtId="166" fontId="7" fillId="4" borderId="11" xfId="3" applyNumberFormat="1" applyFont="1" applyFill="1" applyBorder="1" applyAlignment="1">
      <alignment horizontal="center" vertical="center" wrapText="1"/>
    </xf>
    <xf numFmtId="42" fontId="4" fillId="0" borderId="28" xfId="5" applyFont="1" applyFill="1" applyBorder="1" applyAlignment="1">
      <alignment vertical="center" wrapText="1"/>
    </xf>
    <xf numFmtId="0" fontId="4" fillId="0" borderId="18" xfId="2" applyFont="1" applyBorder="1" applyAlignment="1">
      <alignment horizontal="center" vertical="center"/>
    </xf>
    <xf numFmtId="170" fontId="4" fillId="0" borderId="18" xfId="5" applyNumberFormat="1" applyFont="1" applyFill="1" applyBorder="1" applyAlignment="1">
      <alignment vertical="center" wrapText="1"/>
    </xf>
    <xf numFmtId="0" fontId="7" fillId="5" borderId="25" xfId="2" applyFont="1" applyFill="1" applyBorder="1" applyAlignment="1">
      <alignment vertical="center"/>
    </xf>
    <xf numFmtId="0" fontId="7" fillId="5" borderId="31" xfId="2" applyFont="1" applyFill="1" applyBorder="1" applyAlignment="1">
      <alignment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justify" vertical="center"/>
    </xf>
    <xf numFmtId="42" fontId="3" fillId="0" borderId="0" xfId="2" applyNumberFormat="1" applyFont="1" applyAlignment="1">
      <alignment horizontal="right" vertical="center"/>
    </xf>
    <xf numFmtId="166" fontId="3" fillId="0" borderId="0" xfId="2" applyNumberFormat="1" applyFont="1" applyAlignment="1">
      <alignment vertical="center"/>
    </xf>
    <xf numFmtId="0" fontId="15" fillId="0" borderId="3" xfId="2" applyFont="1" applyBorder="1" applyAlignment="1">
      <alignment vertical="center" wrapText="1"/>
    </xf>
    <xf numFmtId="0" fontId="15" fillId="0" borderId="0" xfId="2" applyFont="1" applyAlignment="1">
      <alignment vertical="center"/>
    </xf>
    <xf numFmtId="0" fontId="0" fillId="0" borderId="8" xfId="0" applyBorder="1"/>
    <xf numFmtId="0" fontId="15" fillId="0" borderId="8" xfId="2" applyFont="1" applyBorder="1" applyAlignment="1">
      <alignment vertical="center" wrapText="1"/>
    </xf>
    <xf numFmtId="0" fontId="17" fillId="0" borderId="19" xfId="2" applyFont="1" applyBorder="1" applyAlignment="1">
      <alignment vertical="center" wrapText="1"/>
    </xf>
    <xf numFmtId="0" fontId="16" fillId="0" borderId="27" xfId="2" applyFont="1" applyBorder="1" applyAlignment="1">
      <alignment horizontal="center" vertical="center"/>
    </xf>
    <xf numFmtId="0" fontId="7" fillId="0" borderId="8" xfId="2" applyFont="1" applyBorder="1" applyAlignment="1">
      <alignment horizontal="left" vertical="center"/>
    </xf>
    <xf numFmtId="3" fontId="7" fillId="0" borderId="22" xfId="2" applyNumberFormat="1" applyFont="1" applyBorder="1" applyAlignment="1">
      <alignment horizontal="left" vertical="center"/>
    </xf>
    <xf numFmtId="0" fontId="3" fillId="2" borderId="20" xfId="2" applyFont="1" applyFill="1" applyBorder="1"/>
    <xf numFmtId="0" fontId="3" fillId="0" borderId="21" xfId="2" applyFont="1" applyBorder="1" applyAlignment="1">
      <alignment horizontal="center" vertical="center"/>
    </xf>
    <xf numFmtId="0" fontId="3" fillId="0" borderId="21" xfId="2" applyFont="1" applyBorder="1" applyAlignment="1">
      <alignment horizontal="justify" vertical="center"/>
    </xf>
    <xf numFmtId="42" fontId="3" fillId="0" borderId="21" xfId="2" applyNumberFormat="1" applyFont="1" applyBorder="1" applyAlignment="1">
      <alignment horizontal="right" vertical="center"/>
    </xf>
    <xf numFmtId="166" fontId="3" fillId="0" borderId="21" xfId="2" applyNumberFormat="1" applyFont="1" applyBorder="1" applyAlignment="1">
      <alignment vertical="center"/>
    </xf>
    <xf numFmtId="0" fontId="3" fillId="2" borderId="22" xfId="2" applyFont="1" applyFill="1" applyBorder="1"/>
    <xf numFmtId="167" fontId="7" fillId="6" borderId="16" xfId="3" applyFont="1" applyFill="1" applyBorder="1" applyAlignment="1">
      <alignment horizontal="center" vertical="center"/>
    </xf>
    <xf numFmtId="166" fontId="7" fillId="6" borderId="15" xfId="3" applyNumberFormat="1" applyFont="1" applyFill="1" applyBorder="1" applyAlignment="1">
      <alignment horizontal="center" vertical="center" wrapText="1"/>
    </xf>
    <xf numFmtId="0" fontId="9" fillId="6" borderId="16" xfId="2" applyFont="1" applyFill="1" applyBorder="1" applyAlignment="1">
      <alignment horizontal="center" vertical="center"/>
    </xf>
    <xf numFmtId="2" fontId="7" fillId="4" borderId="16" xfId="3" applyNumberFormat="1" applyFont="1" applyFill="1" applyBorder="1" applyAlignment="1">
      <alignment horizontal="center" vertical="center" wrapText="1"/>
    </xf>
    <xf numFmtId="2" fontId="3" fillId="0" borderId="2" xfId="2" applyNumberFormat="1" applyFont="1" applyBorder="1" applyAlignment="1">
      <alignment horizontal="center" vertical="center"/>
    </xf>
    <xf numFmtId="2" fontId="4" fillId="0" borderId="13" xfId="2" applyNumberFormat="1" applyFont="1" applyBorder="1" applyAlignment="1">
      <alignment horizontal="center" vertical="center"/>
    </xf>
    <xf numFmtId="2" fontId="7" fillId="0" borderId="13" xfId="2" applyNumberFormat="1" applyFont="1" applyBorder="1" applyAlignment="1">
      <alignment horizontal="center" vertical="center" wrapText="1"/>
    </xf>
    <xf numFmtId="2" fontId="7" fillId="0" borderId="13" xfId="2" applyNumberFormat="1" applyFont="1" applyBorder="1" applyAlignment="1">
      <alignment vertical="center" wrapText="1"/>
    </xf>
    <xf numFmtId="2" fontId="4" fillId="0" borderId="13" xfId="2" applyNumberFormat="1" applyFont="1" applyBorder="1" applyAlignment="1">
      <alignment vertical="center" wrapText="1"/>
    </xf>
    <xf numFmtId="2" fontId="4" fillId="0" borderId="24" xfId="2" applyNumberFormat="1" applyFont="1" applyBorder="1" applyAlignment="1">
      <alignment vertical="center" wrapText="1"/>
    </xf>
    <xf numFmtId="2" fontId="7" fillId="6" borderId="16" xfId="3" applyNumberFormat="1" applyFont="1" applyFill="1" applyBorder="1" applyAlignment="1">
      <alignment horizontal="center" vertical="center" wrapText="1"/>
    </xf>
    <xf numFmtId="2" fontId="13" fillId="4" borderId="10" xfId="2" applyNumberFormat="1" applyFont="1" applyFill="1" applyBorder="1" applyAlignment="1">
      <alignment vertical="center"/>
    </xf>
    <xf numFmtId="2" fontId="14" fillId="4" borderId="31" xfId="2" applyNumberFormat="1" applyFont="1" applyFill="1" applyBorder="1" applyAlignment="1">
      <alignment horizontal="left" vertical="center"/>
    </xf>
    <xf numFmtId="2" fontId="7" fillId="4" borderId="10" xfId="3" applyNumberFormat="1" applyFont="1" applyFill="1" applyBorder="1" applyAlignment="1">
      <alignment horizontal="center" vertical="center" wrapText="1"/>
    </xf>
    <xf numFmtId="2" fontId="7" fillId="5" borderId="31" xfId="2" applyNumberFormat="1" applyFont="1" applyFill="1" applyBorder="1" applyAlignment="1">
      <alignment vertical="center"/>
    </xf>
    <xf numFmtId="2" fontId="3" fillId="0" borderId="0" xfId="2" applyNumberFormat="1" applyFont="1" applyAlignment="1">
      <alignment horizontal="center" vertical="center"/>
    </xf>
    <xf numFmtId="2" fontId="15" fillId="0" borderId="0" xfId="2" applyNumberFormat="1" applyFont="1" applyAlignment="1">
      <alignment vertical="center"/>
    </xf>
    <xf numFmtId="2" fontId="16" fillId="0" borderId="27" xfId="2" applyNumberFormat="1" applyFont="1" applyBorder="1" applyAlignment="1">
      <alignment horizontal="center" vertical="center" wrapText="1"/>
    </xf>
    <xf numFmtId="2" fontId="16" fillId="0" borderId="27" xfId="2" applyNumberFormat="1" applyFont="1" applyBorder="1" applyAlignment="1">
      <alignment horizontal="center" vertical="center"/>
    </xf>
    <xf numFmtId="2" fontId="3" fillId="0" borderId="21" xfId="2" applyNumberFormat="1" applyFont="1" applyBorder="1" applyAlignment="1">
      <alignment horizontal="center" vertical="center"/>
    </xf>
    <xf numFmtId="0" fontId="9" fillId="7" borderId="16" xfId="2" applyFont="1" applyFill="1" applyBorder="1" applyAlignment="1">
      <alignment horizontal="center" vertical="center"/>
    </xf>
    <xf numFmtId="166" fontId="7" fillId="7" borderId="15" xfId="3" applyNumberFormat="1" applyFont="1" applyFill="1" applyBorder="1" applyAlignment="1">
      <alignment horizontal="center" vertical="center" wrapText="1"/>
    </xf>
    <xf numFmtId="169" fontId="4" fillId="2" borderId="27" xfId="4" applyFont="1" applyFill="1" applyBorder="1" applyAlignment="1">
      <alignment horizontal="center" vertical="center" wrapText="1"/>
    </xf>
    <xf numFmtId="169" fontId="4" fillId="0" borderId="39" xfId="4" applyFont="1" applyBorder="1" applyAlignment="1">
      <alignment horizontal="left" vertical="center" wrapText="1"/>
    </xf>
    <xf numFmtId="2" fontId="4" fillId="0" borderId="18" xfId="2" applyNumberFormat="1" applyFont="1" applyBorder="1" applyAlignment="1">
      <alignment horizontal="center" vertical="center"/>
    </xf>
    <xf numFmtId="0" fontId="10" fillId="4" borderId="16" xfId="2" applyFont="1" applyFill="1" applyBorder="1" applyAlignment="1">
      <alignment horizontal="center" vertical="center" wrapText="1"/>
    </xf>
    <xf numFmtId="0" fontId="10" fillId="4" borderId="10" xfId="2" applyFont="1" applyFill="1" applyBorder="1" applyAlignment="1">
      <alignment horizontal="center" vertical="center"/>
    </xf>
    <xf numFmtId="2" fontId="2" fillId="2" borderId="27" xfId="2" applyNumberFormat="1" applyFill="1" applyBorder="1" applyAlignment="1">
      <alignment horizontal="center" vertical="center"/>
    </xf>
    <xf numFmtId="42" fontId="5" fillId="3" borderId="6" xfId="2" applyNumberFormat="1" applyFont="1" applyFill="1" applyBorder="1" applyAlignment="1">
      <alignment vertical="center"/>
    </xf>
    <xf numFmtId="42" fontId="6" fillId="5" borderId="32" xfId="5" applyFont="1" applyFill="1" applyBorder="1" applyAlignment="1">
      <alignment vertical="center" wrapText="1"/>
    </xf>
    <xf numFmtId="173" fontId="7" fillId="5" borderId="32" xfId="5" applyNumberFormat="1" applyFont="1" applyFill="1" applyBorder="1" applyAlignment="1">
      <alignment horizontal="center" vertical="center" wrapText="1"/>
    </xf>
    <xf numFmtId="167" fontId="7" fillId="3" borderId="16" xfId="3" applyFont="1" applyFill="1" applyBorder="1" applyAlignment="1">
      <alignment horizontal="center" vertical="center"/>
    </xf>
    <xf numFmtId="2" fontId="7" fillId="3" borderId="16" xfId="3" applyNumberFormat="1" applyFont="1" applyFill="1" applyBorder="1" applyAlignment="1">
      <alignment horizontal="center" vertical="center" wrapText="1"/>
    </xf>
    <xf numFmtId="166" fontId="7" fillId="3" borderId="15" xfId="3" applyNumberFormat="1" applyFont="1" applyFill="1" applyBorder="1" applyAlignment="1">
      <alignment horizontal="center" vertical="center" wrapText="1"/>
    </xf>
    <xf numFmtId="0" fontId="23" fillId="0" borderId="0" xfId="2" applyFont="1" applyAlignment="1">
      <alignment vertical="center"/>
    </xf>
    <xf numFmtId="169" fontId="4" fillId="2" borderId="27" xfId="4" applyFont="1" applyFill="1" applyBorder="1" applyAlignment="1">
      <alignment vertical="center" wrapText="1"/>
    </xf>
    <xf numFmtId="0" fontId="4" fillId="2" borderId="26" xfId="2" applyFont="1" applyFill="1" applyBorder="1" applyAlignment="1">
      <alignment horizontal="center" vertical="center"/>
    </xf>
    <xf numFmtId="168" fontId="11" fillId="2" borderId="27" xfId="2" applyNumberFormat="1" applyFont="1" applyFill="1" applyBorder="1" applyAlignment="1">
      <alignment horizontal="right" vertical="center"/>
    </xf>
    <xf numFmtId="42" fontId="4" fillId="2" borderId="28" xfId="2" applyNumberFormat="1" applyFont="1" applyFill="1" applyBorder="1" applyAlignment="1">
      <alignment horizontal="right" vertical="center"/>
    </xf>
    <xf numFmtId="168" fontId="4" fillId="0" borderId="27" xfId="2" applyNumberFormat="1" applyFont="1" applyBorder="1" applyAlignment="1">
      <alignment horizontal="right" vertical="center"/>
    </xf>
    <xf numFmtId="164" fontId="3" fillId="0" borderId="0" xfId="2" applyNumberFormat="1" applyFont="1"/>
    <xf numFmtId="164" fontId="3" fillId="0" borderId="0" xfId="13" applyFont="1"/>
    <xf numFmtId="0" fontId="22" fillId="0" borderId="0" xfId="2" applyFont="1" applyAlignment="1">
      <alignment vertical="center"/>
    </xf>
    <xf numFmtId="0" fontId="25" fillId="0" borderId="0" xfId="2" applyFont="1" applyAlignment="1">
      <alignment vertical="center"/>
    </xf>
    <xf numFmtId="0" fontId="22" fillId="2" borderId="0" xfId="2" applyFont="1" applyFill="1" applyAlignment="1">
      <alignment vertical="center"/>
    </xf>
    <xf numFmtId="164" fontId="22" fillId="2" borderId="0" xfId="2" applyNumberFormat="1" applyFont="1" applyFill="1" applyAlignment="1">
      <alignment vertical="center"/>
    </xf>
    <xf numFmtId="168" fontId="4" fillId="2" borderId="27" xfId="2" applyNumberFormat="1" applyFont="1" applyFill="1" applyBorder="1" applyAlignment="1">
      <alignment horizontal="right" vertical="center"/>
    </xf>
    <xf numFmtId="0" fontId="20" fillId="3" borderId="6" xfId="23" applyFont="1" applyFill="1" applyBorder="1" applyAlignment="1">
      <alignment horizontal="center" vertical="center" wrapText="1"/>
    </xf>
    <xf numFmtId="3" fontId="31" fillId="0" borderId="52" xfId="23" applyNumberFormat="1" applyFont="1" applyBorder="1" applyAlignment="1">
      <alignment horizontal="center" vertical="center"/>
    </xf>
    <xf numFmtId="0" fontId="20" fillId="3" borderId="43" xfId="23" applyFont="1" applyFill="1" applyBorder="1" applyAlignment="1">
      <alignment horizontal="center" vertical="center"/>
    </xf>
    <xf numFmtId="0" fontId="20" fillId="3" borderId="43" xfId="23" applyFont="1" applyFill="1" applyBorder="1" applyAlignment="1">
      <alignment horizontal="center" vertical="center" wrapText="1"/>
    </xf>
    <xf numFmtId="0" fontId="20" fillId="3" borderId="56" xfId="23" applyFont="1" applyFill="1" applyBorder="1" applyAlignment="1">
      <alignment horizontal="center" vertical="center"/>
    </xf>
    <xf numFmtId="0" fontId="31" fillId="0" borderId="58" xfId="23" applyFont="1" applyBorder="1" applyAlignment="1">
      <alignment horizontal="center" vertical="center"/>
    </xf>
    <xf numFmtId="14" fontId="31" fillId="0" borderId="62" xfId="23" applyNumberFormat="1" applyFont="1" applyBorder="1" applyAlignment="1">
      <alignment horizontal="center" vertical="center"/>
    </xf>
    <xf numFmtId="0" fontId="28" fillId="3" borderId="62" xfId="15" applyFont="1" applyFill="1" applyBorder="1" applyAlignment="1">
      <alignment horizontal="center" vertical="center" wrapText="1"/>
    </xf>
    <xf numFmtId="0" fontId="20" fillId="0" borderId="69" xfId="23" applyFont="1" applyBorder="1" applyAlignment="1">
      <alignment horizontal="center" vertical="center" wrapText="1"/>
    </xf>
    <xf numFmtId="42" fontId="28" fillId="2" borderId="58" xfId="28" applyFont="1" applyFill="1" applyBorder="1" applyAlignment="1">
      <alignment vertical="center" wrapText="1"/>
    </xf>
    <xf numFmtId="42" fontId="28" fillId="2" borderId="58" xfId="28" applyFont="1" applyFill="1" applyBorder="1" applyAlignment="1">
      <alignment horizontal="center" vertical="center" wrapText="1"/>
    </xf>
    <xf numFmtId="42" fontId="28" fillId="2" borderId="62" xfId="28" applyFont="1" applyFill="1" applyBorder="1" applyAlignment="1">
      <alignment horizontal="center" vertical="center" wrapText="1"/>
    </xf>
    <xf numFmtId="165" fontId="0" fillId="0" borderId="0" xfId="0" applyNumberFormat="1"/>
    <xf numFmtId="164" fontId="0" fillId="0" borderId="0" xfId="13" applyFont="1"/>
    <xf numFmtId="42" fontId="29" fillId="2" borderId="58" xfId="28" applyFont="1" applyFill="1" applyBorder="1" applyAlignment="1">
      <alignment horizontal="center" vertical="center" wrapText="1"/>
    </xf>
    <xf numFmtId="43" fontId="29" fillId="2" borderId="58" xfId="8" applyFont="1" applyFill="1" applyBorder="1" applyAlignment="1">
      <alignment vertical="center" wrapText="1"/>
    </xf>
    <xf numFmtId="42" fontId="29" fillId="2" borderId="62" xfId="28" applyFont="1" applyFill="1" applyBorder="1" applyAlignment="1">
      <alignment vertical="center" wrapText="1"/>
    </xf>
    <xf numFmtId="42" fontId="28" fillId="0" borderId="69" xfId="28" applyFont="1" applyFill="1" applyBorder="1" applyAlignment="1">
      <alignment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2" fontId="0" fillId="0" borderId="0" xfId="0" applyNumberFormat="1" applyAlignment="1">
      <alignment horizontal="center"/>
    </xf>
    <xf numFmtId="0" fontId="26" fillId="0" borderId="0" xfId="0" applyFont="1" applyAlignment="1">
      <alignment horizontal="center"/>
    </xf>
    <xf numFmtId="164" fontId="26" fillId="0" borderId="0" xfId="0" applyNumberFormat="1" applyFont="1" applyAlignment="1">
      <alignment horizontal="center"/>
    </xf>
    <xf numFmtId="0" fontId="26" fillId="0" borderId="0" xfId="0" applyFont="1"/>
    <xf numFmtId="0" fontId="1" fillId="0" borderId="0" xfId="22"/>
    <xf numFmtId="42" fontId="20" fillId="2" borderId="71" xfId="28" applyFont="1" applyFill="1" applyBorder="1" applyAlignment="1">
      <alignment vertical="center" wrapText="1"/>
    </xf>
    <xf numFmtId="164" fontId="0" fillId="0" borderId="0" xfId="0" applyNumberFormat="1"/>
    <xf numFmtId="0" fontId="27" fillId="0" borderId="61" xfId="15" applyFont="1" applyBorder="1" applyAlignment="1">
      <alignment horizontal="center" vertical="center" wrapText="1"/>
    </xf>
    <xf numFmtId="0" fontId="27" fillId="0" borderId="61" xfId="15" applyFont="1" applyBorder="1" applyAlignment="1">
      <alignment horizontal="center" vertical="center"/>
    </xf>
    <xf numFmtId="0" fontId="27" fillId="0" borderId="58" xfId="15" applyFont="1" applyBorder="1" applyAlignment="1">
      <alignment horizontal="center" vertical="center" wrapText="1"/>
    </xf>
    <xf numFmtId="0" fontId="27" fillId="0" borderId="58" xfId="15" applyFont="1" applyBorder="1" applyAlignment="1">
      <alignment horizontal="center" vertical="center"/>
    </xf>
    <xf numFmtId="168" fontId="2" fillId="0" borderId="27" xfId="2" applyNumberFormat="1" applyBorder="1" applyAlignment="1">
      <alignment horizontal="right" vertical="center"/>
    </xf>
    <xf numFmtId="0" fontId="25" fillId="2" borderId="0" xfId="2" applyFont="1" applyFill="1" applyAlignment="1">
      <alignment vertical="center"/>
    </xf>
    <xf numFmtId="42" fontId="29" fillId="2" borderId="58" xfId="5" applyFont="1" applyFill="1" applyBorder="1" applyAlignment="1">
      <alignment vertical="center" wrapText="1"/>
    </xf>
    <xf numFmtId="42" fontId="29" fillId="2" borderId="58" xfId="5" applyFont="1" applyFill="1" applyBorder="1" applyAlignment="1">
      <alignment horizontal="center" vertical="center" wrapText="1"/>
    </xf>
    <xf numFmtId="175" fontId="29" fillId="2" borderId="58" xfId="8" applyNumberFormat="1" applyFont="1" applyFill="1" applyBorder="1" applyAlignment="1">
      <alignment vertical="center" wrapText="1"/>
    </xf>
    <xf numFmtId="0" fontId="29" fillId="2" borderId="58" xfId="5" applyNumberFormat="1" applyFont="1" applyFill="1" applyBorder="1" applyAlignment="1">
      <alignment vertical="center" wrapText="1"/>
    </xf>
    <xf numFmtId="0" fontId="29" fillId="2" borderId="58" xfId="5" applyNumberFormat="1" applyFont="1" applyFill="1" applyBorder="1" applyAlignment="1">
      <alignment horizontal="center" vertical="center" wrapText="1"/>
    </xf>
    <xf numFmtId="0" fontId="7" fillId="0" borderId="14" xfId="2" applyFont="1" applyBorder="1" applyAlignment="1">
      <alignment horizontal="left" vertical="center" wrapText="1"/>
    </xf>
    <xf numFmtId="166" fontId="6" fillId="4" borderId="32" xfId="2" applyNumberFormat="1" applyFont="1" applyFill="1" applyBorder="1" applyAlignment="1">
      <alignment horizontal="left" vertical="center"/>
    </xf>
    <xf numFmtId="0" fontId="12" fillId="0" borderId="0" xfId="2" applyFont="1" applyAlignment="1">
      <alignment wrapText="1"/>
    </xf>
    <xf numFmtId="17" fontId="4" fillId="0" borderId="32" xfId="2" applyNumberFormat="1" applyFont="1" applyBorder="1" applyAlignment="1">
      <alignment horizontal="center" vertical="center"/>
    </xf>
    <xf numFmtId="168" fontId="11" fillId="2" borderId="0" xfId="2" applyNumberFormat="1" applyFont="1" applyFill="1" applyAlignment="1">
      <alignment horizontal="right" vertical="center"/>
    </xf>
    <xf numFmtId="2" fontId="29" fillId="2" borderId="58" xfId="5" applyNumberFormat="1" applyFont="1" applyFill="1" applyBorder="1" applyAlignment="1">
      <alignment horizontal="center" vertical="center" wrapText="1"/>
    </xf>
    <xf numFmtId="42" fontId="29" fillId="2" borderId="88" xfId="5" applyFont="1" applyFill="1" applyBorder="1" applyAlignment="1">
      <alignment horizontal="left" vertical="center" wrapText="1"/>
    </xf>
    <xf numFmtId="42" fontId="29" fillId="2" borderId="89" xfId="5" applyFont="1" applyFill="1" applyBorder="1" applyAlignment="1">
      <alignment horizontal="left" vertical="center" wrapText="1"/>
    </xf>
    <xf numFmtId="0" fontId="29" fillId="2" borderId="90" xfId="5" applyNumberFormat="1" applyFont="1" applyFill="1" applyBorder="1" applyAlignment="1">
      <alignment vertical="center" wrapText="1"/>
    </xf>
    <xf numFmtId="42" fontId="29" fillId="2" borderId="90" xfId="5" applyFont="1" applyFill="1" applyBorder="1" applyAlignment="1">
      <alignment horizontal="center" vertical="center" wrapText="1"/>
    </xf>
    <xf numFmtId="42" fontId="29" fillId="2" borderId="90" xfId="5" applyFont="1" applyFill="1" applyBorder="1" applyAlignment="1">
      <alignment vertical="center" wrapText="1"/>
    </xf>
    <xf numFmtId="43" fontId="29" fillId="2" borderId="90" xfId="8" applyFont="1" applyFill="1" applyBorder="1" applyAlignment="1">
      <alignment vertical="center" wrapText="1"/>
    </xf>
    <xf numFmtId="0" fontId="33" fillId="0" borderId="0" xfId="2" applyFont="1" applyAlignment="1">
      <alignment vertical="center"/>
    </xf>
    <xf numFmtId="164" fontId="29" fillId="2" borderId="58" xfId="25" applyFont="1" applyFill="1" applyBorder="1" applyAlignment="1">
      <alignment horizontal="center" vertical="center" wrapText="1"/>
    </xf>
    <xf numFmtId="164" fontId="2" fillId="0" borderId="0" xfId="25"/>
    <xf numFmtId="175" fontId="29" fillId="2" borderId="58" xfId="8" applyNumberFormat="1" applyFont="1" applyFill="1" applyBorder="1" applyAlignment="1">
      <alignment horizontal="center" vertical="center" wrapText="1"/>
    </xf>
    <xf numFmtId="164" fontId="0" fillId="0" borderId="0" xfId="25" applyFont="1"/>
    <xf numFmtId="43" fontId="0" fillId="0" borderId="0" xfId="8" applyFont="1"/>
    <xf numFmtId="164" fontId="26" fillId="0" borderId="0" xfId="25" applyFont="1" applyAlignment="1">
      <alignment horizontal="center"/>
    </xf>
    <xf numFmtId="43" fontId="29" fillId="2" borderId="58" xfId="8" applyFont="1" applyFill="1" applyBorder="1" applyAlignment="1">
      <alignment horizontal="center" vertical="center" wrapText="1"/>
    </xf>
    <xf numFmtId="43" fontId="34" fillId="0" borderId="0" xfId="1" applyFont="1" applyAlignment="1">
      <alignment vertical="center"/>
    </xf>
    <xf numFmtId="43" fontId="4" fillId="0" borderId="0" xfId="1" applyFont="1" applyAlignment="1">
      <alignment vertical="center"/>
    </xf>
    <xf numFmtId="43" fontId="34" fillId="2" borderId="0" xfId="1" applyFont="1" applyFill="1" applyAlignment="1">
      <alignment vertical="center"/>
    </xf>
    <xf numFmtId="43" fontId="35" fillId="0" borderId="0" xfId="1" applyFont="1" applyAlignment="1">
      <alignment vertical="center"/>
    </xf>
    <xf numFmtId="168" fontId="3" fillId="0" borderId="0" xfId="2" applyNumberFormat="1" applyFont="1"/>
    <xf numFmtId="2" fontId="10" fillId="6" borderId="12" xfId="2" applyNumberFormat="1" applyFont="1" applyFill="1" applyBorder="1" applyAlignment="1">
      <alignment horizontal="center" vertical="center"/>
    </xf>
    <xf numFmtId="2" fontId="7" fillId="5" borderId="30" xfId="2" applyNumberFormat="1" applyFont="1" applyFill="1" applyBorder="1" applyAlignment="1">
      <alignment vertical="center"/>
    </xf>
    <xf numFmtId="2" fontId="10" fillId="4" borderId="9" xfId="2" applyNumberFormat="1" applyFont="1" applyFill="1" applyBorder="1" applyAlignment="1">
      <alignment horizontal="center" vertical="center"/>
    </xf>
    <xf numFmtId="2" fontId="11" fillId="0" borderId="40" xfId="2" applyNumberFormat="1" applyFont="1" applyBorder="1" applyAlignment="1">
      <alignment horizontal="center" vertical="center"/>
    </xf>
    <xf numFmtId="2" fontId="15" fillId="0" borderId="17" xfId="2" applyNumberFormat="1" applyFont="1" applyBorder="1" applyAlignment="1">
      <alignment vertical="center" wrapText="1"/>
    </xf>
    <xf numFmtId="2" fontId="15" fillId="0" borderId="4" xfId="2" applyNumberFormat="1" applyFont="1" applyBorder="1" applyAlignment="1">
      <alignment horizontal="justify" vertical="center"/>
    </xf>
    <xf numFmtId="2" fontId="15" fillId="0" borderId="20" xfId="2" applyNumberFormat="1" applyFont="1" applyBorder="1" applyAlignment="1">
      <alignment horizontal="justify" vertical="center"/>
    </xf>
    <xf numFmtId="43" fontId="3" fillId="0" borderId="0" xfId="2" applyNumberFormat="1" applyFont="1"/>
    <xf numFmtId="177" fontId="3" fillId="0" borderId="0" xfId="2" applyNumberFormat="1" applyFont="1"/>
    <xf numFmtId="178" fontId="3" fillId="0" borderId="0" xfId="2" applyNumberFormat="1" applyFont="1"/>
    <xf numFmtId="42" fontId="3" fillId="0" borderId="0" xfId="2" applyNumberFormat="1" applyFont="1"/>
    <xf numFmtId="164" fontId="3" fillId="2" borderId="0" xfId="13" applyFont="1" applyFill="1"/>
    <xf numFmtId="164" fontId="3" fillId="2" borderId="0" xfId="2" applyNumberFormat="1" applyFont="1" applyFill="1"/>
    <xf numFmtId="179" fontId="3" fillId="0" borderId="0" xfId="2" applyNumberFormat="1" applyFont="1"/>
    <xf numFmtId="9" fontId="3" fillId="0" borderId="0" xfId="53" applyFont="1"/>
    <xf numFmtId="168" fontId="23" fillId="0" borderId="0" xfId="2" applyNumberFormat="1" applyFont="1" applyAlignment="1">
      <alignment vertical="center"/>
    </xf>
    <xf numFmtId="43" fontId="4" fillId="0" borderId="0" xfId="2" applyNumberFormat="1" applyFont="1" applyAlignment="1">
      <alignment vertical="center"/>
    </xf>
    <xf numFmtId="0" fontId="4" fillId="0" borderId="0" xfId="2" applyFont="1" applyAlignment="1">
      <alignment horizontal="center" vertical="center"/>
    </xf>
    <xf numFmtId="43" fontId="4" fillId="0" borderId="0" xfId="1" applyFont="1" applyAlignment="1">
      <alignment horizontal="center" vertical="center"/>
    </xf>
    <xf numFmtId="2" fontId="4" fillId="2" borderId="26" xfId="2" applyNumberFormat="1" applyFont="1" applyFill="1" applyBorder="1" applyAlignment="1">
      <alignment horizontal="center" vertical="center"/>
    </xf>
    <xf numFmtId="165" fontId="4" fillId="2" borderId="26" xfId="2" applyNumberFormat="1" applyFont="1" applyFill="1" applyBorder="1" applyAlignment="1">
      <alignment horizontal="center" vertical="center"/>
    </xf>
    <xf numFmtId="165" fontId="4" fillId="0" borderId="26" xfId="2" applyNumberFormat="1" applyFont="1" applyBorder="1" applyAlignment="1">
      <alignment horizontal="center" vertical="center"/>
    </xf>
    <xf numFmtId="169" fontId="4" fillId="0" borderId="27" xfId="4" applyFont="1" applyBorder="1" applyAlignment="1">
      <alignment vertical="center" wrapText="1"/>
    </xf>
    <xf numFmtId="2" fontId="4" fillId="0" borderId="26" xfId="2" applyNumberFormat="1" applyFont="1" applyBorder="1" applyAlignment="1">
      <alignment horizontal="center" vertical="center"/>
    </xf>
    <xf numFmtId="42" fontId="25" fillId="2" borderId="0" xfId="2" applyNumberFormat="1" applyFont="1" applyFill="1" applyAlignment="1">
      <alignment vertical="center"/>
    </xf>
    <xf numFmtId="164" fontId="25" fillId="0" borderId="0" xfId="13" applyFont="1" applyAlignment="1">
      <alignment vertical="center"/>
    </xf>
    <xf numFmtId="0" fontId="3" fillId="0" borderId="8" xfId="2" applyFont="1" applyBorder="1"/>
    <xf numFmtId="164" fontId="22" fillId="0" borderId="0" xfId="13" applyFont="1" applyFill="1" applyAlignment="1">
      <alignment vertical="center"/>
    </xf>
    <xf numFmtId="43" fontId="34" fillId="0" borderId="0" xfId="1" applyFont="1" applyFill="1" applyAlignment="1">
      <alignment vertical="center"/>
    </xf>
    <xf numFmtId="169" fontId="4" fillId="8" borderId="27" xfId="4" applyFont="1" applyFill="1" applyBorder="1" applyAlignment="1">
      <alignment horizontal="left" vertical="center" wrapText="1"/>
    </xf>
    <xf numFmtId="0" fontId="4" fillId="8" borderId="27" xfId="2" applyFont="1" applyFill="1" applyBorder="1" applyAlignment="1">
      <alignment horizontal="center" vertical="center"/>
    </xf>
    <xf numFmtId="2" fontId="4" fillId="8" borderId="27" xfId="2" applyNumberFormat="1" applyFont="1" applyFill="1" applyBorder="1" applyAlignment="1">
      <alignment horizontal="center" vertical="center"/>
    </xf>
    <xf numFmtId="168" fontId="4" fillId="8" borderId="27" xfId="2" applyNumberFormat="1" applyFont="1" applyFill="1" applyBorder="1" applyAlignment="1">
      <alignment horizontal="right" vertical="center"/>
    </xf>
    <xf numFmtId="42" fontId="4" fillId="8" borderId="28" xfId="2" applyNumberFormat="1" applyFont="1" applyFill="1" applyBorder="1" applyAlignment="1">
      <alignment horizontal="right" vertical="center"/>
    </xf>
    <xf numFmtId="164" fontId="25" fillId="0" borderId="0" xfId="13" applyFont="1" applyFill="1" applyAlignment="1">
      <alignment vertical="center"/>
    </xf>
    <xf numFmtId="168" fontId="25" fillId="0" borderId="0" xfId="2" applyNumberFormat="1" applyFont="1" applyAlignment="1">
      <alignment vertical="center"/>
    </xf>
    <xf numFmtId="0" fontId="3" fillId="8" borderId="4" xfId="2" applyFont="1" applyFill="1" applyBorder="1"/>
    <xf numFmtId="0" fontId="3" fillId="8" borderId="8" xfId="2" applyFont="1" applyFill="1" applyBorder="1"/>
    <xf numFmtId="0" fontId="25" fillId="8" borderId="0" xfId="2" applyFont="1" applyFill="1" applyAlignment="1">
      <alignment vertical="center"/>
    </xf>
    <xf numFmtId="164" fontId="25" fillId="8" borderId="0" xfId="13" applyFont="1" applyFill="1" applyAlignment="1">
      <alignment vertical="center"/>
    </xf>
    <xf numFmtId="43" fontId="34" fillId="8" borderId="0" xfId="1" applyFont="1" applyFill="1" applyAlignment="1">
      <alignment vertical="center"/>
    </xf>
    <xf numFmtId="168" fontId="3" fillId="8" borderId="0" xfId="2" applyNumberFormat="1" applyFont="1" applyFill="1"/>
    <xf numFmtId="0" fontId="3" fillId="8" borderId="0" xfId="2" applyFont="1" applyFill="1"/>
    <xf numFmtId="0" fontId="4" fillId="0" borderId="12" xfId="2" applyFont="1" applyBorder="1" applyAlignment="1">
      <alignment horizontal="center" vertical="center"/>
    </xf>
    <xf numFmtId="169" fontId="4" fillId="0" borderId="16" xfId="4" applyFont="1" applyBorder="1" applyAlignment="1">
      <alignment horizontal="left" vertical="center" wrapText="1"/>
    </xf>
    <xf numFmtId="0" fontId="4" fillId="0" borderId="16" xfId="2" applyFont="1" applyBorder="1" applyAlignment="1">
      <alignment horizontal="center" vertical="center"/>
    </xf>
    <xf numFmtId="2" fontId="4" fillId="0" borderId="16" xfId="2" applyNumberFormat="1" applyFont="1" applyBorder="1" applyAlignment="1">
      <alignment horizontal="center" vertical="center"/>
    </xf>
    <xf numFmtId="168" fontId="4" fillId="0" borderId="16" xfId="2" applyNumberFormat="1" applyFont="1" applyBorder="1" applyAlignment="1">
      <alignment horizontal="right" vertical="center"/>
    </xf>
    <xf numFmtId="42" fontId="4" fillId="0" borderId="15" xfId="2" applyNumberFormat="1" applyFont="1" applyBorder="1" applyAlignment="1">
      <alignment horizontal="right" vertical="center"/>
    </xf>
    <xf numFmtId="42" fontId="4" fillId="9" borderId="28" xfId="2" applyNumberFormat="1" applyFont="1" applyFill="1" applyBorder="1" applyAlignment="1">
      <alignment horizontal="right" vertical="center"/>
    </xf>
    <xf numFmtId="169" fontId="4" fillId="9" borderId="16" xfId="4" applyFont="1" applyFill="1" applyBorder="1" applyAlignment="1">
      <alignment horizontal="left" vertical="center" wrapText="1"/>
    </xf>
    <xf numFmtId="0" fontId="4" fillId="9" borderId="16" xfId="2" applyFont="1" applyFill="1" applyBorder="1" applyAlignment="1">
      <alignment horizontal="center" vertical="center"/>
    </xf>
    <xf numFmtId="2" fontId="4" fillId="9" borderId="16" xfId="2" applyNumberFormat="1" applyFont="1" applyFill="1" applyBorder="1" applyAlignment="1">
      <alignment horizontal="center" vertical="center"/>
    </xf>
    <xf numFmtId="168" fontId="4" fillId="9" borderId="16" xfId="2" applyNumberFormat="1" applyFont="1" applyFill="1" applyBorder="1" applyAlignment="1">
      <alignment horizontal="right" vertical="center"/>
    </xf>
    <xf numFmtId="2" fontId="4" fillId="8" borderId="26" xfId="2" applyNumberFormat="1" applyFont="1" applyFill="1" applyBorder="1" applyAlignment="1">
      <alignment horizontal="center" vertical="center"/>
    </xf>
    <xf numFmtId="0" fontId="4" fillId="8" borderId="26" xfId="2" applyFont="1" applyFill="1" applyBorder="1" applyAlignment="1">
      <alignment horizontal="center" vertical="center"/>
    </xf>
    <xf numFmtId="168" fontId="11" fillId="8" borderId="27" xfId="2" applyNumberFormat="1" applyFont="1" applyFill="1" applyBorder="1" applyAlignment="1">
      <alignment horizontal="right" vertical="center"/>
    </xf>
    <xf numFmtId="0" fontId="25" fillId="8" borderId="0" xfId="2" applyFont="1" applyFill="1" applyAlignment="1">
      <alignment vertical="center" wrapText="1"/>
    </xf>
    <xf numFmtId="0" fontId="36" fillId="0" borderId="41" xfId="0" applyFont="1" applyBorder="1"/>
    <xf numFmtId="0" fontId="0" fillId="0" borderId="41" xfId="0" applyBorder="1" applyAlignment="1">
      <alignment wrapText="1"/>
    </xf>
    <xf numFmtId="0" fontId="0" fillId="0" borderId="41" xfId="0" applyBorder="1"/>
    <xf numFmtId="0" fontId="25" fillId="0" borderId="0" xfId="2" applyFont="1" applyAlignment="1">
      <alignment vertical="center" wrapText="1"/>
    </xf>
    <xf numFmtId="2" fontId="2" fillId="0" borderId="27" xfId="2" applyNumberFormat="1" applyBorder="1" applyAlignment="1">
      <alignment horizontal="center" vertical="center"/>
    </xf>
    <xf numFmtId="164" fontId="3" fillId="0" borderId="0" xfId="13" applyFont="1" applyAlignment="1">
      <alignment vertical="center"/>
    </xf>
    <xf numFmtId="0" fontId="3" fillId="0" borderId="0" xfId="2" applyFont="1" applyAlignment="1">
      <alignment vertical="center"/>
    </xf>
    <xf numFmtId="0" fontId="24" fillId="0" borderId="0" xfId="2" applyFont="1" applyAlignment="1">
      <alignment vertical="center"/>
    </xf>
    <xf numFmtId="0" fontId="3" fillId="2" borderId="0" xfId="2" applyFont="1" applyFill="1" applyAlignment="1">
      <alignment vertical="center"/>
    </xf>
    <xf numFmtId="170" fontId="3" fillId="2" borderId="0" xfId="2" applyNumberFormat="1" applyFont="1" applyFill="1" applyAlignment="1">
      <alignment vertical="center"/>
    </xf>
    <xf numFmtId="164" fontId="3" fillId="2" borderId="0" xfId="13" applyFont="1" applyFill="1" applyAlignment="1">
      <alignment vertical="center"/>
    </xf>
    <xf numFmtId="164" fontId="3" fillId="2" borderId="0" xfId="2" applyNumberFormat="1" applyFont="1" applyFill="1" applyAlignment="1">
      <alignment vertical="center"/>
    </xf>
    <xf numFmtId="3" fontId="37" fillId="0" borderId="0" xfId="0" applyNumberFormat="1" applyFont="1"/>
    <xf numFmtId="43" fontId="20" fillId="3" borderId="42" xfId="1" applyFont="1" applyFill="1" applyBorder="1" applyAlignment="1">
      <alignment horizontal="center" vertical="center"/>
    </xf>
    <xf numFmtId="43" fontId="31" fillId="0" borderId="57" xfId="1" applyFont="1" applyBorder="1" applyAlignment="1">
      <alignment horizontal="center" vertical="center"/>
    </xf>
    <xf numFmtId="43" fontId="28" fillId="3" borderId="57" xfId="1" applyFont="1" applyFill="1" applyBorder="1" applyAlignment="1">
      <alignment horizontal="center" vertical="center" wrapText="1"/>
    </xf>
    <xf numFmtId="43" fontId="28" fillId="3" borderId="66" xfId="1" applyFont="1" applyFill="1" applyBorder="1" applyAlignment="1">
      <alignment horizontal="center" vertical="center" wrapText="1"/>
    </xf>
    <xf numFmtId="43" fontId="28" fillId="0" borderId="46" xfId="1" applyFont="1" applyBorder="1" applyAlignment="1">
      <alignment horizontal="center" vertical="center" wrapText="1"/>
    </xf>
    <xf numFmtId="43" fontId="0" fillId="0" borderId="0" xfId="1" applyFont="1" applyAlignment="1">
      <alignment horizontal="center"/>
    </xf>
    <xf numFmtId="43" fontId="29" fillId="2" borderId="87" xfId="1" applyFont="1" applyFill="1" applyBorder="1" applyAlignment="1">
      <alignment horizontal="center" vertical="center" wrapText="1"/>
    </xf>
    <xf numFmtId="43" fontId="29" fillId="0" borderId="77" xfId="1" applyFont="1" applyBorder="1" applyAlignment="1">
      <alignment horizontal="center" vertical="center" wrapText="1"/>
    </xf>
    <xf numFmtId="43" fontId="29" fillId="0" borderId="74" xfId="1" applyFont="1" applyBorder="1" applyAlignment="1">
      <alignment horizontal="center" vertical="center"/>
    </xf>
    <xf numFmtId="43" fontId="29" fillId="0" borderId="81" xfId="1" applyFont="1" applyBorder="1" applyAlignment="1">
      <alignment horizontal="center" vertical="center"/>
    </xf>
    <xf numFmtId="43" fontId="29" fillId="0" borderId="20" xfId="1" applyFont="1" applyBorder="1" applyAlignment="1">
      <alignment horizontal="center" vertical="center"/>
    </xf>
    <xf numFmtId="3" fontId="28" fillId="0" borderId="21" xfId="15" applyNumberFormat="1" applyFont="1" applyBorder="1" applyAlignment="1">
      <alignment horizontal="center" vertical="center" wrapText="1"/>
    </xf>
    <xf numFmtId="0" fontId="28" fillId="0" borderId="21" xfId="15" applyFont="1" applyBorder="1" applyAlignment="1">
      <alignment horizontal="center" vertical="center" wrapText="1"/>
    </xf>
    <xf numFmtId="0" fontId="27" fillId="0" borderId="0" xfId="15" applyFont="1" applyAlignment="1">
      <alignment horizontal="center" vertical="center" wrapText="1"/>
    </xf>
    <xf numFmtId="0" fontId="27" fillId="0" borderId="0" xfId="15" applyFont="1" applyAlignment="1">
      <alignment horizontal="center" vertical="center"/>
    </xf>
    <xf numFmtId="0" fontId="36" fillId="0" borderId="0" xfId="0" applyFont="1"/>
    <xf numFmtId="164" fontId="22" fillId="0" borderId="0" xfId="13" applyFont="1" applyAlignment="1">
      <alignment vertical="center"/>
    </xf>
    <xf numFmtId="164" fontId="23" fillId="0" borderId="0" xfId="13" applyFont="1" applyAlignment="1">
      <alignment vertical="center"/>
    </xf>
    <xf numFmtId="164" fontId="22" fillId="2" borderId="0" xfId="13" applyFont="1" applyFill="1" applyAlignment="1">
      <alignment vertical="center"/>
    </xf>
    <xf numFmtId="176" fontId="28" fillId="0" borderId="46" xfId="1" applyNumberFormat="1" applyFont="1" applyBorder="1" applyAlignment="1">
      <alignment horizontal="center" vertical="center" wrapText="1"/>
    </xf>
    <xf numFmtId="42" fontId="0" fillId="0" borderId="0" xfId="0" applyNumberFormat="1"/>
    <xf numFmtId="42" fontId="1" fillId="0" borderId="0" xfId="22" applyNumberFormat="1"/>
    <xf numFmtId="2" fontId="3" fillId="0" borderId="2" xfId="1" applyNumberFormat="1" applyFont="1" applyBorder="1" applyAlignment="1">
      <alignment horizontal="center" vertical="center"/>
    </xf>
    <xf numFmtId="2" fontId="7" fillId="0" borderId="12" xfId="1" applyNumberFormat="1" applyFont="1" applyBorder="1" applyAlignment="1">
      <alignment horizontal="center" vertical="center"/>
    </xf>
    <xf numFmtId="2" fontId="7" fillId="0" borderId="12" xfId="1" applyNumberFormat="1" applyFont="1" applyBorder="1" applyAlignment="1">
      <alignment horizontal="center" vertical="center" wrapText="1"/>
    </xf>
    <xf numFmtId="2" fontId="7" fillId="0" borderId="23" xfId="1" applyNumberFormat="1" applyFont="1" applyBorder="1" applyAlignment="1">
      <alignment horizontal="center" vertical="center" wrapText="1"/>
    </xf>
    <xf numFmtId="2" fontId="10" fillId="4" borderId="12" xfId="1" applyNumberFormat="1" applyFont="1" applyFill="1" applyBorder="1" applyAlignment="1">
      <alignment horizontal="center" vertical="center"/>
    </xf>
    <xf numFmtId="2" fontId="7" fillId="5" borderId="30" xfId="1" applyNumberFormat="1" applyFont="1" applyFill="1" applyBorder="1" applyAlignment="1">
      <alignment horizontal="center" vertical="center"/>
    </xf>
    <xf numFmtId="2" fontId="3" fillId="0" borderId="0" xfId="1" applyNumberFormat="1" applyFont="1" applyAlignment="1">
      <alignment horizontal="center" vertical="center"/>
    </xf>
    <xf numFmtId="2" fontId="15" fillId="0" borderId="17" xfId="1" applyNumberFormat="1" applyFont="1" applyBorder="1" applyAlignment="1">
      <alignment horizontal="center" vertical="center" wrapText="1"/>
    </xf>
    <xf numFmtId="2" fontId="15" fillId="0" borderId="4" xfId="1" applyNumberFormat="1" applyFont="1" applyBorder="1" applyAlignment="1">
      <alignment horizontal="center" vertical="center"/>
    </xf>
    <xf numFmtId="2" fontId="15" fillId="0" borderId="20" xfId="1" applyNumberFormat="1" applyFont="1" applyBorder="1" applyAlignment="1">
      <alignment horizontal="center" vertical="center"/>
    </xf>
    <xf numFmtId="2" fontId="3" fillId="0" borderId="21" xfId="1" applyNumberFormat="1" applyFont="1" applyBorder="1" applyAlignment="1">
      <alignment horizontal="center" vertical="center"/>
    </xf>
    <xf numFmtId="2" fontId="4" fillId="0" borderId="40" xfId="1" applyNumberFormat="1" applyFont="1" applyBorder="1" applyAlignment="1">
      <alignment horizontal="center" vertical="center"/>
    </xf>
    <xf numFmtId="169" fontId="4" fillId="2" borderId="92" xfId="4" applyFont="1" applyFill="1" applyBorder="1" applyAlignment="1">
      <alignment horizontal="left" vertical="center" wrapText="1"/>
    </xf>
    <xf numFmtId="0" fontId="4" fillId="2" borderId="92" xfId="2" applyFont="1" applyFill="1" applyBorder="1" applyAlignment="1">
      <alignment horizontal="center" vertical="center"/>
    </xf>
    <xf numFmtId="2" fontId="4" fillId="2" borderId="92" xfId="2" applyNumberFormat="1" applyFont="1" applyFill="1" applyBorder="1" applyAlignment="1">
      <alignment horizontal="center" vertical="center"/>
    </xf>
    <xf numFmtId="168" fontId="11" fillId="0" borderId="92" xfId="2" applyNumberFormat="1" applyFont="1" applyBorder="1" applyAlignment="1">
      <alignment horizontal="right" vertical="center"/>
    </xf>
    <xf numFmtId="42" fontId="4" fillId="0" borderId="93" xfId="2" applyNumberFormat="1" applyFont="1" applyBorder="1" applyAlignment="1">
      <alignment horizontal="right" vertical="center"/>
    </xf>
    <xf numFmtId="2" fontId="4" fillId="0" borderId="41" xfId="1" applyNumberFormat="1" applyFont="1" applyBorder="1" applyAlignment="1">
      <alignment horizontal="center" vertical="center"/>
    </xf>
    <xf numFmtId="169" fontId="4" fillId="2" borderId="41" xfId="4" applyFont="1" applyFill="1" applyBorder="1" applyAlignment="1">
      <alignment horizontal="left" vertical="center" wrapText="1"/>
    </xf>
    <xf numFmtId="0" fontId="4" fillId="2" borderId="41" xfId="2" applyFont="1" applyFill="1" applyBorder="1" applyAlignment="1">
      <alignment horizontal="center" vertical="center"/>
    </xf>
    <xf numFmtId="2" fontId="4" fillId="2" borderId="41" xfId="2" applyNumberFormat="1" applyFont="1" applyFill="1" applyBorder="1" applyAlignment="1">
      <alignment horizontal="center" vertical="center"/>
    </xf>
    <xf numFmtId="168" fontId="11" fillId="0" borderId="41" xfId="2" applyNumberFormat="1" applyFont="1" applyBorder="1" applyAlignment="1">
      <alignment horizontal="right" vertical="center"/>
    </xf>
    <xf numFmtId="0" fontId="9" fillId="7" borderId="12" xfId="2" applyFont="1" applyFill="1" applyBorder="1" applyAlignment="1">
      <alignment horizontal="right" vertical="center"/>
    </xf>
    <xf numFmtId="0" fontId="9" fillId="7" borderId="16" xfId="2" applyFont="1" applyFill="1" applyBorder="1" applyAlignment="1">
      <alignment horizontal="right" vertical="center"/>
    </xf>
    <xf numFmtId="2" fontId="15" fillId="0" borderId="1" xfId="2" applyNumberFormat="1" applyFont="1" applyBorder="1" applyAlignment="1">
      <alignment horizontal="left" vertical="center" wrapText="1"/>
    </xf>
    <xf numFmtId="2" fontId="15" fillId="0" borderId="4" xfId="2" applyNumberFormat="1" applyFont="1" applyBorder="1" applyAlignment="1">
      <alignment horizontal="left" vertical="center" wrapText="1"/>
    </xf>
    <xf numFmtId="2" fontId="15" fillId="0" borderId="29" xfId="2" applyNumberFormat="1" applyFont="1" applyBorder="1" applyAlignment="1">
      <alignment horizontal="left" vertical="center" wrapText="1"/>
    </xf>
    <xf numFmtId="0" fontId="16" fillId="0" borderId="14" xfId="2" applyFont="1" applyBorder="1" applyAlignment="1">
      <alignment horizontal="center" vertical="center"/>
    </xf>
    <xf numFmtId="0" fontId="16" fillId="0" borderId="13" xfId="2" applyFont="1" applyBorder="1" applyAlignment="1">
      <alignment horizontal="center" vertical="center"/>
    </xf>
    <xf numFmtId="170" fontId="6" fillId="5" borderId="31" xfId="5" applyNumberFormat="1" applyFont="1" applyFill="1" applyBorder="1" applyAlignment="1">
      <alignment horizontal="center" vertical="center" wrapText="1"/>
    </xf>
    <xf numFmtId="165" fontId="13" fillId="3" borderId="9" xfId="2" applyNumberFormat="1" applyFont="1" applyFill="1" applyBorder="1" applyAlignment="1">
      <alignment horizontal="center" vertical="center" wrapText="1"/>
    </xf>
    <xf numFmtId="165" fontId="13" fillId="3" borderId="33" xfId="2" applyNumberFormat="1" applyFont="1" applyFill="1" applyBorder="1" applyAlignment="1">
      <alignment horizontal="center" vertical="center" wrapText="1"/>
    </xf>
    <xf numFmtId="10" fontId="4" fillId="0" borderId="17" xfId="6" applyNumberFormat="1" applyFont="1" applyFill="1" applyBorder="1" applyAlignment="1">
      <alignment horizontal="left" vertical="center" wrapText="1"/>
    </xf>
    <xf numFmtId="10" fontId="4" fillId="0" borderId="36" xfId="6" applyNumberFormat="1" applyFont="1" applyFill="1" applyBorder="1" applyAlignment="1">
      <alignment horizontal="left" vertical="center" wrapText="1"/>
    </xf>
    <xf numFmtId="10" fontId="4" fillId="0" borderId="29" xfId="6" applyNumberFormat="1" applyFont="1" applyFill="1" applyBorder="1" applyAlignment="1">
      <alignment horizontal="left" vertical="center" wrapText="1"/>
    </xf>
    <xf numFmtId="10" fontId="4" fillId="0" borderId="37" xfId="6" applyNumberFormat="1" applyFont="1" applyFill="1" applyBorder="1" applyAlignment="1">
      <alignment horizontal="left" vertical="center" wrapText="1"/>
    </xf>
    <xf numFmtId="42" fontId="7" fillId="4" borderId="14" xfId="2" applyNumberFormat="1" applyFont="1" applyFill="1" applyBorder="1" applyAlignment="1">
      <alignment horizontal="center" vertical="center"/>
    </xf>
    <xf numFmtId="42" fontId="7" fillId="4" borderId="13" xfId="2" applyNumberFormat="1" applyFont="1" applyFill="1" applyBorder="1" applyAlignment="1">
      <alignment horizontal="center" vertical="center"/>
    </xf>
    <xf numFmtId="0" fontId="9" fillId="6" borderId="12" xfId="2" applyFont="1" applyFill="1" applyBorder="1" applyAlignment="1">
      <alignment horizontal="left" vertical="center"/>
    </xf>
    <xf numFmtId="0" fontId="9" fillId="6" borderId="16" xfId="2" applyFont="1" applyFill="1" applyBorder="1" applyAlignment="1">
      <alignment horizontal="left" vertical="center"/>
    </xf>
    <xf numFmtId="0" fontId="10" fillId="3" borderId="12" xfId="2" applyFont="1" applyFill="1" applyBorder="1" applyAlignment="1">
      <alignment horizontal="left" vertical="center"/>
    </xf>
    <xf numFmtId="0" fontId="10" fillId="3" borderId="16" xfId="2" applyFont="1" applyFill="1" applyBorder="1" applyAlignment="1">
      <alignment horizontal="left" vertical="center"/>
    </xf>
    <xf numFmtId="165" fontId="13" fillId="3" borderId="12" xfId="2" applyNumberFormat="1" applyFont="1" applyFill="1" applyBorder="1" applyAlignment="1">
      <alignment horizontal="center" vertical="center" wrapText="1"/>
    </xf>
    <xf numFmtId="165" fontId="13" fillId="3" borderId="13" xfId="2" applyNumberFormat="1" applyFont="1" applyFill="1" applyBorder="1" applyAlignment="1">
      <alignment horizontal="center" vertical="center" wrapText="1"/>
    </xf>
    <xf numFmtId="171" fontId="5" fillId="0" borderId="17" xfId="2" applyNumberFormat="1" applyFont="1" applyBorder="1" applyAlignment="1">
      <alignment horizontal="center" vertical="center" wrapText="1"/>
    </xf>
    <xf numFmtId="171" fontId="5" fillId="0" borderId="36" xfId="2" applyNumberFormat="1" applyFont="1" applyBorder="1" applyAlignment="1">
      <alignment horizontal="center" vertical="center" wrapText="1"/>
    </xf>
    <xf numFmtId="171" fontId="5" fillId="0" borderId="20" xfId="2" applyNumberFormat="1" applyFont="1" applyBorder="1" applyAlignment="1">
      <alignment horizontal="center" vertical="center" wrapText="1"/>
    </xf>
    <xf numFmtId="171" fontId="5" fillId="0" borderId="38" xfId="2" applyNumberFormat="1" applyFont="1" applyBorder="1" applyAlignment="1">
      <alignment horizontal="center" vertical="center" wrapText="1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166" fontId="14" fillId="3" borderId="6" xfId="2" applyNumberFormat="1" applyFont="1" applyFill="1" applyBorder="1" applyAlignment="1">
      <alignment horizontal="center" vertical="center"/>
    </xf>
    <xf numFmtId="166" fontId="14" fillId="3" borderId="7" xfId="2" applyNumberFormat="1" applyFont="1" applyFill="1" applyBorder="1" applyAlignment="1">
      <alignment horizontal="center" vertical="center"/>
    </xf>
    <xf numFmtId="0" fontId="10" fillId="3" borderId="12" xfId="2" applyFont="1" applyFill="1" applyBorder="1" applyAlignment="1">
      <alignment horizontal="center" vertical="center"/>
    </xf>
    <xf numFmtId="0" fontId="10" fillId="3" borderId="16" xfId="2" applyFont="1" applyFill="1" applyBorder="1" applyAlignment="1">
      <alignment horizontal="center" vertical="center"/>
    </xf>
    <xf numFmtId="0" fontId="5" fillId="0" borderId="5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6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6" fillId="3" borderId="9" xfId="2" applyFont="1" applyFill="1" applyBorder="1" applyAlignment="1">
      <alignment horizontal="center" vertical="center"/>
    </xf>
    <xf numFmtId="0" fontId="6" fillId="3" borderId="10" xfId="2" applyFont="1" applyFill="1" applyBorder="1" applyAlignment="1">
      <alignment horizontal="center" vertical="center"/>
    </xf>
    <xf numFmtId="0" fontId="6" fillId="3" borderId="11" xfId="2" applyFont="1" applyFill="1" applyBorder="1" applyAlignment="1">
      <alignment horizontal="center" vertical="center"/>
    </xf>
    <xf numFmtId="0" fontId="7" fillId="0" borderId="14" xfId="2" applyFont="1" applyBorder="1" applyAlignment="1">
      <alignment horizontal="left" vertical="center" wrapText="1"/>
    </xf>
    <xf numFmtId="0" fontId="7" fillId="0" borderId="16" xfId="2" applyFont="1" applyBorder="1" applyAlignment="1">
      <alignment horizontal="left" vertical="center" wrapText="1"/>
    </xf>
    <xf numFmtId="0" fontId="7" fillId="0" borderId="17" xfId="2" applyFont="1" applyBorder="1" applyAlignment="1">
      <alignment horizontal="left" vertical="center"/>
    </xf>
    <xf numFmtId="0" fontId="7" fillId="0" borderId="20" xfId="2" applyFont="1" applyBorder="1" applyAlignment="1">
      <alignment horizontal="left" vertical="center"/>
    </xf>
    <xf numFmtId="0" fontId="7" fillId="0" borderId="18" xfId="2" applyFont="1" applyBorder="1" applyAlignment="1">
      <alignment horizontal="left" vertical="center" wrapText="1"/>
    </xf>
    <xf numFmtId="0" fontId="7" fillId="0" borderId="19" xfId="2" applyFont="1" applyBorder="1" applyAlignment="1">
      <alignment horizontal="left" vertical="center" wrapText="1"/>
    </xf>
    <xf numFmtId="0" fontId="7" fillId="0" borderId="21" xfId="2" applyFont="1" applyBorder="1" applyAlignment="1">
      <alignment horizontal="left" vertical="center" wrapText="1"/>
    </xf>
    <xf numFmtId="0" fontId="7" fillId="0" borderId="22" xfId="2" applyFont="1" applyBorder="1" applyAlignment="1">
      <alignment horizontal="left" vertical="center" wrapText="1"/>
    </xf>
    <xf numFmtId="0" fontId="7" fillId="0" borderId="6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21" fillId="6" borderId="9" xfId="2" applyFont="1" applyFill="1" applyBorder="1" applyAlignment="1">
      <alignment horizontal="center" vertical="center"/>
    </xf>
    <xf numFmtId="0" fontId="21" fillId="6" borderId="10" xfId="2" applyFont="1" applyFill="1" applyBorder="1" applyAlignment="1">
      <alignment horizontal="center" vertical="center"/>
    </xf>
    <xf numFmtId="0" fontId="21" fillId="6" borderId="11" xfId="2" applyFont="1" applyFill="1" applyBorder="1" applyAlignment="1">
      <alignment horizontal="center" vertical="center"/>
    </xf>
    <xf numFmtId="2" fontId="7" fillId="0" borderId="17" xfId="1" applyNumberFormat="1" applyFont="1" applyBorder="1" applyAlignment="1">
      <alignment horizontal="center" vertical="center"/>
    </xf>
    <xf numFmtId="2" fontId="7" fillId="0" borderId="20" xfId="1" applyNumberFormat="1" applyFont="1" applyBorder="1" applyAlignment="1">
      <alignment horizontal="center" vertical="center"/>
    </xf>
    <xf numFmtId="2" fontId="15" fillId="0" borderId="1" xfId="1" applyNumberFormat="1" applyFont="1" applyBorder="1" applyAlignment="1">
      <alignment horizontal="center" vertical="center" wrapText="1"/>
    </xf>
    <xf numFmtId="2" fontId="15" fillId="0" borderId="4" xfId="1" applyNumberFormat="1" applyFont="1" applyBorder="1" applyAlignment="1">
      <alignment horizontal="center" vertical="center" wrapText="1"/>
    </xf>
    <xf numFmtId="2" fontId="15" fillId="0" borderId="29" xfId="1" applyNumberFormat="1" applyFont="1" applyBorder="1" applyAlignment="1">
      <alignment horizontal="center" vertical="center" wrapText="1"/>
    </xf>
    <xf numFmtId="42" fontId="29" fillId="2" borderId="57" xfId="5" applyFont="1" applyFill="1" applyBorder="1" applyAlignment="1">
      <alignment horizontal="left" vertical="center" wrapText="1"/>
    </xf>
    <xf numFmtId="42" fontId="29" fillId="2" borderId="58" xfId="5" applyFont="1" applyFill="1" applyBorder="1" applyAlignment="1">
      <alignment horizontal="left" vertical="center" wrapText="1"/>
    </xf>
    <xf numFmtId="42" fontId="29" fillId="2" borderId="70" xfId="5" applyFont="1" applyFill="1" applyBorder="1" applyAlignment="1">
      <alignment horizontal="left" vertical="center" wrapText="1"/>
    </xf>
    <xf numFmtId="42" fontId="29" fillId="2" borderId="60" xfId="5" applyFont="1" applyFill="1" applyBorder="1" applyAlignment="1">
      <alignment horizontal="left" vertical="center" wrapText="1"/>
    </xf>
    <xf numFmtId="42" fontId="29" fillId="2" borderId="61" xfId="5" applyFont="1" applyFill="1" applyBorder="1" applyAlignment="1">
      <alignment horizontal="left" vertical="center" wrapText="1"/>
    </xf>
    <xf numFmtId="42" fontId="29" fillId="2" borderId="70" xfId="28" applyFont="1" applyFill="1" applyBorder="1" applyAlignment="1">
      <alignment horizontal="left" vertical="center" wrapText="1"/>
    </xf>
    <xf numFmtId="42" fontId="29" fillId="2" borderId="61" xfId="28" applyFont="1" applyFill="1" applyBorder="1" applyAlignment="1">
      <alignment horizontal="left" vertical="center" wrapText="1"/>
    </xf>
    <xf numFmtId="0" fontId="27" fillId="0" borderId="57" xfId="22" applyFont="1" applyBorder="1" applyAlignment="1">
      <alignment horizontal="center" vertical="center"/>
    </xf>
    <xf numFmtId="0" fontId="27" fillId="0" borderId="58" xfId="22" applyFont="1" applyBorder="1" applyAlignment="1">
      <alignment horizontal="center" vertical="center"/>
    </xf>
    <xf numFmtId="42" fontId="28" fillId="2" borderId="46" xfId="28" applyFont="1" applyFill="1" applyBorder="1" applyAlignment="1">
      <alignment horizontal="right" vertical="center" wrapText="1"/>
    </xf>
    <xf numFmtId="42" fontId="28" fillId="2" borderId="47" xfId="28" applyFont="1" applyFill="1" applyBorder="1" applyAlignment="1">
      <alignment horizontal="right" vertical="center" wrapText="1"/>
    </xf>
    <xf numFmtId="0" fontId="30" fillId="0" borderId="0" xfId="23" applyFont="1" applyAlignment="1">
      <alignment horizontal="center"/>
    </xf>
    <xf numFmtId="0" fontId="28" fillId="3" borderId="5" xfId="15" applyFont="1" applyFill="1" applyBorder="1" applyAlignment="1">
      <alignment horizontal="center" vertical="center"/>
    </xf>
    <xf numFmtId="0" fontId="28" fillId="3" borderId="6" xfId="15" applyFont="1" applyFill="1" applyBorder="1" applyAlignment="1">
      <alignment horizontal="center" vertical="center"/>
    </xf>
    <xf numFmtId="0" fontId="28" fillId="3" borderId="7" xfId="15" applyFont="1" applyFill="1" applyBorder="1" applyAlignment="1">
      <alignment horizontal="center" vertical="center"/>
    </xf>
    <xf numFmtId="42" fontId="28" fillId="2" borderId="70" xfId="28" applyFont="1" applyFill="1" applyBorder="1" applyAlignment="1">
      <alignment horizontal="center" vertical="center" wrapText="1"/>
    </xf>
    <xf numFmtId="42" fontId="28" fillId="2" borderId="60" xfId="28" applyFont="1" applyFill="1" applyBorder="1" applyAlignment="1">
      <alignment horizontal="center" vertical="center" wrapText="1"/>
    </xf>
    <xf numFmtId="42" fontId="28" fillId="2" borderId="61" xfId="28" applyFont="1" applyFill="1" applyBorder="1" applyAlignment="1">
      <alignment horizontal="center" vertical="center" wrapText="1"/>
    </xf>
    <xf numFmtId="0" fontId="32" fillId="3" borderId="85" xfId="15" applyFont="1" applyFill="1" applyBorder="1" applyAlignment="1">
      <alignment horizontal="center" vertical="center"/>
    </xf>
    <xf numFmtId="0" fontId="32" fillId="3" borderId="54" xfId="15" applyFont="1" applyFill="1" applyBorder="1" applyAlignment="1">
      <alignment horizontal="center" vertical="center"/>
    </xf>
    <xf numFmtId="0" fontId="32" fillId="3" borderId="86" xfId="15" applyFont="1" applyFill="1" applyBorder="1" applyAlignment="1">
      <alignment horizontal="center" vertical="center"/>
    </xf>
    <xf numFmtId="0" fontId="28" fillId="0" borderId="63" xfId="15" applyFont="1" applyBorder="1" applyAlignment="1">
      <alignment horizontal="left" vertical="center" wrapText="1"/>
    </xf>
    <xf numFmtId="0" fontId="28" fillId="0" borderId="64" xfId="15" applyFont="1" applyBorder="1" applyAlignment="1">
      <alignment horizontal="left" vertical="center" wrapText="1"/>
    </xf>
    <xf numFmtId="0" fontId="28" fillId="0" borderId="65" xfId="15" applyFont="1" applyBorder="1" applyAlignment="1">
      <alignment horizontal="left" vertical="center" wrapText="1"/>
    </xf>
    <xf numFmtId="0" fontId="28" fillId="0" borderId="67" xfId="15" applyFont="1" applyBorder="1" applyAlignment="1">
      <alignment horizontal="left" vertical="center" wrapText="1"/>
    </xf>
    <xf numFmtId="0" fontId="28" fillId="0" borderId="68" xfId="15" applyFont="1" applyBorder="1" applyAlignment="1">
      <alignment horizontal="left" vertical="center" wrapText="1"/>
    </xf>
    <xf numFmtId="0" fontId="28" fillId="3" borderId="59" xfId="15" applyFont="1" applyFill="1" applyBorder="1" applyAlignment="1">
      <alignment horizontal="center" vertical="center" wrapText="1"/>
    </xf>
    <xf numFmtId="0" fontId="28" fillId="3" borderId="60" xfId="15" applyFont="1" applyFill="1" applyBorder="1" applyAlignment="1">
      <alignment horizontal="center" vertical="center" wrapText="1"/>
    </xf>
    <xf numFmtId="0" fontId="20" fillId="3" borderId="5" xfId="23" applyFont="1" applyFill="1" applyBorder="1" applyAlignment="1">
      <alignment horizontal="center" vertical="center"/>
    </xf>
    <xf numFmtId="0" fontId="20" fillId="3" borderId="50" xfId="23" applyFont="1" applyFill="1" applyBorder="1" applyAlignment="1">
      <alignment horizontal="center" vertical="center"/>
    </xf>
    <xf numFmtId="0" fontId="31" fillId="0" borderId="51" xfId="23" applyFont="1" applyBorder="1" applyAlignment="1">
      <alignment horizontal="center" vertical="center"/>
    </xf>
    <xf numFmtId="0" fontId="31" fillId="0" borderId="6" xfId="23" applyFont="1" applyBorder="1" applyAlignment="1">
      <alignment horizontal="center" vertical="center"/>
    </xf>
    <xf numFmtId="0" fontId="31" fillId="0" borderId="50" xfId="23" applyFont="1" applyBorder="1" applyAlignment="1">
      <alignment horizontal="center" vertical="center"/>
    </xf>
    <xf numFmtId="0" fontId="31" fillId="0" borderId="59" xfId="23" applyFont="1" applyBorder="1" applyAlignment="1">
      <alignment horizontal="center" vertical="center"/>
    </xf>
    <xf numFmtId="0" fontId="31" fillId="0" borderId="60" xfId="23" applyFont="1" applyBorder="1" applyAlignment="1">
      <alignment horizontal="center" vertical="center"/>
    </xf>
    <xf numFmtId="0" fontId="31" fillId="0" borderId="61" xfId="23" applyFont="1" applyBorder="1" applyAlignment="1">
      <alignment horizontal="center" vertical="center"/>
    </xf>
    <xf numFmtId="0" fontId="20" fillId="3" borderId="53" xfId="23" applyFont="1" applyFill="1" applyBorder="1" applyAlignment="1">
      <alignment horizontal="center" vertical="center" wrapText="1"/>
    </xf>
    <xf numFmtId="0" fontId="20" fillId="3" borderId="54" xfId="23" applyFont="1" applyFill="1" applyBorder="1" applyAlignment="1">
      <alignment horizontal="center" vertical="center" wrapText="1"/>
    </xf>
    <xf numFmtId="0" fontId="20" fillId="3" borderId="55" xfId="23" applyFont="1" applyFill="1" applyBorder="1" applyAlignment="1">
      <alignment horizontal="center" vertical="center" wrapText="1"/>
    </xf>
    <xf numFmtId="0" fontId="27" fillId="0" borderId="5" xfId="22" applyFont="1" applyBorder="1" applyAlignment="1">
      <alignment horizontal="center"/>
    </xf>
    <xf numFmtId="0" fontId="27" fillId="0" borderId="6" xfId="22" applyFont="1" applyBorder="1" applyAlignment="1">
      <alignment horizontal="center"/>
    </xf>
    <xf numFmtId="0" fontId="28" fillId="0" borderId="6" xfId="15" applyFont="1" applyBorder="1" applyAlignment="1">
      <alignment horizontal="center" vertical="center" wrapText="1"/>
    </xf>
    <xf numFmtId="0" fontId="28" fillId="0" borderId="7" xfId="15" applyFont="1" applyBorder="1" applyAlignment="1">
      <alignment horizontal="center" vertical="center" wrapText="1"/>
    </xf>
    <xf numFmtId="0" fontId="28" fillId="3" borderId="42" xfId="15" applyFont="1" applyFill="1" applyBorder="1" applyAlignment="1">
      <alignment horizontal="center" vertical="center"/>
    </xf>
    <xf numFmtId="0" fontId="28" fillId="3" borderId="43" xfId="15" applyFont="1" applyFill="1" applyBorder="1" applyAlignment="1">
      <alignment horizontal="center" vertical="center"/>
    </xf>
    <xf numFmtId="0" fontId="28" fillId="3" borderId="44" xfId="15" applyFont="1" applyFill="1" applyBorder="1" applyAlignment="1">
      <alignment horizontal="center" vertical="center" wrapText="1"/>
    </xf>
    <xf numFmtId="0" fontId="28" fillId="3" borderId="48" xfId="15" applyFont="1" applyFill="1" applyBorder="1" applyAlignment="1">
      <alignment horizontal="center" vertical="center" wrapText="1"/>
    </xf>
    <xf numFmtId="0" fontId="28" fillId="3" borderId="45" xfId="15" applyFont="1" applyFill="1" applyBorder="1" applyAlignment="1">
      <alignment horizontal="center" vertical="center"/>
    </xf>
    <xf numFmtId="0" fontId="28" fillId="3" borderId="2" xfId="15" applyFont="1" applyFill="1" applyBorder="1" applyAlignment="1">
      <alignment horizontal="center" vertical="center"/>
    </xf>
    <xf numFmtId="0" fontId="28" fillId="3" borderId="3" xfId="15" applyFont="1" applyFill="1" applyBorder="1" applyAlignment="1">
      <alignment horizontal="center" vertical="center"/>
    </xf>
    <xf numFmtId="0" fontId="28" fillId="3" borderId="49" xfId="15" applyFont="1" applyFill="1" applyBorder="1" applyAlignment="1">
      <alignment horizontal="center" vertical="center"/>
    </xf>
    <xf numFmtId="0" fontId="28" fillId="3" borderId="21" xfId="15" applyFont="1" applyFill="1" applyBorder="1" applyAlignment="1">
      <alignment horizontal="center" vertical="center"/>
    </xf>
    <xf numFmtId="0" fontId="28" fillId="3" borderId="22" xfId="15" applyFont="1" applyFill="1" applyBorder="1" applyAlignment="1">
      <alignment horizontal="center" vertical="center"/>
    </xf>
    <xf numFmtId="0" fontId="29" fillId="3" borderId="46" xfId="15" applyFont="1" applyFill="1" applyBorder="1" applyAlignment="1">
      <alignment horizontal="center" vertical="center" wrapText="1"/>
    </xf>
    <xf numFmtId="0" fontId="29" fillId="3" borderId="47" xfId="15" applyFont="1" applyFill="1" applyBorder="1" applyAlignment="1">
      <alignment horizontal="center" vertical="center" wrapText="1"/>
    </xf>
    <xf numFmtId="0" fontId="29" fillId="0" borderId="73" xfId="15" applyFont="1" applyBorder="1" applyAlignment="1">
      <alignment horizontal="center" vertical="center" wrapText="1"/>
    </xf>
    <xf numFmtId="0" fontId="29" fillId="0" borderId="2" xfId="15" applyFont="1" applyBorder="1" applyAlignment="1">
      <alignment horizontal="center" vertical="center" wrapText="1"/>
    </xf>
    <xf numFmtId="0" fontId="29" fillId="0" borderId="3" xfId="15" applyFont="1" applyBorder="1" applyAlignment="1">
      <alignment horizontal="center" vertical="center" wrapText="1"/>
    </xf>
    <xf numFmtId="0" fontId="29" fillId="0" borderId="75" xfId="15" applyFont="1" applyBorder="1" applyAlignment="1">
      <alignment horizontal="center" vertical="center" wrapText="1"/>
    </xf>
    <xf numFmtId="0" fontId="29" fillId="0" borderId="0" xfId="15" applyFont="1" applyAlignment="1">
      <alignment horizontal="center" vertical="center" wrapText="1"/>
    </xf>
    <xf numFmtId="0" fontId="29" fillId="0" borderId="8" xfId="15" applyFont="1" applyBorder="1" applyAlignment="1">
      <alignment horizontal="center" vertical="center" wrapText="1"/>
    </xf>
    <xf numFmtId="3" fontId="28" fillId="0" borderId="82" xfId="15" applyNumberFormat="1" applyFont="1" applyBorder="1" applyAlignment="1">
      <alignment horizontal="center" vertical="center" wrapText="1"/>
    </xf>
    <xf numFmtId="0" fontId="28" fillId="0" borderId="83" xfId="15" applyFont="1" applyBorder="1" applyAlignment="1">
      <alignment horizontal="center" vertical="center" wrapText="1"/>
    </xf>
    <xf numFmtId="0" fontId="28" fillId="0" borderId="84" xfId="15" applyFont="1" applyBorder="1" applyAlignment="1">
      <alignment horizontal="center" vertical="center" wrapText="1"/>
    </xf>
    <xf numFmtId="0" fontId="27" fillId="0" borderId="58" xfId="15" applyFont="1" applyBorder="1" applyAlignment="1">
      <alignment horizontal="center" vertical="center"/>
    </xf>
    <xf numFmtId="0" fontId="28" fillId="0" borderId="78" xfId="15" applyFont="1" applyBorder="1" applyAlignment="1">
      <alignment horizontal="center" vertical="center" wrapText="1"/>
    </xf>
    <xf numFmtId="0" fontId="28" fillId="0" borderId="79" xfId="15" applyFont="1" applyBorder="1" applyAlignment="1">
      <alignment horizontal="center" vertical="center" wrapText="1"/>
    </xf>
    <xf numFmtId="0" fontId="28" fillId="0" borderId="80" xfId="15" applyFont="1" applyBorder="1" applyAlignment="1">
      <alignment horizontal="center" vertical="center" wrapText="1"/>
    </xf>
    <xf numFmtId="0" fontId="27" fillId="0" borderId="61" xfId="15" applyFont="1" applyBorder="1" applyAlignment="1">
      <alignment horizontal="left" vertical="center" wrapText="1"/>
    </xf>
    <xf numFmtId="0" fontId="27" fillId="0" borderId="58" xfId="15" applyFont="1" applyBorder="1" applyAlignment="1">
      <alignment horizontal="left" vertical="center" wrapText="1"/>
    </xf>
    <xf numFmtId="0" fontId="27" fillId="0" borderId="58" xfId="15" applyFont="1" applyBorder="1" applyAlignment="1">
      <alignment horizontal="center" vertical="center" wrapText="1"/>
    </xf>
    <xf numFmtId="43" fontId="29" fillId="0" borderId="72" xfId="1" applyFont="1" applyBorder="1" applyAlignment="1">
      <alignment horizontal="center" vertical="center" wrapText="1"/>
    </xf>
    <xf numFmtId="43" fontId="29" fillId="0" borderId="74" xfId="1" applyFont="1" applyBorder="1" applyAlignment="1">
      <alignment horizontal="center" vertical="center" wrapText="1"/>
    </xf>
    <xf numFmtId="43" fontId="29" fillId="0" borderId="76" xfId="1" applyFont="1" applyBorder="1" applyAlignment="1">
      <alignment horizontal="center" vertical="center" wrapText="1"/>
    </xf>
    <xf numFmtId="0" fontId="29" fillId="2" borderId="70" xfId="5" applyNumberFormat="1" applyFont="1" applyFill="1" applyBorder="1" applyAlignment="1">
      <alignment horizontal="left" vertical="top" wrapText="1"/>
    </xf>
    <xf numFmtId="0" fontId="29" fillId="2" borderId="60" xfId="5" applyNumberFormat="1" applyFont="1" applyFill="1" applyBorder="1" applyAlignment="1">
      <alignment horizontal="left" vertical="top" wrapText="1"/>
    </xf>
    <xf numFmtId="0" fontId="29" fillId="2" borderId="61" xfId="5" applyNumberFormat="1" applyFont="1" applyFill="1" applyBorder="1" applyAlignment="1">
      <alignment horizontal="left" vertical="top" wrapText="1"/>
    </xf>
    <xf numFmtId="3" fontId="28" fillId="0" borderId="83" xfId="15" applyNumberFormat="1" applyFont="1" applyBorder="1" applyAlignment="1">
      <alignment horizontal="center" vertical="center" wrapText="1"/>
    </xf>
    <xf numFmtId="3" fontId="28" fillId="0" borderId="84" xfId="15" applyNumberFormat="1" applyFont="1" applyBorder="1" applyAlignment="1">
      <alignment horizontal="center" vertical="center" wrapText="1"/>
    </xf>
    <xf numFmtId="0" fontId="27" fillId="0" borderId="67" xfId="15" applyFont="1" applyBorder="1" applyAlignment="1">
      <alignment horizontal="center" vertical="center"/>
    </xf>
    <xf numFmtId="0" fontId="27" fillId="0" borderId="91" xfId="15" applyFont="1" applyBorder="1" applyAlignment="1">
      <alignment horizontal="center" vertical="center"/>
    </xf>
  </cellXfs>
  <cellStyles count="56">
    <cellStyle name="Millares" xfId="1" builtinId="3"/>
    <cellStyle name="Millares 11" xfId="8" xr:uid="{EC06FDB4-FA71-47F2-AB16-D7605368D330}"/>
    <cellStyle name="Millares 11 2" xfId="24" xr:uid="{D9FFF655-D04A-4808-8518-3C3E88BA8383}"/>
    <cellStyle name="Millares 11 2 2" xfId="39" xr:uid="{37AD9D71-0F82-4CDA-BDAC-45DE92BA2EF8}"/>
    <cellStyle name="Millares 11 3" xfId="44" xr:uid="{423D2773-281B-4418-A577-342348FE18E1}"/>
    <cellStyle name="Millares 11 4" xfId="32" xr:uid="{6DAC95D8-4011-4233-A97A-7E1AE6B13BC3}"/>
    <cellStyle name="Millares 11 4 2" xfId="54" xr:uid="{F43AA28C-73DE-46E0-ACBB-78E09B27D5B4}"/>
    <cellStyle name="Millares 17 3" xfId="48" xr:uid="{4B74DFC8-3CB6-4BAA-AA2C-45284FEE3DE0}"/>
    <cellStyle name="Millares 2" xfId="47" xr:uid="{146658EE-5755-48E6-9C07-F797B40EB32F}"/>
    <cellStyle name="Millares 2 3" xfId="55" xr:uid="{167E06BD-FA21-4DA6-876F-8C43CCDFE14D}"/>
    <cellStyle name="Millares 2 4" xfId="7" xr:uid="{A3270CF0-E10E-4C6D-B996-6C0648EB3A63}"/>
    <cellStyle name="Millares 3" xfId="12" xr:uid="{F73AEC13-FB8C-4EFB-8B02-B8AD3A338B27}"/>
    <cellStyle name="Millares 3 2" xfId="21" xr:uid="{49629EA8-3163-42A7-95AB-E707DB499161}"/>
    <cellStyle name="Millares 3 3" xfId="34" xr:uid="{AEBCB934-1AA9-485D-A1E4-D6B415248C27}"/>
    <cellStyle name="Millares 4" xfId="31" xr:uid="{981D8ECD-82B6-47B9-9270-5B04A1D36922}"/>
    <cellStyle name="Moneda" xfId="13" builtinId="4"/>
    <cellStyle name="Moneda [0] 2" xfId="5" xr:uid="{3CA2C950-6BE0-4ACF-A7A7-4E405369F2D2}"/>
    <cellStyle name="Moneda [0] 2 2" xfId="28" xr:uid="{B9C4484D-F02F-41ED-B96A-791654FF9023}"/>
    <cellStyle name="Moneda 10" xfId="30" xr:uid="{586BABCF-33C5-48D7-83DA-C486DDD8F655}"/>
    <cellStyle name="Moneda 11" xfId="37" xr:uid="{EB4119D7-15D0-4ED4-8F4B-1B137B802973}"/>
    <cellStyle name="Moneda 12" xfId="36" xr:uid="{CDB3CB84-F4FE-4523-8238-A747D985128B}"/>
    <cellStyle name="Moneda 13" xfId="41" xr:uid="{FDD2FCE7-2541-4CA5-8DB0-19EB3C270676}"/>
    <cellStyle name="Moneda 14" xfId="50" xr:uid="{6CAFFA36-C288-40A2-AAA4-97160BF5CF31}"/>
    <cellStyle name="Moneda 15" xfId="38" xr:uid="{15C9DA52-3405-4C50-8027-B7A58E5B5F8A}"/>
    <cellStyle name="Moneda 16" xfId="51" xr:uid="{D77EB819-7FB9-4579-9D7C-A92A2200150A}"/>
    <cellStyle name="Moneda 17" xfId="52" xr:uid="{06032732-2A53-4A76-9696-61DB0673BB06}"/>
    <cellStyle name="Moneda 2" xfId="19" xr:uid="{E625DE55-110A-4829-AA74-704FDCDBFAA9}"/>
    <cellStyle name="Moneda 3" xfId="14" xr:uid="{96391767-81E2-4BD1-AC78-1EE1C1480E75}"/>
    <cellStyle name="Moneda 31" xfId="25" xr:uid="{C2D94D00-A5A1-4848-9C5F-224B9B04F842}"/>
    <cellStyle name="Moneda 31 2" xfId="43" xr:uid="{CCA6E89F-1699-4E7B-A284-415E53F59A8C}"/>
    <cellStyle name="Moneda 31 3" xfId="40" xr:uid="{3E2DF8C5-5748-40B5-B39E-98981BE622C2}"/>
    <cellStyle name="Moneda 4" xfId="27" xr:uid="{4D5393F8-9E83-49BB-9544-59747F5773C2}"/>
    <cellStyle name="Moneda 5" xfId="46" xr:uid="{D27A7DF0-A20A-4CDD-9134-4F48C0FF8CCF}"/>
    <cellStyle name="Moneda 6" xfId="45" xr:uid="{BCCB3BBC-2875-4549-B451-304F63AE5E53}"/>
    <cellStyle name="Moneda 7" xfId="35" xr:uid="{7B6E35DE-A2CD-49D2-8D5D-4BC587916CF1}"/>
    <cellStyle name="Moneda 8" xfId="33" xr:uid="{CFF1B3E4-E2FB-44AB-A487-6D736AE33766}"/>
    <cellStyle name="Moneda 9" xfId="42" xr:uid="{936207A6-AD83-4254-9B07-2DAF3FAA850B}"/>
    <cellStyle name="Normal" xfId="0" builtinId="0"/>
    <cellStyle name="Normal 10 2" xfId="15" xr:uid="{9A1D940A-A104-45B7-AE89-160E1F885369}"/>
    <cellStyle name="Normal 2" xfId="11" xr:uid="{7F882E92-3D96-4F92-9AD9-41CA3D12A23A}"/>
    <cellStyle name="Normal 2 2" xfId="23" xr:uid="{65CF4723-756B-472B-B1DD-A5E816F7BF7E}"/>
    <cellStyle name="Normal 2 3" xfId="16" xr:uid="{F8F18EFE-B6BE-4A7C-ADB1-7D07635A4802}"/>
    <cellStyle name="Normal 3" xfId="17" xr:uid="{5D3C0C01-D691-449B-9252-1FB7A4802596}"/>
    <cellStyle name="Normal 3 2" xfId="20" xr:uid="{8D74B8A9-57D9-4CEE-B61F-C30A460E2216}"/>
    <cellStyle name="Normal 39" xfId="4" xr:uid="{8BC67918-5DE1-4BF9-BD71-E02C9B22AE60}"/>
    <cellStyle name="Normal 39 2" xfId="9" xr:uid="{CF0826CA-9AEA-463C-B7AB-331036C41A92}"/>
    <cellStyle name="Normal 4" xfId="49" xr:uid="{EA03C805-710E-490C-AAE8-AF944C3A5FFE}"/>
    <cellStyle name="Normal 4 4" xfId="3" xr:uid="{255CA001-A925-4E04-81AC-D7D46344D552}"/>
    <cellStyle name="Normal 4 4 2" xfId="10" xr:uid="{842ABD86-BFCC-4327-B55D-92B5E050B733}"/>
    <cellStyle name="Normal 40 2" xfId="26" xr:uid="{1D98724E-30B7-479E-9D0C-8FFCACE07FB0}"/>
    <cellStyle name="Normal 40 3" xfId="22" xr:uid="{C2D46FD5-9C6F-43F5-A059-BDF8B781BBD2}"/>
    <cellStyle name="Normal 40 4" xfId="29" xr:uid="{0D0CCF32-98F0-403C-AB9B-CDC08AB2BAE8}"/>
    <cellStyle name="Normal 41" xfId="2" xr:uid="{8D54D85E-2B35-4CB6-BB8D-A35FD29C1041}"/>
    <cellStyle name="Normal 9" xfId="18" xr:uid="{B2FE4742-49F2-4802-B1FD-73D0799F3A6F}"/>
    <cellStyle name="Porcentaje" xfId="53" builtinId="5"/>
    <cellStyle name="Porcentaje 2" xfId="6" xr:uid="{58464644-F2E2-4470-9C46-B0D1093FA041}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139262</xdr:colOff>
      <xdr:row>1</xdr:row>
      <xdr:rowOff>67432</xdr:rowOff>
    </xdr:from>
    <xdr:to>
      <xdr:col>2</xdr:col>
      <xdr:colOff>2480025</xdr:colOff>
      <xdr:row>1</xdr:row>
      <xdr:rowOff>1195917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163CB6-0F6A-428E-918D-233A22F48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679" y="194432"/>
          <a:ext cx="3801263" cy="1128485"/>
        </a:xfrm>
        <a:prstGeom prst="rect">
          <a:avLst/>
        </a:prstGeom>
      </xdr:spPr>
    </xdr:pic>
    <xdr:clientData/>
  </xdr:twoCellAnchor>
  <xdr:twoCellAnchor>
    <xdr:from>
      <xdr:col>3</xdr:col>
      <xdr:colOff>444500</xdr:colOff>
      <xdr:row>1</xdr:row>
      <xdr:rowOff>783169</xdr:rowOff>
    </xdr:from>
    <xdr:to>
      <xdr:col>6</xdr:col>
      <xdr:colOff>1016000</xdr:colOff>
      <xdr:row>1</xdr:row>
      <xdr:rowOff>783169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200D4791-1F23-4C9E-AD55-1EE8A42B876E}"/>
            </a:ext>
          </a:extLst>
        </xdr:cNvPr>
        <xdr:cNvCxnSpPr/>
      </xdr:nvCxnSpPr>
      <xdr:spPr>
        <a:xfrm>
          <a:off x="6835775" y="906994"/>
          <a:ext cx="4143375" cy="0"/>
        </a:xfrm>
        <a:prstGeom prst="line">
          <a:avLst/>
        </a:prstGeom>
        <a:ln w="1905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0</xdr:colOff>
      <xdr:row>477</xdr:row>
      <xdr:rowOff>0</xdr:rowOff>
    </xdr:from>
    <xdr:to>
      <xdr:col>8</xdr:col>
      <xdr:colOff>304800</xdr:colOff>
      <xdr:row>477</xdr:row>
      <xdr:rowOff>306081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8FBE9258-D024-41DF-9DC5-ADFABDF9631A}"/>
            </a:ext>
          </a:extLst>
        </xdr:cNvPr>
        <xdr:cNvSpPr>
          <a:spLocks noChangeAspect="1" noChangeArrowheads="1"/>
        </xdr:cNvSpPr>
      </xdr:nvSpPr>
      <xdr:spPr bwMode="auto">
        <a:xfrm>
          <a:off x="11449050" y="95221425"/>
          <a:ext cx="304800" cy="3060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493</xdr:row>
      <xdr:rowOff>0</xdr:rowOff>
    </xdr:from>
    <xdr:to>
      <xdr:col>2</xdr:col>
      <xdr:colOff>304800</xdr:colOff>
      <xdr:row>493</xdr:row>
      <xdr:rowOff>293368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59FE5FC2-233E-417D-BC8F-6A30A86DD4B4}"/>
            </a:ext>
          </a:extLst>
        </xdr:cNvPr>
        <xdr:cNvSpPr>
          <a:spLocks noChangeAspect="1" noChangeArrowheads="1"/>
        </xdr:cNvSpPr>
      </xdr:nvSpPr>
      <xdr:spPr bwMode="auto">
        <a:xfrm>
          <a:off x="1571625" y="99517200"/>
          <a:ext cx="304800" cy="2933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139262</xdr:colOff>
      <xdr:row>1</xdr:row>
      <xdr:rowOff>67432</xdr:rowOff>
    </xdr:from>
    <xdr:to>
      <xdr:col>2</xdr:col>
      <xdr:colOff>2480025</xdr:colOff>
      <xdr:row>1</xdr:row>
      <xdr:rowOff>1195917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640E725-4B63-4C23-8540-0A84A991D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912" y="194432"/>
          <a:ext cx="3864763" cy="1128485"/>
        </a:xfrm>
        <a:prstGeom prst="rect">
          <a:avLst/>
        </a:prstGeom>
      </xdr:spPr>
    </xdr:pic>
    <xdr:clientData/>
  </xdr:twoCellAnchor>
  <xdr:twoCellAnchor>
    <xdr:from>
      <xdr:col>3</xdr:col>
      <xdr:colOff>444500</xdr:colOff>
      <xdr:row>1</xdr:row>
      <xdr:rowOff>783169</xdr:rowOff>
    </xdr:from>
    <xdr:to>
      <xdr:col>6</xdr:col>
      <xdr:colOff>1016000</xdr:colOff>
      <xdr:row>1</xdr:row>
      <xdr:rowOff>783169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F7088F29-FDE0-4AFD-AC48-25A387453321}"/>
            </a:ext>
          </a:extLst>
        </xdr:cNvPr>
        <xdr:cNvCxnSpPr/>
      </xdr:nvCxnSpPr>
      <xdr:spPr>
        <a:xfrm>
          <a:off x="7924800" y="910169"/>
          <a:ext cx="4311650" cy="0"/>
        </a:xfrm>
        <a:prstGeom prst="line">
          <a:avLst/>
        </a:prstGeom>
        <a:ln w="1905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0</xdr:colOff>
      <xdr:row>327</xdr:row>
      <xdr:rowOff>0</xdr:rowOff>
    </xdr:from>
    <xdr:to>
      <xdr:col>8</xdr:col>
      <xdr:colOff>304800</xdr:colOff>
      <xdr:row>327</xdr:row>
      <xdr:rowOff>306081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211B2161-BE0B-4B4C-A061-2C569AED0D23}"/>
            </a:ext>
          </a:extLst>
        </xdr:cNvPr>
        <xdr:cNvSpPr>
          <a:spLocks noChangeAspect="1" noChangeArrowheads="1"/>
        </xdr:cNvSpPr>
      </xdr:nvSpPr>
      <xdr:spPr bwMode="auto">
        <a:xfrm>
          <a:off x="12776200" y="308375050"/>
          <a:ext cx="304800" cy="3060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343</xdr:row>
      <xdr:rowOff>0</xdr:rowOff>
    </xdr:from>
    <xdr:to>
      <xdr:col>2</xdr:col>
      <xdr:colOff>304800</xdr:colOff>
      <xdr:row>343</xdr:row>
      <xdr:rowOff>293368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69900AB6-D5E9-4EE5-BDBD-194D3D7D8DEA}"/>
            </a:ext>
          </a:extLst>
        </xdr:cNvPr>
        <xdr:cNvSpPr>
          <a:spLocks noChangeAspect="1" noChangeArrowheads="1"/>
        </xdr:cNvSpPr>
      </xdr:nvSpPr>
      <xdr:spPr bwMode="auto">
        <a:xfrm>
          <a:off x="1644650" y="312674000"/>
          <a:ext cx="304800" cy="2933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139262</xdr:colOff>
      <xdr:row>1</xdr:row>
      <xdr:rowOff>67432</xdr:rowOff>
    </xdr:from>
    <xdr:to>
      <xdr:col>2</xdr:col>
      <xdr:colOff>2480025</xdr:colOff>
      <xdr:row>1</xdr:row>
      <xdr:rowOff>1195917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18279B-B2C0-42B7-8869-705557144D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562" y="191257"/>
          <a:ext cx="3798088" cy="1128485"/>
        </a:xfrm>
        <a:prstGeom prst="rect">
          <a:avLst/>
        </a:prstGeom>
      </xdr:spPr>
    </xdr:pic>
    <xdr:clientData/>
  </xdr:twoCellAnchor>
  <xdr:twoCellAnchor>
    <xdr:from>
      <xdr:col>3</xdr:col>
      <xdr:colOff>444500</xdr:colOff>
      <xdr:row>1</xdr:row>
      <xdr:rowOff>783169</xdr:rowOff>
    </xdr:from>
    <xdr:to>
      <xdr:col>6</xdr:col>
      <xdr:colOff>1016000</xdr:colOff>
      <xdr:row>1</xdr:row>
      <xdr:rowOff>783169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A771D740-781B-4294-9533-762A24C5A17E}"/>
            </a:ext>
          </a:extLst>
        </xdr:cNvPr>
        <xdr:cNvCxnSpPr/>
      </xdr:nvCxnSpPr>
      <xdr:spPr>
        <a:xfrm>
          <a:off x="7588250" y="906994"/>
          <a:ext cx="4143375" cy="0"/>
        </a:xfrm>
        <a:prstGeom prst="line">
          <a:avLst/>
        </a:prstGeom>
        <a:ln w="1905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0</xdr:colOff>
      <xdr:row>243</xdr:row>
      <xdr:rowOff>0</xdr:rowOff>
    </xdr:from>
    <xdr:to>
      <xdr:col>8</xdr:col>
      <xdr:colOff>304800</xdr:colOff>
      <xdr:row>243</xdr:row>
      <xdr:rowOff>306081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09E5F82E-316A-43F7-8A5B-0244419E29B6}"/>
            </a:ext>
          </a:extLst>
        </xdr:cNvPr>
        <xdr:cNvSpPr>
          <a:spLocks noChangeAspect="1" noChangeArrowheads="1"/>
        </xdr:cNvSpPr>
      </xdr:nvSpPr>
      <xdr:spPr bwMode="auto">
        <a:xfrm>
          <a:off x="12201525" y="226771200"/>
          <a:ext cx="304800" cy="3060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259</xdr:row>
      <xdr:rowOff>0</xdr:rowOff>
    </xdr:from>
    <xdr:to>
      <xdr:col>2</xdr:col>
      <xdr:colOff>304800</xdr:colOff>
      <xdr:row>259</xdr:row>
      <xdr:rowOff>293368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FC6D0B04-B98F-41A5-872C-908C93E3B469}"/>
            </a:ext>
          </a:extLst>
        </xdr:cNvPr>
        <xdr:cNvSpPr>
          <a:spLocks noChangeAspect="1" noChangeArrowheads="1"/>
        </xdr:cNvSpPr>
      </xdr:nvSpPr>
      <xdr:spPr bwMode="auto">
        <a:xfrm>
          <a:off x="1571625" y="231066975"/>
          <a:ext cx="304800" cy="2933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139262</xdr:colOff>
      <xdr:row>1</xdr:row>
      <xdr:rowOff>67432</xdr:rowOff>
    </xdr:from>
    <xdr:to>
      <xdr:col>2</xdr:col>
      <xdr:colOff>2480025</xdr:colOff>
      <xdr:row>1</xdr:row>
      <xdr:rowOff>1195917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F2BF037-B878-4A8C-9162-71439AA510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562" y="191257"/>
          <a:ext cx="3798088" cy="1128485"/>
        </a:xfrm>
        <a:prstGeom prst="rect">
          <a:avLst/>
        </a:prstGeom>
      </xdr:spPr>
    </xdr:pic>
    <xdr:clientData/>
  </xdr:twoCellAnchor>
  <xdr:twoCellAnchor>
    <xdr:from>
      <xdr:col>3</xdr:col>
      <xdr:colOff>444500</xdr:colOff>
      <xdr:row>1</xdr:row>
      <xdr:rowOff>783169</xdr:rowOff>
    </xdr:from>
    <xdr:to>
      <xdr:col>6</xdr:col>
      <xdr:colOff>1016000</xdr:colOff>
      <xdr:row>1</xdr:row>
      <xdr:rowOff>783169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1227CEBE-2B10-47F2-8BD8-50293E9C385F}"/>
            </a:ext>
          </a:extLst>
        </xdr:cNvPr>
        <xdr:cNvCxnSpPr/>
      </xdr:nvCxnSpPr>
      <xdr:spPr>
        <a:xfrm>
          <a:off x="7588250" y="906994"/>
          <a:ext cx="4143375" cy="0"/>
        </a:xfrm>
        <a:prstGeom prst="line">
          <a:avLst/>
        </a:prstGeom>
        <a:ln w="1905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304800</xdr:colOff>
      <xdr:row>20</xdr:row>
      <xdr:rowOff>306081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5B316D9C-6F33-442B-87AC-6B29E835B05A}"/>
            </a:ext>
          </a:extLst>
        </xdr:cNvPr>
        <xdr:cNvSpPr>
          <a:spLocks noChangeAspect="1" noChangeArrowheads="1"/>
        </xdr:cNvSpPr>
      </xdr:nvSpPr>
      <xdr:spPr bwMode="auto">
        <a:xfrm>
          <a:off x="12363450" y="227037900"/>
          <a:ext cx="304800" cy="3060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304800</xdr:colOff>
      <xdr:row>32</xdr:row>
      <xdr:rowOff>293368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3AA6C9AE-5BEE-4323-921D-6A126AA1183D}"/>
            </a:ext>
          </a:extLst>
        </xdr:cNvPr>
        <xdr:cNvSpPr>
          <a:spLocks noChangeAspect="1" noChangeArrowheads="1"/>
        </xdr:cNvSpPr>
      </xdr:nvSpPr>
      <xdr:spPr bwMode="auto">
        <a:xfrm>
          <a:off x="1571625" y="231333675"/>
          <a:ext cx="304800" cy="2933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74903</xdr:colOff>
      <xdr:row>1</xdr:row>
      <xdr:rowOff>26102</xdr:rowOff>
    </xdr:from>
    <xdr:ext cx="1699468" cy="504272"/>
    <xdr:pic>
      <xdr:nvPicPr>
        <xdr:cNvPr id="2" name="Imagen 1">
          <a:extLst>
            <a:ext uri="{FF2B5EF4-FFF2-40B4-BE49-F238E27FC236}">
              <a16:creationId xmlns:a16="http://schemas.microsoft.com/office/drawing/2014/main" id="{18243944-8627-4827-9830-9CD254A2D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89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</xdr:row>
      <xdr:rowOff>309563</xdr:rowOff>
    </xdr:from>
    <xdr:to>
      <xdr:col>8</xdr:col>
      <xdr:colOff>494110</xdr:colOff>
      <xdr:row>1</xdr:row>
      <xdr:rowOff>317462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1FED0A00-93FF-442B-AF18-5C8A4879C66A}"/>
            </a:ext>
          </a:extLst>
        </xdr:cNvPr>
        <xdr:cNvCxnSpPr/>
      </xdr:nvCxnSpPr>
      <xdr:spPr>
        <a:xfrm flipV="1">
          <a:off x="3972117" y="373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1240</xdr:row>
      <xdr:rowOff>26102</xdr:rowOff>
    </xdr:from>
    <xdr:ext cx="1699468" cy="504272"/>
    <xdr:pic>
      <xdr:nvPicPr>
        <xdr:cNvPr id="4" name="Imagen 3">
          <a:extLst>
            <a:ext uri="{FF2B5EF4-FFF2-40B4-BE49-F238E27FC236}">
              <a16:creationId xmlns:a16="http://schemas.microsoft.com/office/drawing/2014/main" id="{21FC4FC0-C7CF-4BE0-9DA7-2C34AF0E2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38525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1240</xdr:row>
      <xdr:rowOff>309563</xdr:rowOff>
    </xdr:from>
    <xdr:to>
      <xdr:col>8</xdr:col>
      <xdr:colOff>494110</xdr:colOff>
      <xdr:row>1240</xdr:row>
      <xdr:rowOff>317462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D3A3F979-80E2-4899-A6CA-A222D54CAA52}"/>
            </a:ext>
          </a:extLst>
        </xdr:cNvPr>
        <xdr:cNvCxnSpPr/>
      </xdr:nvCxnSpPr>
      <xdr:spPr>
        <a:xfrm flipV="1">
          <a:off x="3972117" y="238809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1466</xdr:row>
      <xdr:rowOff>26102</xdr:rowOff>
    </xdr:from>
    <xdr:ext cx="1699468" cy="504272"/>
    <xdr:pic>
      <xdr:nvPicPr>
        <xdr:cNvPr id="6" name="Imagen 5">
          <a:extLst>
            <a:ext uri="{FF2B5EF4-FFF2-40B4-BE49-F238E27FC236}">
              <a16:creationId xmlns:a16="http://schemas.microsoft.com/office/drawing/2014/main" id="{7FB2596E-E16F-4539-BA11-B5FD38955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82956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1466</xdr:row>
      <xdr:rowOff>309563</xdr:rowOff>
    </xdr:from>
    <xdr:to>
      <xdr:col>8</xdr:col>
      <xdr:colOff>494110</xdr:colOff>
      <xdr:row>1466</xdr:row>
      <xdr:rowOff>317462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E68628FE-2E7D-4E9F-940C-22CE97FA5D82}"/>
            </a:ext>
          </a:extLst>
        </xdr:cNvPr>
        <xdr:cNvCxnSpPr/>
      </xdr:nvCxnSpPr>
      <xdr:spPr>
        <a:xfrm flipV="1">
          <a:off x="3972117" y="283240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2006</xdr:row>
      <xdr:rowOff>26102</xdr:rowOff>
    </xdr:from>
    <xdr:ext cx="1699468" cy="504272"/>
    <xdr:pic>
      <xdr:nvPicPr>
        <xdr:cNvPr id="8" name="Imagen 7">
          <a:extLst>
            <a:ext uri="{FF2B5EF4-FFF2-40B4-BE49-F238E27FC236}">
              <a16:creationId xmlns:a16="http://schemas.microsoft.com/office/drawing/2014/main" id="{2C119F41-7AA3-41C5-91EC-5F8F876EB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88938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2006</xdr:row>
      <xdr:rowOff>309563</xdr:rowOff>
    </xdr:from>
    <xdr:to>
      <xdr:col>8</xdr:col>
      <xdr:colOff>494110</xdr:colOff>
      <xdr:row>2006</xdr:row>
      <xdr:rowOff>317462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6A7A28B9-2FA1-4422-8018-2CBAD5D89848}"/>
            </a:ext>
          </a:extLst>
        </xdr:cNvPr>
        <xdr:cNvCxnSpPr/>
      </xdr:nvCxnSpPr>
      <xdr:spPr>
        <a:xfrm flipV="1">
          <a:off x="3972117" y="389221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2097</xdr:row>
      <xdr:rowOff>26102</xdr:rowOff>
    </xdr:from>
    <xdr:ext cx="1699468" cy="504272"/>
    <xdr:pic>
      <xdr:nvPicPr>
        <xdr:cNvPr id="10" name="Imagen 9">
          <a:extLst>
            <a:ext uri="{FF2B5EF4-FFF2-40B4-BE49-F238E27FC236}">
              <a16:creationId xmlns:a16="http://schemas.microsoft.com/office/drawing/2014/main" id="{5262A1EA-FFDD-4F0F-AFEC-0E547090D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06864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2097</xdr:row>
      <xdr:rowOff>309563</xdr:rowOff>
    </xdr:from>
    <xdr:to>
      <xdr:col>8</xdr:col>
      <xdr:colOff>494110</xdr:colOff>
      <xdr:row>2097</xdr:row>
      <xdr:rowOff>317462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473B5344-3042-4D91-9439-652BFB429DE2}"/>
            </a:ext>
          </a:extLst>
        </xdr:cNvPr>
        <xdr:cNvCxnSpPr/>
      </xdr:nvCxnSpPr>
      <xdr:spPr>
        <a:xfrm flipV="1">
          <a:off x="3972117" y="407147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2278</xdr:row>
      <xdr:rowOff>26102</xdr:rowOff>
    </xdr:from>
    <xdr:ext cx="1699468" cy="504272"/>
    <xdr:pic>
      <xdr:nvPicPr>
        <xdr:cNvPr id="12" name="Imagen 11">
          <a:extLst>
            <a:ext uri="{FF2B5EF4-FFF2-40B4-BE49-F238E27FC236}">
              <a16:creationId xmlns:a16="http://schemas.microsoft.com/office/drawing/2014/main" id="{19C93489-423D-49F1-9D28-84F2C81B3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42652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2278</xdr:row>
      <xdr:rowOff>309563</xdr:rowOff>
    </xdr:from>
    <xdr:to>
      <xdr:col>8</xdr:col>
      <xdr:colOff>494110</xdr:colOff>
      <xdr:row>2278</xdr:row>
      <xdr:rowOff>317462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B2B73FCA-19B4-4F47-9F98-3F7BC9917BEE}"/>
            </a:ext>
          </a:extLst>
        </xdr:cNvPr>
        <xdr:cNvCxnSpPr/>
      </xdr:nvCxnSpPr>
      <xdr:spPr>
        <a:xfrm flipV="1">
          <a:off x="3972117" y="442936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2638</xdr:row>
      <xdr:rowOff>26102</xdr:rowOff>
    </xdr:from>
    <xdr:ext cx="1699468" cy="504272"/>
    <xdr:pic>
      <xdr:nvPicPr>
        <xdr:cNvPr id="14" name="Imagen 13">
          <a:extLst>
            <a:ext uri="{FF2B5EF4-FFF2-40B4-BE49-F238E27FC236}">
              <a16:creationId xmlns:a16="http://schemas.microsoft.com/office/drawing/2014/main" id="{1837CD1D-2A04-4BDC-B3B6-083DF066B9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13639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2638</xdr:row>
      <xdr:rowOff>309563</xdr:rowOff>
    </xdr:from>
    <xdr:to>
      <xdr:col>8</xdr:col>
      <xdr:colOff>494110</xdr:colOff>
      <xdr:row>2638</xdr:row>
      <xdr:rowOff>317462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D248CF91-58DF-4211-8C5D-DECF1EE94C3F}"/>
            </a:ext>
          </a:extLst>
        </xdr:cNvPr>
        <xdr:cNvCxnSpPr/>
      </xdr:nvCxnSpPr>
      <xdr:spPr>
        <a:xfrm flipV="1">
          <a:off x="3972117" y="513922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50</xdr:row>
      <xdr:rowOff>26102</xdr:rowOff>
    </xdr:from>
    <xdr:ext cx="1699468" cy="504272"/>
    <xdr:pic>
      <xdr:nvPicPr>
        <xdr:cNvPr id="16" name="Imagen 15">
          <a:extLst>
            <a:ext uri="{FF2B5EF4-FFF2-40B4-BE49-F238E27FC236}">
              <a16:creationId xmlns:a16="http://schemas.microsoft.com/office/drawing/2014/main" id="{BE44AB0F-84CA-47C7-9F45-1FD8BA58C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8935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50</xdr:row>
      <xdr:rowOff>309563</xdr:rowOff>
    </xdr:from>
    <xdr:to>
      <xdr:col>8</xdr:col>
      <xdr:colOff>494110</xdr:colOff>
      <xdr:row>50</xdr:row>
      <xdr:rowOff>317462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3BD6D695-AC4F-4ECA-AF26-A01ED68F554B}"/>
            </a:ext>
          </a:extLst>
        </xdr:cNvPr>
        <xdr:cNvCxnSpPr/>
      </xdr:nvCxnSpPr>
      <xdr:spPr>
        <a:xfrm flipV="1">
          <a:off x="3972117" y="9218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99</xdr:row>
      <xdr:rowOff>26102</xdr:rowOff>
    </xdr:from>
    <xdr:ext cx="1699468" cy="504272"/>
    <xdr:pic>
      <xdr:nvPicPr>
        <xdr:cNvPr id="18" name="Imagen 17">
          <a:extLst>
            <a:ext uri="{FF2B5EF4-FFF2-40B4-BE49-F238E27FC236}">
              <a16:creationId xmlns:a16="http://schemas.microsoft.com/office/drawing/2014/main" id="{0BE831C5-68AC-4AB1-8C0D-03C9C6D66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7958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99</xdr:row>
      <xdr:rowOff>309563</xdr:rowOff>
    </xdr:from>
    <xdr:to>
      <xdr:col>8</xdr:col>
      <xdr:colOff>494110</xdr:colOff>
      <xdr:row>99</xdr:row>
      <xdr:rowOff>317462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E97A683E-CBFA-4A4A-9380-EBB500E1AD72}"/>
            </a:ext>
          </a:extLst>
        </xdr:cNvPr>
        <xdr:cNvCxnSpPr/>
      </xdr:nvCxnSpPr>
      <xdr:spPr>
        <a:xfrm flipV="1">
          <a:off x="3972117" y="18241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147</xdr:row>
      <xdr:rowOff>26102</xdr:rowOff>
    </xdr:from>
    <xdr:ext cx="1699468" cy="504272"/>
    <xdr:pic>
      <xdr:nvPicPr>
        <xdr:cNvPr id="20" name="Imagen 19">
          <a:extLst>
            <a:ext uri="{FF2B5EF4-FFF2-40B4-BE49-F238E27FC236}">
              <a16:creationId xmlns:a16="http://schemas.microsoft.com/office/drawing/2014/main" id="{F78E0974-8067-4BCD-BF3C-46492EECA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7039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147</xdr:row>
      <xdr:rowOff>309563</xdr:rowOff>
    </xdr:from>
    <xdr:to>
      <xdr:col>8</xdr:col>
      <xdr:colOff>494110</xdr:colOff>
      <xdr:row>147</xdr:row>
      <xdr:rowOff>317462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20483450-88EA-45A4-9746-D15D01A730C6}"/>
            </a:ext>
          </a:extLst>
        </xdr:cNvPr>
        <xdr:cNvCxnSpPr/>
      </xdr:nvCxnSpPr>
      <xdr:spPr>
        <a:xfrm flipV="1">
          <a:off x="3972117" y="27322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195</xdr:row>
      <xdr:rowOff>26102</xdr:rowOff>
    </xdr:from>
    <xdr:ext cx="1699468" cy="504272"/>
    <xdr:pic>
      <xdr:nvPicPr>
        <xdr:cNvPr id="22" name="Imagen 21">
          <a:extLst>
            <a:ext uri="{FF2B5EF4-FFF2-40B4-BE49-F238E27FC236}">
              <a16:creationId xmlns:a16="http://schemas.microsoft.com/office/drawing/2014/main" id="{D5CB0482-0711-4FEA-8C48-4DFF17C02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6227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195</xdr:row>
      <xdr:rowOff>309563</xdr:rowOff>
    </xdr:from>
    <xdr:to>
      <xdr:col>8</xdr:col>
      <xdr:colOff>494110</xdr:colOff>
      <xdr:row>195</xdr:row>
      <xdr:rowOff>317462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84E6C522-63E0-4BC0-8921-2611299DBFCF}"/>
            </a:ext>
          </a:extLst>
        </xdr:cNvPr>
        <xdr:cNvCxnSpPr/>
      </xdr:nvCxnSpPr>
      <xdr:spPr>
        <a:xfrm flipV="1">
          <a:off x="3972117" y="36510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243</xdr:row>
      <xdr:rowOff>26102</xdr:rowOff>
    </xdr:from>
    <xdr:ext cx="1699468" cy="504272"/>
    <xdr:pic>
      <xdr:nvPicPr>
        <xdr:cNvPr id="24" name="Imagen 23">
          <a:extLst>
            <a:ext uri="{FF2B5EF4-FFF2-40B4-BE49-F238E27FC236}">
              <a16:creationId xmlns:a16="http://schemas.microsoft.com/office/drawing/2014/main" id="{DD4E7B80-0231-4BF0-B3CA-9EE88E3C5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5415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243</xdr:row>
      <xdr:rowOff>309563</xdr:rowOff>
    </xdr:from>
    <xdr:to>
      <xdr:col>8</xdr:col>
      <xdr:colOff>494110</xdr:colOff>
      <xdr:row>243</xdr:row>
      <xdr:rowOff>317462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9C34B376-4A20-45CA-80B1-323BEA45EF47}"/>
            </a:ext>
          </a:extLst>
        </xdr:cNvPr>
        <xdr:cNvCxnSpPr/>
      </xdr:nvCxnSpPr>
      <xdr:spPr>
        <a:xfrm flipV="1">
          <a:off x="3972117" y="45699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291</xdr:row>
      <xdr:rowOff>26102</xdr:rowOff>
    </xdr:from>
    <xdr:ext cx="1699468" cy="504272"/>
    <xdr:pic>
      <xdr:nvPicPr>
        <xdr:cNvPr id="26" name="Imagen 25">
          <a:extLst>
            <a:ext uri="{FF2B5EF4-FFF2-40B4-BE49-F238E27FC236}">
              <a16:creationId xmlns:a16="http://schemas.microsoft.com/office/drawing/2014/main" id="{9EAD9133-21A4-4E57-9324-219C717805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604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291</xdr:row>
      <xdr:rowOff>309563</xdr:rowOff>
    </xdr:from>
    <xdr:to>
      <xdr:col>8</xdr:col>
      <xdr:colOff>494110</xdr:colOff>
      <xdr:row>291</xdr:row>
      <xdr:rowOff>317462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B88BAFEE-9E36-4311-AED5-E7B6FDDC448C}"/>
            </a:ext>
          </a:extLst>
        </xdr:cNvPr>
        <xdr:cNvCxnSpPr/>
      </xdr:nvCxnSpPr>
      <xdr:spPr>
        <a:xfrm flipV="1">
          <a:off x="3972117" y="54887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337</xdr:row>
      <xdr:rowOff>26102</xdr:rowOff>
    </xdr:from>
    <xdr:ext cx="1699468" cy="504272"/>
    <xdr:pic>
      <xdr:nvPicPr>
        <xdr:cNvPr id="28" name="Imagen 27">
          <a:extLst>
            <a:ext uri="{FF2B5EF4-FFF2-40B4-BE49-F238E27FC236}">
              <a16:creationId xmlns:a16="http://schemas.microsoft.com/office/drawing/2014/main" id="{D1BA32B9-AC15-43B4-B90B-175D8AC54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3043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337</xdr:row>
      <xdr:rowOff>309563</xdr:rowOff>
    </xdr:from>
    <xdr:to>
      <xdr:col>8</xdr:col>
      <xdr:colOff>494110</xdr:colOff>
      <xdr:row>337</xdr:row>
      <xdr:rowOff>317462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5D8463E1-3BB0-4E76-9E30-ED338AE5E7E9}"/>
            </a:ext>
          </a:extLst>
        </xdr:cNvPr>
        <xdr:cNvCxnSpPr/>
      </xdr:nvCxnSpPr>
      <xdr:spPr>
        <a:xfrm flipV="1">
          <a:off x="3972117" y="63326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383</xdr:row>
      <xdr:rowOff>26102</xdr:rowOff>
    </xdr:from>
    <xdr:ext cx="1699468" cy="504272"/>
    <xdr:pic>
      <xdr:nvPicPr>
        <xdr:cNvPr id="30" name="Imagen 29">
          <a:extLst>
            <a:ext uri="{FF2B5EF4-FFF2-40B4-BE49-F238E27FC236}">
              <a16:creationId xmlns:a16="http://schemas.microsoft.com/office/drawing/2014/main" id="{1669C02F-EC2B-4DA8-B5DD-B863B00EE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1952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383</xdr:row>
      <xdr:rowOff>309563</xdr:rowOff>
    </xdr:from>
    <xdr:to>
      <xdr:col>8</xdr:col>
      <xdr:colOff>494110</xdr:colOff>
      <xdr:row>383</xdr:row>
      <xdr:rowOff>317462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35B370D1-FC7B-4F14-BB98-D6BCAF1A50EA}"/>
            </a:ext>
          </a:extLst>
        </xdr:cNvPr>
        <xdr:cNvCxnSpPr/>
      </xdr:nvCxnSpPr>
      <xdr:spPr>
        <a:xfrm flipV="1">
          <a:off x="3972117" y="72236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429</xdr:row>
      <xdr:rowOff>26102</xdr:rowOff>
    </xdr:from>
    <xdr:ext cx="1699468" cy="504272"/>
    <xdr:pic>
      <xdr:nvPicPr>
        <xdr:cNvPr id="32" name="Imagen 31">
          <a:extLst>
            <a:ext uri="{FF2B5EF4-FFF2-40B4-BE49-F238E27FC236}">
              <a16:creationId xmlns:a16="http://schemas.microsoft.com/office/drawing/2014/main" id="{B7F253B4-6D8C-47DA-88FD-75E8F4E46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806203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429</xdr:row>
      <xdr:rowOff>309563</xdr:rowOff>
    </xdr:from>
    <xdr:to>
      <xdr:col>8</xdr:col>
      <xdr:colOff>494110</xdr:colOff>
      <xdr:row>429</xdr:row>
      <xdr:rowOff>317462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ACE0557B-DAA1-4104-98EE-2E8BC14D70AD}"/>
            </a:ext>
          </a:extLst>
        </xdr:cNvPr>
        <xdr:cNvCxnSpPr/>
      </xdr:nvCxnSpPr>
      <xdr:spPr>
        <a:xfrm flipV="1">
          <a:off x="3972117" y="809037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475</xdr:row>
      <xdr:rowOff>26102</xdr:rowOff>
    </xdr:from>
    <xdr:ext cx="1699468" cy="504272"/>
    <xdr:pic>
      <xdr:nvPicPr>
        <xdr:cNvPr id="34" name="Imagen 33">
          <a:extLst>
            <a:ext uri="{FF2B5EF4-FFF2-40B4-BE49-F238E27FC236}">
              <a16:creationId xmlns:a16="http://schemas.microsoft.com/office/drawing/2014/main" id="{50E6FECD-5DAA-46A9-9DED-9F08B4201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89573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475</xdr:row>
      <xdr:rowOff>309563</xdr:rowOff>
    </xdr:from>
    <xdr:to>
      <xdr:col>8</xdr:col>
      <xdr:colOff>494110</xdr:colOff>
      <xdr:row>475</xdr:row>
      <xdr:rowOff>317462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AC383662-D00A-4256-8E06-175A59FB8303}"/>
            </a:ext>
          </a:extLst>
        </xdr:cNvPr>
        <xdr:cNvCxnSpPr/>
      </xdr:nvCxnSpPr>
      <xdr:spPr>
        <a:xfrm flipV="1">
          <a:off x="3972117" y="89857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520</xdr:row>
      <xdr:rowOff>26102</xdr:rowOff>
    </xdr:from>
    <xdr:ext cx="1699468" cy="504272"/>
    <xdr:pic>
      <xdr:nvPicPr>
        <xdr:cNvPr id="36" name="Imagen 35">
          <a:extLst>
            <a:ext uri="{FF2B5EF4-FFF2-40B4-BE49-F238E27FC236}">
              <a16:creationId xmlns:a16="http://schemas.microsoft.com/office/drawing/2014/main" id="{BCAF9124-56EF-4DA9-94B7-7F75768153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98387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520</xdr:row>
      <xdr:rowOff>309563</xdr:rowOff>
    </xdr:from>
    <xdr:to>
      <xdr:col>8</xdr:col>
      <xdr:colOff>494110</xdr:colOff>
      <xdr:row>520</xdr:row>
      <xdr:rowOff>317462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9983AACC-0DCD-472D-8114-B7DE8C11A868}"/>
            </a:ext>
          </a:extLst>
        </xdr:cNvPr>
        <xdr:cNvCxnSpPr/>
      </xdr:nvCxnSpPr>
      <xdr:spPr>
        <a:xfrm flipV="1">
          <a:off x="3972117" y="98671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565</xdr:row>
      <xdr:rowOff>26102</xdr:rowOff>
    </xdr:from>
    <xdr:ext cx="1699468" cy="504272"/>
    <xdr:pic>
      <xdr:nvPicPr>
        <xdr:cNvPr id="38" name="Imagen 37">
          <a:extLst>
            <a:ext uri="{FF2B5EF4-FFF2-40B4-BE49-F238E27FC236}">
              <a16:creationId xmlns:a16="http://schemas.microsoft.com/office/drawing/2014/main" id="{5F3B0FCB-CE2E-4CF3-A598-E9BAE5CF9F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072014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565</xdr:row>
      <xdr:rowOff>309563</xdr:rowOff>
    </xdr:from>
    <xdr:to>
      <xdr:col>8</xdr:col>
      <xdr:colOff>494110</xdr:colOff>
      <xdr:row>565</xdr:row>
      <xdr:rowOff>317462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84700D6B-3F61-4E17-89B6-220A2CF2EF3F}"/>
            </a:ext>
          </a:extLst>
        </xdr:cNvPr>
        <xdr:cNvCxnSpPr/>
      </xdr:nvCxnSpPr>
      <xdr:spPr>
        <a:xfrm flipV="1">
          <a:off x="3972117" y="1074848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610</xdr:row>
      <xdr:rowOff>26102</xdr:rowOff>
    </xdr:from>
    <xdr:ext cx="1699468" cy="504272"/>
    <xdr:pic>
      <xdr:nvPicPr>
        <xdr:cNvPr id="40" name="Imagen 39">
          <a:extLst>
            <a:ext uri="{FF2B5EF4-FFF2-40B4-BE49-F238E27FC236}">
              <a16:creationId xmlns:a16="http://schemas.microsoft.com/office/drawing/2014/main" id="{8E810B2A-BCF8-4485-A94A-E6DC68852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157993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610</xdr:row>
      <xdr:rowOff>309563</xdr:rowOff>
    </xdr:from>
    <xdr:to>
      <xdr:col>8</xdr:col>
      <xdr:colOff>494110</xdr:colOff>
      <xdr:row>610</xdr:row>
      <xdr:rowOff>317462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FB373EF7-F496-4C92-8927-A4CD2689CFA0}"/>
            </a:ext>
          </a:extLst>
        </xdr:cNvPr>
        <xdr:cNvCxnSpPr/>
      </xdr:nvCxnSpPr>
      <xdr:spPr>
        <a:xfrm flipV="1">
          <a:off x="3972117" y="1160827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745</xdr:row>
      <xdr:rowOff>26102</xdr:rowOff>
    </xdr:from>
    <xdr:ext cx="1699468" cy="504272"/>
    <xdr:pic>
      <xdr:nvPicPr>
        <xdr:cNvPr id="42" name="Imagen 41">
          <a:extLst>
            <a:ext uri="{FF2B5EF4-FFF2-40B4-BE49-F238E27FC236}">
              <a16:creationId xmlns:a16="http://schemas.microsoft.com/office/drawing/2014/main" id="{F27E5FE2-98CB-4C8B-991A-35AC38B617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41942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745</xdr:row>
      <xdr:rowOff>309563</xdr:rowOff>
    </xdr:from>
    <xdr:to>
      <xdr:col>8</xdr:col>
      <xdr:colOff>494110</xdr:colOff>
      <xdr:row>745</xdr:row>
      <xdr:rowOff>317462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232889D7-A9EE-4DD3-9C66-2E5CD9D57A6B}"/>
            </a:ext>
          </a:extLst>
        </xdr:cNvPr>
        <xdr:cNvCxnSpPr/>
      </xdr:nvCxnSpPr>
      <xdr:spPr>
        <a:xfrm flipV="1">
          <a:off x="3972117" y="142225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655</xdr:row>
      <xdr:rowOff>26102</xdr:rowOff>
    </xdr:from>
    <xdr:ext cx="1699468" cy="504272"/>
    <xdr:pic>
      <xdr:nvPicPr>
        <xdr:cNvPr id="44" name="Imagen 43">
          <a:extLst>
            <a:ext uri="{FF2B5EF4-FFF2-40B4-BE49-F238E27FC236}">
              <a16:creationId xmlns:a16="http://schemas.microsoft.com/office/drawing/2014/main" id="{6516E58D-1B8A-4044-8631-B9526D47B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24549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655</xdr:row>
      <xdr:rowOff>309563</xdr:rowOff>
    </xdr:from>
    <xdr:to>
      <xdr:col>8</xdr:col>
      <xdr:colOff>494110</xdr:colOff>
      <xdr:row>655</xdr:row>
      <xdr:rowOff>317462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EC330E24-FD93-41F0-AF9A-2EA61821F665}"/>
            </a:ext>
          </a:extLst>
        </xdr:cNvPr>
        <xdr:cNvCxnSpPr/>
      </xdr:nvCxnSpPr>
      <xdr:spPr>
        <a:xfrm flipV="1">
          <a:off x="3972117" y="124833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700</xdr:row>
      <xdr:rowOff>26102</xdr:rowOff>
    </xdr:from>
    <xdr:ext cx="1699468" cy="504272"/>
    <xdr:pic>
      <xdr:nvPicPr>
        <xdr:cNvPr id="46" name="Imagen 45">
          <a:extLst>
            <a:ext uri="{FF2B5EF4-FFF2-40B4-BE49-F238E27FC236}">
              <a16:creationId xmlns:a16="http://schemas.microsoft.com/office/drawing/2014/main" id="{D16658CF-EF49-4172-930F-70A71DE3A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33299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700</xdr:row>
      <xdr:rowOff>309563</xdr:rowOff>
    </xdr:from>
    <xdr:to>
      <xdr:col>8</xdr:col>
      <xdr:colOff>494110</xdr:colOff>
      <xdr:row>700</xdr:row>
      <xdr:rowOff>317462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3B0C8CE9-C1D3-400D-859A-1D96EA477006}"/>
            </a:ext>
          </a:extLst>
        </xdr:cNvPr>
        <xdr:cNvCxnSpPr/>
      </xdr:nvCxnSpPr>
      <xdr:spPr>
        <a:xfrm flipV="1">
          <a:off x="3972117" y="133583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745</xdr:row>
      <xdr:rowOff>26102</xdr:rowOff>
    </xdr:from>
    <xdr:ext cx="1699468" cy="504272"/>
    <xdr:pic>
      <xdr:nvPicPr>
        <xdr:cNvPr id="48" name="Imagen 47">
          <a:extLst>
            <a:ext uri="{FF2B5EF4-FFF2-40B4-BE49-F238E27FC236}">
              <a16:creationId xmlns:a16="http://schemas.microsoft.com/office/drawing/2014/main" id="{2FD8E271-0EEC-42F5-AAF5-E90BFCC03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41942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745</xdr:row>
      <xdr:rowOff>309563</xdr:rowOff>
    </xdr:from>
    <xdr:to>
      <xdr:col>8</xdr:col>
      <xdr:colOff>494110</xdr:colOff>
      <xdr:row>745</xdr:row>
      <xdr:rowOff>317462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821BF1E6-5EF0-4144-AC81-EF0D58B0CA1B}"/>
            </a:ext>
          </a:extLst>
        </xdr:cNvPr>
        <xdr:cNvCxnSpPr/>
      </xdr:nvCxnSpPr>
      <xdr:spPr>
        <a:xfrm flipV="1">
          <a:off x="3972117" y="142225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790</xdr:row>
      <xdr:rowOff>26102</xdr:rowOff>
    </xdr:from>
    <xdr:ext cx="1699468" cy="504272"/>
    <xdr:pic>
      <xdr:nvPicPr>
        <xdr:cNvPr id="50" name="Imagen 49">
          <a:extLst>
            <a:ext uri="{FF2B5EF4-FFF2-40B4-BE49-F238E27FC236}">
              <a16:creationId xmlns:a16="http://schemas.microsoft.com/office/drawing/2014/main" id="{47DBC0CA-8D26-4DC3-A5A9-79F5A81D0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50717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790</xdr:row>
      <xdr:rowOff>309563</xdr:rowOff>
    </xdr:from>
    <xdr:to>
      <xdr:col>8</xdr:col>
      <xdr:colOff>494110</xdr:colOff>
      <xdr:row>790</xdr:row>
      <xdr:rowOff>317462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79963969-73C0-4DBA-A3B8-E622CEFF65E2}"/>
            </a:ext>
          </a:extLst>
        </xdr:cNvPr>
        <xdr:cNvCxnSpPr/>
      </xdr:nvCxnSpPr>
      <xdr:spPr>
        <a:xfrm flipV="1">
          <a:off x="3972117" y="151001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790</xdr:row>
      <xdr:rowOff>26102</xdr:rowOff>
    </xdr:from>
    <xdr:ext cx="1699468" cy="504272"/>
    <xdr:pic>
      <xdr:nvPicPr>
        <xdr:cNvPr id="52" name="Imagen 51">
          <a:extLst>
            <a:ext uri="{FF2B5EF4-FFF2-40B4-BE49-F238E27FC236}">
              <a16:creationId xmlns:a16="http://schemas.microsoft.com/office/drawing/2014/main" id="{2BB248D0-52FF-461E-972A-ADFDAF648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50717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790</xdr:row>
      <xdr:rowOff>309563</xdr:rowOff>
    </xdr:from>
    <xdr:to>
      <xdr:col>8</xdr:col>
      <xdr:colOff>494110</xdr:colOff>
      <xdr:row>790</xdr:row>
      <xdr:rowOff>317462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CF2E3710-1477-4CBC-9FF9-0BB017CA407E}"/>
            </a:ext>
          </a:extLst>
        </xdr:cNvPr>
        <xdr:cNvCxnSpPr/>
      </xdr:nvCxnSpPr>
      <xdr:spPr>
        <a:xfrm flipV="1">
          <a:off x="3972117" y="151001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835</xdr:row>
      <xdr:rowOff>26102</xdr:rowOff>
    </xdr:from>
    <xdr:ext cx="1699468" cy="504272"/>
    <xdr:pic>
      <xdr:nvPicPr>
        <xdr:cNvPr id="54" name="Imagen 53">
          <a:extLst>
            <a:ext uri="{FF2B5EF4-FFF2-40B4-BE49-F238E27FC236}">
              <a16:creationId xmlns:a16="http://schemas.microsoft.com/office/drawing/2014/main" id="{B3E3F79C-0611-478B-B7F6-8AC413714B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59493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835</xdr:row>
      <xdr:rowOff>309563</xdr:rowOff>
    </xdr:from>
    <xdr:to>
      <xdr:col>8</xdr:col>
      <xdr:colOff>494110</xdr:colOff>
      <xdr:row>835</xdr:row>
      <xdr:rowOff>317462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8C29363A-A17C-4BC8-BE65-DE67A606FDC6}"/>
            </a:ext>
          </a:extLst>
        </xdr:cNvPr>
        <xdr:cNvCxnSpPr/>
      </xdr:nvCxnSpPr>
      <xdr:spPr>
        <a:xfrm flipV="1">
          <a:off x="3972117" y="159777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835</xdr:row>
      <xdr:rowOff>26102</xdr:rowOff>
    </xdr:from>
    <xdr:ext cx="1699468" cy="504272"/>
    <xdr:pic>
      <xdr:nvPicPr>
        <xdr:cNvPr id="56" name="Imagen 55">
          <a:extLst>
            <a:ext uri="{FF2B5EF4-FFF2-40B4-BE49-F238E27FC236}">
              <a16:creationId xmlns:a16="http://schemas.microsoft.com/office/drawing/2014/main" id="{279FE477-DC19-456C-A075-1ECD98ED9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59493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835</xdr:row>
      <xdr:rowOff>309563</xdr:rowOff>
    </xdr:from>
    <xdr:to>
      <xdr:col>8</xdr:col>
      <xdr:colOff>494110</xdr:colOff>
      <xdr:row>835</xdr:row>
      <xdr:rowOff>317462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02579DDF-62F1-41AB-91A5-B5352E3B3697}"/>
            </a:ext>
          </a:extLst>
        </xdr:cNvPr>
        <xdr:cNvCxnSpPr/>
      </xdr:nvCxnSpPr>
      <xdr:spPr>
        <a:xfrm flipV="1">
          <a:off x="3972117" y="159777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880</xdr:row>
      <xdr:rowOff>26102</xdr:rowOff>
    </xdr:from>
    <xdr:ext cx="1699468" cy="504272"/>
    <xdr:pic>
      <xdr:nvPicPr>
        <xdr:cNvPr id="58" name="Imagen 57">
          <a:extLst>
            <a:ext uri="{FF2B5EF4-FFF2-40B4-BE49-F238E27FC236}">
              <a16:creationId xmlns:a16="http://schemas.microsoft.com/office/drawing/2014/main" id="{39180602-8045-4BAA-8B82-4E803AF98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68269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880</xdr:row>
      <xdr:rowOff>309563</xdr:rowOff>
    </xdr:from>
    <xdr:to>
      <xdr:col>8</xdr:col>
      <xdr:colOff>494110</xdr:colOff>
      <xdr:row>880</xdr:row>
      <xdr:rowOff>317462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2BDA306-1332-446A-B32C-FC708066CEA4}"/>
            </a:ext>
          </a:extLst>
        </xdr:cNvPr>
        <xdr:cNvCxnSpPr/>
      </xdr:nvCxnSpPr>
      <xdr:spPr>
        <a:xfrm flipV="1">
          <a:off x="3972117" y="168552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880</xdr:row>
      <xdr:rowOff>26102</xdr:rowOff>
    </xdr:from>
    <xdr:ext cx="1699468" cy="504272"/>
    <xdr:pic>
      <xdr:nvPicPr>
        <xdr:cNvPr id="60" name="Imagen 59">
          <a:extLst>
            <a:ext uri="{FF2B5EF4-FFF2-40B4-BE49-F238E27FC236}">
              <a16:creationId xmlns:a16="http://schemas.microsoft.com/office/drawing/2014/main" id="{F06BB21C-3700-4A49-8916-0B9CA0D9F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68269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880</xdr:row>
      <xdr:rowOff>309563</xdr:rowOff>
    </xdr:from>
    <xdr:to>
      <xdr:col>8</xdr:col>
      <xdr:colOff>494110</xdr:colOff>
      <xdr:row>880</xdr:row>
      <xdr:rowOff>317462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2415A81-3515-4FC2-A78D-B711C2A74F2A}"/>
            </a:ext>
          </a:extLst>
        </xdr:cNvPr>
        <xdr:cNvCxnSpPr/>
      </xdr:nvCxnSpPr>
      <xdr:spPr>
        <a:xfrm flipV="1">
          <a:off x="3972117" y="168552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925</xdr:row>
      <xdr:rowOff>26102</xdr:rowOff>
    </xdr:from>
    <xdr:ext cx="1699468" cy="504272"/>
    <xdr:pic>
      <xdr:nvPicPr>
        <xdr:cNvPr id="62" name="Imagen 61">
          <a:extLst>
            <a:ext uri="{FF2B5EF4-FFF2-40B4-BE49-F238E27FC236}">
              <a16:creationId xmlns:a16="http://schemas.microsoft.com/office/drawing/2014/main" id="{A1FD9AD3-2809-49D4-B674-046FD7B316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77045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925</xdr:row>
      <xdr:rowOff>309563</xdr:rowOff>
    </xdr:from>
    <xdr:to>
      <xdr:col>8</xdr:col>
      <xdr:colOff>494110</xdr:colOff>
      <xdr:row>925</xdr:row>
      <xdr:rowOff>317462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2A304788-BF31-4F7C-9386-D9DA52795C1E}"/>
            </a:ext>
          </a:extLst>
        </xdr:cNvPr>
        <xdr:cNvCxnSpPr/>
      </xdr:nvCxnSpPr>
      <xdr:spPr>
        <a:xfrm flipV="1">
          <a:off x="3972117" y="177328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925</xdr:row>
      <xdr:rowOff>26102</xdr:rowOff>
    </xdr:from>
    <xdr:ext cx="1699468" cy="504272"/>
    <xdr:pic>
      <xdr:nvPicPr>
        <xdr:cNvPr id="64" name="Imagen 63">
          <a:extLst>
            <a:ext uri="{FF2B5EF4-FFF2-40B4-BE49-F238E27FC236}">
              <a16:creationId xmlns:a16="http://schemas.microsoft.com/office/drawing/2014/main" id="{34AD1C46-6997-4593-85F0-B961B2BBE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77045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925</xdr:row>
      <xdr:rowOff>309563</xdr:rowOff>
    </xdr:from>
    <xdr:to>
      <xdr:col>8</xdr:col>
      <xdr:colOff>494110</xdr:colOff>
      <xdr:row>925</xdr:row>
      <xdr:rowOff>317462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702B1678-A225-4ADF-9DAD-A488EAD6E6BA}"/>
            </a:ext>
          </a:extLst>
        </xdr:cNvPr>
        <xdr:cNvCxnSpPr/>
      </xdr:nvCxnSpPr>
      <xdr:spPr>
        <a:xfrm flipV="1">
          <a:off x="3972117" y="177328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970</xdr:row>
      <xdr:rowOff>26102</xdr:rowOff>
    </xdr:from>
    <xdr:ext cx="1699468" cy="504272"/>
    <xdr:pic>
      <xdr:nvPicPr>
        <xdr:cNvPr id="66" name="Imagen 65">
          <a:extLst>
            <a:ext uri="{FF2B5EF4-FFF2-40B4-BE49-F238E27FC236}">
              <a16:creationId xmlns:a16="http://schemas.microsoft.com/office/drawing/2014/main" id="{E148A9E6-FDF9-4C6B-9D11-9F89543F9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85820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970</xdr:row>
      <xdr:rowOff>309563</xdr:rowOff>
    </xdr:from>
    <xdr:to>
      <xdr:col>8</xdr:col>
      <xdr:colOff>494110</xdr:colOff>
      <xdr:row>970</xdr:row>
      <xdr:rowOff>317462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70B98BDF-DB75-4843-BFD2-BB349E9755BF}"/>
            </a:ext>
          </a:extLst>
        </xdr:cNvPr>
        <xdr:cNvCxnSpPr/>
      </xdr:nvCxnSpPr>
      <xdr:spPr>
        <a:xfrm flipV="1">
          <a:off x="3972117" y="186104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970</xdr:row>
      <xdr:rowOff>26102</xdr:rowOff>
    </xdr:from>
    <xdr:ext cx="1699468" cy="504272"/>
    <xdr:pic>
      <xdr:nvPicPr>
        <xdr:cNvPr id="68" name="Imagen 67">
          <a:extLst>
            <a:ext uri="{FF2B5EF4-FFF2-40B4-BE49-F238E27FC236}">
              <a16:creationId xmlns:a16="http://schemas.microsoft.com/office/drawing/2014/main" id="{3D17CCC3-1B88-46F1-8E6E-A9B16C6F6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85820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970</xdr:row>
      <xdr:rowOff>309563</xdr:rowOff>
    </xdr:from>
    <xdr:to>
      <xdr:col>8</xdr:col>
      <xdr:colOff>494110</xdr:colOff>
      <xdr:row>970</xdr:row>
      <xdr:rowOff>317462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FCC81B91-5EE6-47FA-87EB-84D4C90D019A}"/>
            </a:ext>
          </a:extLst>
        </xdr:cNvPr>
        <xdr:cNvCxnSpPr/>
      </xdr:nvCxnSpPr>
      <xdr:spPr>
        <a:xfrm flipV="1">
          <a:off x="3972117" y="186104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1015</xdr:row>
      <xdr:rowOff>26102</xdr:rowOff>
    </xdr:from>
    <xdr:ext cx="1699468" cy="504272"/>
    <xdr:pic>
      <xdr:nvPicPr>
        <xdr:cNvPr id="70" name="Imagen 69">
          <a:extLst>
            <a:ext uri="{FF2B5EF4-FFF2-40B4-BE49-F238E27FC236}">
              <a16:creationId xmlns:a16="http://schemas.microsoft.com/office/drawing/2014/main" id="{AA316580-ED52-475C-905B-18A97468E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94596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1015</xdr:row>
      <xdr:rowOff>309563</xdr:rowOff>
    </xdr:from>
    <xdr:to>
      <xdr:col>8</xdr:col>
      <xdr:colOff>494110</xdr:colOff>
      <xdr:row>1015</xdr:row>
      <xdr:rowOff>317462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CD4EC21D-2F68-4A92-8022-235F394E7152}"/>
            </a:ext>
          </a:extLst>
        </xdr:cNvPr>
        <xdr:cNvCxnSpPr/>
      </xdr:nvCxnSpPr>
      <xdr:spPr>
        <a:xfrm flipV="1">
          <a:off x="3972117" y="194879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1015</xdr:row>
      <xdr:rowOff>26102</xdr:rowOff>
    </xdr:from>
    <xdr:ext cx="1699468" cy="504272"/>
    <xdr:pic>
      <xdr:nvPicPr>
        <xdr:cNvPr id="72" name="Imagen 71">
          <a:extLst>
            <a:ext uri="{FF2B5EF4-FFF2-40B4-BE49-F238E27FC236}">
              <a16:creationId xmlns:a16="http://schemas.microsoft.com/office/drawing/2014/main" id="{10DDFC8A-740B-45CE-AA75-83F61ED85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194596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1015</xdr:row>
      <xdr:rowOff>309563</xdr:rowOff>
    </xdr:from>
    <xdr:to>
      <xdr:col>8</xdr:col>
      <xdr:colOff>494110</xdr:colOff>
      <xdr:row>1015</xdr:row>
      <xdr:rowOff>317462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A6220BB-D5EE-4DF4-A032-6BDC4C70D9B9}"/>
            </a:ext>
          </a:extLst>
        </xdr:cNvPr>
        <xdr:cNvCxnSpPr/>
      </xdr:nvCxnSpPr>
      <xdr:spPr>
        <a:xfrm flipV="1">
          <a:off x="3972117" y="194879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1060</xdr:row>
      <xdr:rowOff>26102</xdr:rowOff>
    </xdr:from>
    <xdr:ext cx="1699468" cy="504272"/>
    <xdr:pic>
      <xdr:nvPicPr>
        <xdr:cNvPr id="74" name="Imagen 73">
          <a:extLst>
            <a:ext uri="{FF2B5EF4-FFF2-40B4-BE49-F238E27FC236}">
              <a16:creationId xmlns:a16="http://schemas.microsoft.com/office/drawing/2014/main" id="{F1F5045C-A838-4F5C-9A5B-4AAA5F46C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03041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1060</xdr:row>
      <xdr:rowOff>309563</xdr:rowOff>
    </xdr:from>
    <xdr:to>
      <xdr:col>8</xdr:col>
      <xdr:colOff>494110</xdr:colOff>
      <xdr:row>1060</xdr:row>
      <xdr:rowOff>317462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F45A8F5C-534E-4F40-923C-00094C4B7B46}"/>
            </a:ext>
          </a:extLst>
        </xdr:cNvPr>
        <xdr:cNvCxnSpPr/>
      </xdr:nvCxnSpPr>
      <xdr:spPr>
        <a:xfrm flipV="1">
          <a:off x="3972117" y="203325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1060</xdr:row>
      <xdr:rowOff>26102</xdr:rowOff>
    </xdr:from>
    <xdr:ext cx="1699468" cy="504272"/>
    <xdr:pic>
      <xdr:nvPicPr>
        <xdr:cNvPr id="76" name="Imagen 75">
          <a:extLst>
            <a:ext uri="{FF2B5EF4-FFF2-40B4-BE49-F238E27FC236}">
              <a16:creationId xmlns:a16="http://schemas.microsoft.com/office/drawing/2014/main" id="{902395E4-2B42-45D0-9BF6-6160F5E7E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03041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1060</xdr:row>
      <xdr:rowOff>309563</xdr:rowOff>
    </xdr:from>
    <xdr:to>
      <xdr:col>8</xdr:col>
      <xdr:colOff>494110</xdr:colOff>
      <xdr:row>1060</xdr:row>
      <xdr:rowOff>317462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F3990F0F-1DD0-491E-9666-05463DB77666}"/>
            </a:ext>
          </a:extLst>
        </xdr:cNvPr>
        <xdr:cNvCxnSpPr/>
      </xdr:nvCxnSpPr>
      <xdr:spPr>
        <a:xfrm flipV="1">
          <a:off x="3972117" y="203325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1105</xdr:row>
      <xdr:rowOff>26102</xdr:rowOff>
    </xdr:from>
    <xdr:ext cx="1699468" cy="504272"/>
    <xdr:pic>
      <xdr:nvPicPr>
        <xdr:cNvPr id="78" name="Imagen 77">
          <a:extLst>
            <a:ext uri="{FF2B5EF4-FFF2-40B4-BE49-F238E27FC236}">
              <a16:creationId xmlns:a16="http://schemas.microsoft.com/office/drawing/2014/main" id="{AEB97537-EFBB-414F-AA8A-722F90342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11912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1105</xdr:row>
      <xdr:rowOff>309563</xdr:rowOff>
    </xdr:from>
    <xdr:to>
      <xdr:col>8</xdr:col>
      <xdr:colOff>494110</xdr:colOff>
      <xdr:row>1105</xdr:row>
      <xdr:rowOff>317462</xdr:rowOff>
    </xdr:to>
    <xdr:cxnSp macro="">
      <xdr:nvCxnSpPr>
        <xdr:cNvPr id="79" name="Conector recto 78">
          <a:extLst>
            <a:ext uri="{FF2B5EF4-FFF2-40B4-BE49-F238E27FC236}">
              <a16:creationId xmlns:a16="http://schemas.microsoft.com/office/drawing/2014/main" id="{A34CFF22-23FB-484E-9CB4-BD832AFFD797}"/>
            </a:ext>
          </a:extLst>
        </xdr:cNvPr>
        <xdr:cNvCxnSpPr/>
      </xdr:nvCxnSpPr>
      <xdr:spPr>
        <a:xfrm flipV="1">
          <a:off x="3972117" y="212196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1105</xdr:row>
      <xdr:rowOff>26102</xdr:rowOff>
    </xdr:from>
    <xdr:ext cx="1699468" cy="504272"/>
    <xdr:pic>
      <xdr:nvPicPr>
        <xdr:cNvPr id="80" name="Imagen 79">
          <a:extLst>
            <a:ext uri="{FF2B5EF4-FFF2-40B4-BE49-F238E27FC236}">
              <a16:creationId xmlns:a16="http://schemas.microsoft.com/office/drawing/2014/main" id="{DE2A18D9-B66C-49AD-B53A-DA036CEB6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11912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1105</xdr:row>
      <xdr:rowOff>309563</xdr:rowOff>
    </xdr:from>
    <xdr:to>
      <xdr:col>8</xdr:col>
      <xdr:colOff>494110</xdr:colOff>
      <xdr:row>1105</xdr:row>
      <xdr:rowOff>317462</xdr:rowOff>
    </xdr:to>
    <xdr:cxnSp macro="">
      <xdr:nvCxnSpPr>
        <xdr:cNvPr id="81" name="Conector recto 80">
          <a:extLst>
            <a:ext uri="{FF2B5EF4-FFF2-40B4-BE49-F238E27FC236}">
              <a16:creationId xmlns:a16="http://schemas.microsoft.com/office/drawing/2014/main" id="{8A953BE2-513D-47AE-AA1F-72044E92E481}"/>
            </a:ext>
          </a:extLst>
        </xdr:cNvPr>
        <xdr:cNvCxnSpPr/>
      </xdr:nvCxnSpPr>
      <xdr:spPr>
        <a:xfrm flipV="1">
          <a:off x="3972117" y="212196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1150</xdr:row>
      <xdr:rowOff>26102</xdr:rowOff>
    </xdr:from>
    <xdr:ext cx="1699468" cy="504272"/>
    <xdr:pic>
      <xdr:nvPicPr>
        <xdr:cNvPr id="82" name="Imagen 81">
          <a:extLst>
            <a:ext uri="{FF2B5EF4-FFF2-40B4-BE49-F238E27FC236}">
              <a16:creationId xmlns:a16="http://schemas.microsoft.com/office/drawing/2014/main" id="{E43C50D3-E349-4EBD-92E0-0CB0E234C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20783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1150</xdr:row>
      <xdr:rowOff>309563</xdr:rowOff>
    </xdr:from>
    <xdr:to>
      <xdr:col>8</xdr:col>
      <xdr:colOff>494110</xdr:colOff>
      <xdr:row>1150</xdr:row>
      <xdr:rowOff>317462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8721F7F7-44C0-458A-82B1-9ECCBB11ABCC}"/>
            </a:ext>
          </a:extLst>
        </xdr:cNvPr>
        <xdr:cNvCxnSpPr/>
      </xdr:nvCxnSpPr>
      <xdr:spPr>
        <a:xfrm flipV="1">
          <a:off x="3972117" y="221067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1150</xdr:row>
      <xdr:rowOff>26102</xdr:rowOff>
    </xdr:from>
    <xdr:ext cx="1699468" cy="504272"/>
    <xdr:pic>
      <xdr:nvPicPr>
        <xdr:cNvPr id="84" name="Imagen 83">
          <a:extLst>
            <a:ext uri="{FF2B5EF4-FFF2-40B4-BE49-F238E27FC236}">
              <a16:creationId xmlns:a16="http://schemas.microsoft.com/office/drawing/2014/main" id="{249F2568-DFD7-4C0C-8C9C-DD5E100924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20783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1150</xdr:row>
      <xdr:rowOff>309563</xdr:rowOff>
    </xdr:from>
    <xdr:to>
      <xdr:col>8</xdr:col>
      <xdr:colOff>494110</xdr:colOff>
      <xdr:row>1150</xdr:row>
      <xdr:rowOff>317462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14A592DE-8BA4-418F-80F7-F8292DD05394}"/>
            </a:ext>
          </a:extLst>
        </xdr:cNvPr>
        <xdr:cNvCxnSpPr/>
      </xdr:nvCxnSpPr>
      <xdr:spPr>
        <a:xfrm flipV="1">
          <a:off x="3972117" y="221067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1195</xdr:row>
      <xdr:rowOff>26102</xdr:rowOff>
    </xdr:from>
    <xdr:ext cx="1699468" cy="504272"/>
    <xdr:pic>
      <xdr:nvPicPr>
        <xdr:cNvPr id="86" name="Imagen 85">
          <a:extLst>
            <a:ext uri="{FF2B5EF4-FFF2-40B4-BE49-F238E27FC236}">
              <a16:creationId xmlns:a16="http://schemas.microsoft.com/office/drawing/2014/main" id="{271A3A0D-DEFF-413E-A952-74038F41A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29654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1195</xdr:row>
      <xdr:rowOff>309563</xdr:rowOff>
    </xdr:from>
    <xdr:to>
      <xdr:col>8</xdr:col>
      <xdr:colOff>494110</xdr:colOff>
      <xdr:row>1195</xdr:row>
      <xdr:rowOff>317462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71600444-DC8E-456A-B392-B8AC4429CDCD}"/>
            </a:ext>
          </a:extLst>
        </xdr:cNvPr>
        <xdr:cNvCxnSpPr/>
      </xdr:nvCxnSpPr>
      <xdr:spPr>
        <a:xfrm flipV="1">
          <a:off x="3972117" y="229938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1195</xdr:row>
      <xdr:rowOff>26102</xdr:rowOff>
    </xdr:from>
    <xdr:ext cx="1699468" cy="504272"/>
    <xdr:pic>
      <xdr:nvPicPr>
        <xdr:cNvPr id="88" name="Imagen 87">
          <a:extLst>
            <a:ext uri="{FF2B5EF4-FFF2-40B4-BE49-F238E27FC236}">
              <a16:creationId xmlns:a16="http://schemas.microsoft.com/office/drawing/2014/main" id="{53060BB7-C4EF-4DB9-911C-E072A7609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29654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1195</xdr:row>
      <xdr:rowOff>309563</xdr:rowOff>
    </xdr:from>
    <xdr:to>
      <xdr:col>8</xdr:col>
      <xdr:colOff>494110</xdr:colOff>
      <xdr:row>1195</xdr:row>
      <xdr:rowOff>317462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303772A-90F5-483C-A0D7-BD9CA72468D2}"/>
            </a:ext>
          </a:extLst>
        </xdr:cNvPr>
        <xdr:cNvCxnSpPr/>
      </xdr:nvCxnSpPr>
      <xdr:spPr>
        <a:xfrm flipV="1">
          <a:off x="3972117" y="229938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1240</xdr:row>
      <xdr:rowOff>26102</xdr:rowOff>
    </xdr:from>
    <xdr:ext cx="1699468" cy="504272"/>
    <xdr:pic>
      <xdr:nvPicPr>
        <xdr:cNvPr id="90" name="Imagen 89">
          <a:extLst>
            <a:ext uri="{FF2B5EF4-FFF2-40B4-BE49-F238E27FC236}">
              <a16:creationId xmlns:a16="http://schemas.microsoft.com/office/drawing/2014/main" id="{4FF0852D-5A3C-4AB0-9102-0FFEAD072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38525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1240</xdr:row>
      <xdr:rowOff>309563</xdr:rowOff>
    </xdr:from>
    <xdr:to>
      <xdr:col>8</xdr:col>
      <xdr:colOff>494110</xdr:colOff>
      <xdr:row>1240</xdr:row>
      <xdr:rowOff>317462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F958E1F7-88CF-429E-948C-394A11F69367}"/>
            </a:ext>
          </a:extLst>
        </xdr:cNvPr>
        <xdr:cNvCxnSpPr/>
      </xdr:nvCxnSpPr>
      <xdr:spPr>
        <a:xfrm flipV="1">
          <a:off x="3972117" y="238809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1240</xdr:row>
      <xdr:rowOff>26102</xdr:rowOff>
    </xdr:from>
    <xdr:ext cx="1699468" cy="504272"/>
    <xdr:pic>
      <xdr:nvPicPr>
        <xdr:cNvPr id="92" name="Imagen 91">
          <a:extLst>
            <a:ext uri="{FF2B5EF4-FFF2-40B4-BE49-F238E27FC236}">
              <a16:creationId xmlns:a16="http://schemas.microsoft.com/office/drawing/2014/main" id="{B30874A1-70A8-46F4-9B26-E76B62D7A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38525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1240</xdr:row>
      <xdr:rowOff>309563</xdr:rowOff>
    </xdr:from>
    <xdr:to>
      <xdr:col>8</xdr:col>
      <xdr:colOff>494110</xdr:colOff>
      <xdr:row>1240</xdr:row>
      <xdr:rowOff>317462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874E36E5-1F21-40F7-B8E9-9923A610E487}"/>
            </a:ext>
          </a:extLst>
        </xdr:cNvPr>
        <xdr:cNvCxnSpPr/>
      </xdr:nvCxnSpPr>
      <xdr:spPr>
        <a:xfrm flipV="1">
          <a:off x="3972117" y="238809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1285</xdr:row>
      <xdr:rowOff>26102</xdr:rowOff>
    </xdr:from>
    <xdr:ext cx="1699468" cy="504272"/>
    <xdr:pic>
      <xdr:nvPicPr>
        <xdr:cNvPr id="94" name="Imagen 93">
          <a:extLst>
            <a:ext uri="{FF2B5EF4-FFF2-40B4-BE49-F238E27FC236}">
              <a16:creationId xmlns:a16="http://schemas.microsoft.com/office/drawing/2014/main" id="{66C4E463-1713-4685-9667-72F124094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47396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1285</xdr:row>
      <xdr:rowOff>309563</xdr:rowOff>
    </xdr:from>
    <xdr:to>
      <xdr:col>8</xdr:col>
      <xdr:colOff>494110</xdr:colOff>
      <xdr:row>1285</xdr:row>
      <xdr:rowOff>317462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1B99FACE-A765-4090-9C11-C31407688B2D}"/>
            </a:ext>
          </a:extLst>
        </xdr:cNvPr>
        <xdr:cNvCxnSpPr/>
      </xdr:nvCxnSpPr>
      <xdr:spPr>
        <a:xfrm flipV="1">
          <a:off x="3972117" y="247680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1285</xdr:row>
      <xdr:rowOff>26102</xdr:rowOff>
    </xdr:from>
    <xdr:ext cx="1699468" cy="504272"/>
    <xdr:pic>
      <xdr:nvPicPr>
        <xdr:cNvPr id="96" name="Imagen 95">
          <a:extLst>
            <a:ext uri="{FF2B5EF4-FFF2-40B4-BE49-F238E27FC236}">
              <a16:creationId xmlns:a16="http://schemas.microsoft.com/office/drawing/2014/main" id="{DB6ABCAC-8379-43F0-BC80-F58799BCE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47396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1285</xdr:row>
      <xdr:rowOff>309563</xdr:rowOff>
    </xdr:from>
    <xdr:to>
      <xdr:col>8</xdr:col>
      <xdr:colOff>494110</xdr:colOff>
      <xdr:row>1285</xdr:row>
      <xdr:rowOff>317462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AE64CBE2-4C2A-4506-BC44-C9E85D666CE6}"/>
            </a:ext>
          </a:extLst>
        </xdr:cNvPr>
        <xdr:cNvCxnSpPr/>
      </xdr:nvCxnSpPr>
      <xdr:spPr>
        <a:xfrm flipV="1">
          <a:off x="3972117" y="247680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1285</xdr:row>
      <xdr:rowOff>26102</xdr:rowOff>
    </xdr:from>
    <xdr:ext cx="1699468" cy="504272"/>
    <xdr:pic>
      <xdr:nvPicPr>
        <xdr:cNvPr id="98" name="Imagen 97">
          <a:extLst>
            <a:ext uri="{FF2B5EF4-FFF2-40B4-BE49-F238E27FC236}">
              <a16:creationId xmlns:a16="http://schemas.microsoft.com/office/drawing/2014/main" id="{BEBF9147-5136-4C29-AA06-4A71F4CF2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47396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1285</xdr:row>
      <xdr:rowOff>309563</xdr:rowOff>
    </xdr:from>
    <xdr:to>
      <xdr:col>8</xdr:col>
      <xdr:colOff>494110</xdr:colOff>
      <xdr:row>1285</xdr:row>
      <xdr:rowOff>317462</xdr:rowOff>
    </xdr:to>
    <xdr:cxnSp macro="">
      <xdr:nvCxnSpPr>
        <xdr:cNvPr id="99" name="Conector recto 98">
          <a:extLst>
            <a:ext uri="{FF2B5EF4-FFF2-40B4-BE49-F238E27FC236}">
              <a16:creationId xmlns:a16="http://schemas.microsoft.com/office/drawing/2014/main" id="{22AF5761-20CB-49B0-B40A-13A54901AACA}"/>
            </a:ext>
          </a:extLst>
        </xdr:cNvPr>
        <xdr:cNvCxnSpPr/>
      </xdr:nvCxnSpPr>
      <xdr:spPr>
        <a:xfrm flipV="1">
          <a:off x="3972117" y="247680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1331</xdr:row>
      <xdr:rowOff>26102</xdr:rowOff>
    </xdr:from>
    <xdr:ext cx="1699468" cy="504272"/>
    <xdr:pic>
      <xdr:nvPicPr>
        <xdr:cNvPr id="100" name="Imagen 99">
          <a:extLst>
            <a:ext uri="{FF2B5EF4-FFF2-40B4-BE49-F238E27FC236}">
              <a16:creationId xmlns:a16="http://schemas.microsoft.com/office/drawing/2014/main" id="{410CBBC2-3CA3-4D76-9E98-47E8F4A55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56343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1331</xdr:row>
      <xdr:rowOff>309563</xdr:rowOff>
    </xdr:from>
    <xdr:to>
      <xdr:col>8</xdr:col>
      <xdr:colOff>494110</xdr:colOff>
      <xdr:row>1331</xdr:row>
      <xdr:rowOff>317462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32A78E14-8E19-4EE7-8376-29148002BE4A}"/>
            </a:ext>
          </a:extLst>
        </xdr:cNvPr>
        <xdr:cNvCxnSpPr/>
      </xdr:nvCxnSpPr>
      <xdr:spPr>
        <a:xfrm flipV="1">
          <a:off x="3972117" y="256627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1331</xdr:row>
      <xdr:rowOff>26102</xdr:rowOff>
    </xdr:from>
    <xdr:ext cx="1699468" cy="504272"/>
    <xdr:pic>
      <xdr:nvPicPr>
        <xdr:cNvPr id="102" name="Imagen 101">
          <a:extLst>
            <a:ext uri="{FF2B5EF4-FFF2-40B4-BE49-F238E27FC236}">
              <a16:creationId xmlns:a16="http://schemas.microsoft.com/office/drawing/2014/main" id="{685D1718-3E54-4D51-A056-ADC307537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56343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1331</xdr:row>
      <xdr:rowOff>309563</xdr:rowOff>
    </xdr:from>
    <xdr:to>
      <xdr:col>8</xdr:col>
      <xdr:colOff>494110</xdr:colOff>
      <xdr:row>1331</xdr:row>
      <xdr:rowOff>317462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CFE01C77-1087-4E4F-8E51-1B8498F5D147}"/>
            </a:ext>
          </a:extLst>
        </xdr:cNvPr>
        <xdr:cNvCxnSpPr/>
      </xdr:nvCxnSpPr>
      <xdr:spPr>
        <a:xfrm flipV="1">
          <a:off x="3972117" y="256627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1331</xdr:row>
      <xdr:rowOff>26102</xdr:rowOff>
    </xdr:from>
    <xdr:ext cx="1699468" cy="504272"/>
    <xdr:pic>
      <xdr:nvPicPr>
        <xdr:cNvPr id="104" name="Imagen 103">
          <a:extLst>
            <a:ext uri="{FF2B5EF4-FFF2-40B4-BE49-F238E27FC236}">
              <a16:creationId xmlns:a16="http://schemas.microsoft.com/office/drawing/2014/main" id="{F26C0DA6-076C-4115-9FD9-84E77B0549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56343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1331</xdr:row>
      <xdr:rowOff>309563</xdr:rowOff>
    </xdr:from>
    <xdr:to>
      <xdr:col>8</xdr:col>
      <xdr:colOff>494110</xdr:colOff>
      <xdr:row>1331</xdr:row>
      <xdr:rowOff>317462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F2B0D280-111F-4FF8-BAFC-FB43188D86C6}"/>
            </a:ext>
          </a:extLst>
        </xdr:cNvPr>
        <xdr:cNvCxnSpPr/>
      </xdr:nvCxnSpPr>
      <xdr:spPr>
        <a:xfrm flipV="1">
          <a:off x="3972117" y="256627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1376</xdr:row>
      <xdr:rowOff>26102</xdr:rowOff>
    </xdr:from>
    <xdr:ext cx="1699468" cy="504272"/>
    <xdr:pic>
      <xdr:nvPicPr>
        <xdr:cNvPr id="106" name="Imagen 105">
          <a:extLst>
            <a:ext uri="{FF2B5EF4-FFF2-40B4-BE49-F238E27FC236}">
              <a16:creationId xmlns:a16="http://schemas.microsoft.com/office/drawing/2014/main" id="{CCA38F7C-72FA-4609-9A79-6A1619DD6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65214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1376</xdr:row>
      <xdr:rowOff>309563</xdr:rowOff>
    </xdr:from>
    <xdr:to>
      <xdr:col>8</xdr:col>
      <xdr:colOff>494110</xdr:colOff>
      <xdr:row>1376</xdr:row>
      <xdr:rowOff>317462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2D666B22-4A6A-4E04-B968-FF3B3F1A62B2}"/>
            </a:ext>
          </a:extLst>
        </xdr:cNvPr>
        <xdr:cNvCxnSpPr/>
      </xdr:nvCxnSpPr>
      <xdr:spPr>
        <a:xfrm flipV="1">
          <a:off x="3972117" y="265498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1376</xdr:row>
      <xdr:rowOff>26102</xdr:rowOff>
    </xdr:from>
    <xdr:ext cx="1699468" cy="504272"/>
    <xdr:pic>
      <xdr:nvPicPr>
        <xdr:cNvPr id="108" name="Imagen 107">
          <a:extLst>
            <a:ext uri="{FF2B5EF4-FFF2-40B4-BE49-F238E27FC236}">
              <a16:creationId xmlns:a16="http://schemas.microsoft.com/office/drawing/2014/main" id="{008AAC74-DBEA-4431-A893-110F3CAAA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65214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1376</xdr:row>
      <xdr:rowOff>309563</xdr:rowOff>
    </xdr:from>
    <xdr:to>
      <xdr:col>8</xdr:col>
      <xdr:colOff>494110</xdr:colOff>
      <xdr:row>1376</xdr:row>
      <xdr:rowOff>317462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FEAF28AF-AC05-4A89-9C99-3AE7B620A21C}"/>
            </a:ext>
          </a:extLst>
        </xdr:cNvPr>
        <xdr:cNvCxnSpPr/>
      </xdr:nvCxnSpPr>
      <xdr:spPr>
        <a:xfrm flipV="1">
          <a:off x="3972117" y="265498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1376</xdr:row>
      <xdr:rowOff>26102</xdr:rowOff>
    </xdr:from>
    <xdr:ext cx="1699468" cy="504272"/>
    <xdr:pic>
      <xdr:nvPicPr>
        <xdr:cNvPr id="110" name="Imagen 109">
          <a:extLst>
            <a:ext uri="{FF2B5EF4-FFF2-40B4-BE49-F238E27FC236}">
              <a16:creationId xmlns:a16="http://schemas.microsoft.com/office/drawing/2014/main" id="{32171A37-5987-4864-9F53-D54D8A4CC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65214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1376</xdr:row>
      <xdr:rowOff>309563</xdr:rowOff>
    </xdr:from>
    <xdr:to>
      <xdr:col>8</xdr:col>
      <xdr:colOff>494110</xdr:colOff>
      <xdr:row>1376</xdr:row>
      <xdr:rowOff>317462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AC622447-6AA8-4565-93A9-3A1AFA841FC0}"/>
            </a:ext>
          </a:extLst>
        </xdr:cNvPr>
        <xdr:cNvCxnSpPr/>
      </xdr:nvCxnSpPr>
      <xdr:spPr>
        <a:xfrm flipV="1">
          <a:off x="3972117" y="265498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1421</xdr:row>
      <xdr:rowOff>26102</xdr:rowOff>
    </xdr:from>
    <xdr:ext cx="1699468" cy="504272"/>
    <xdr:pic>
      <xdr:nvPicPr>
        <xdr:cNvPr id="112" name="Imagen 111">
          <a:extLst>
            <a:ext uri="{FF2B5EF4-FFF2-40B4-BE49-F238E27FC236}">
              <a16:creationId xmlns:a16="http://schemas.microsoft.com/office/drawing/2014/main" id="{E3115F11-710D-4FDB-9BD8-074E8C8B5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74085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1421</xdr:row>
      <xdr:rowOff>309563</xdr:rowOff>
    </xdr:from>
    <xdr:to>
      <xdr:col>8</xdr:col>
      <xdr:colOff>494110</xdr:colOff>
      <xdr:row>1421</xdr:row>
      <xdr:rowOff>317462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AFBE9CDF-AE63-4EC2-A9E7-BB369EFED966}"/>
            </a:ext>
          </a:extLst>
        </xdr:cNvPr>
        <xdr:cNvCxnSpPr/>
      </xdr:nvCxnSpPr>
      <xdr:spPr>
        <a:xfrm flipV="1">
          <a:off x="3972117" y="274369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1421</xdr:row>
      <xdr:rowOff>26102</xdr:rowOff>
    </xdr:from>
    <xdr:ext cx="1699468" cy="504272"/>
    <xdr:pic>
      <xdr:nvPicPr>
        <xdr:cNvPr id="114" name="Imagen 113">
          <a:extLst>
            <a:ext uri="{FF2B5EF4-FFF2-40B4-BE49-F238E27FC236}">
              <a16:creationId xmlns:a16="http://schemas.microsoft.com/office/drawing/2014/main" id="{23151285-9928-4770-A920-F5118202A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74085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1421</xdr:row>
      <xdr:rowOff>309563</xdr:rowOff>
    </xdr:from>
    <xdr:to>
      <xdr:col>8</xdr:col>
      <xdr:colOff>494110</xdr:colOff>
      <xdr:row>1421</xdr:row>
      <xdr:rowOff>317462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2F76B7E7-504D-4645-BBFB-38E1769D46D4}"/>
            </a:ext>
          </a:extLst>
        </xdr:cNvPr>
        <xdr:cNvCxnSpPr/>
      </xdr:nvCxnSpPr>
      <xdr:spPr>
        <a:xfrm flipV="1">
          <a:off x="3972117" y="274369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1421</xdr:row>
      <xdr:rowOff>26102</xdr:rowOff>
    </xdr:from>
    <xdr:ext cx="1699468" cy="504272"/>
    <xdr:pic>
      <xdr:nvPicPr>
        <xdr:cNvPr id="116" name="Imagen 115">
          <a:extLst>
            <a:ext uri="{FF2B5EF4-FFF2-40B4-BE49-F238E27FC236}">
              <a16:creationId xmlns:a16="http://schemas.microsoft.com/office/drawing/2014/main" id="{A9387FB9-A2F3-4A5D-8B32-32E759CE0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74085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1421</xdr:row>
      <xdr:rowOff>309563</xdr:rowOff>
    </xdr:from>
    <xdr:to>
      <xdr:col>8</xdr:col>
      <xdr:colOff>494110</xdr:colOff>
      <xdr:row>1421</xdr:row>
      <xdr:rowOff>317462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BCE46DB0-069F-4BB8-87B2-AB8D063B7B0D}"/>
            </a:ext>
          </a:extLst>
        </xdr:cNvPr>
        <xdr:cNvCxnSpPr/>
      </xdr:nvCxnSpPr>
      <xdr:spPr>
        <a:xfrm flipV="1">
          <a:off x="3972117" y="274369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1466</xdr:row>
      <xdr:rowOff>26102</xdr:rowOff>
    </xdr:from>
    <xdr:ext cx="1699468" cy="504272"/>
    <xdr:pic>
      <xdr:nvPicPr>
        <xdr:cNvPr id="118" name="Imagen 117">
          <a:extLst>
            <a:ext uri="{FF2B5EF4-FFF2-40B4-BE49-F238E27FC236}">
              <a16:creationId xmlns:a16="http://schemas.microsoft.com/office/drawing/2014/main" id="{28F2501E-E525-45BF-9A07-53A1E20DE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82956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1466</xdr:row>
      <xdr:rowOff>309563</xdr:rowOff>
    </xdr:from>
    <xdr:to>
      <xdr:col>8</xdr:col>
      <xdr:colOff>494110</xdr:colOff>
      <xdr:row>1466</xdr:row>
      <xdr:rowOff>317462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954F02FC-343C-4593-A41A-A456FAFEA437}"/>
            </a:ext>
          </a:extLst>
        </xdr:cNvPr>
        <xdr:cNvCxnSpPr/>
      </xdr:nvCxnSpPr>
      <xdr:spPr>
        <a:xfrm flipV="1">
          <a:off x="3972117" y="283240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1466</xdr:row>
      <xdr:rowOff>26102</xdr:rowOff>
    </xdr:from>
    <xdr:ext cx="1699468" cy="504272"/>
    <xdr:pic>
      <xdr:nvPicPr>
        <xdr:cNvPr id="120" name="Imagen 119">
          <a:extLst>
            <a:ext uri="{FF2B5EF4-FFF2-40B4-BE49-F238E27FC236}">
              <a16:creationId xmlns:a16="http://schemas.microsoft.com/office/drawing/2014/main" id="{41D87291-6618-423D-A0CC-11AA69286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82956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1466</xdr:row>
      <xdr:rowOff>309563</xdr:rowOff>
    </xdr:from>
    <xdr:to>
      <xdr:col>8</xdr:col>
      <xdr:colOff>494110</xdr:colOff>
      <xdr:row>1466</xdr:row>
      <xdr:rowOff>317462</xdr:rowOff>
    </xdr:to>
    <xdr:cxnSp macro="">
      <xdr:nvCxnSpPr>
        <xdr:cNvPr id="121" name="Conector recto 120">
          <a:extLst>
            <a:ext uri="{FF2B5EF4-FFF2-40B4-BE49-F238E27FC236}">
              <a16:creationId xmlns:a16="http://schemas.microsoft.com/office/drawing/2014/main" id="{A584B66E-DE17-43F8-9172-DA30ECB0C500}"/>
            </a:ext>
          </a:extLst>
        </xdr:cNvPr>
        <xdr:cNvCxnSpPr/>
      </xdr:nvCxnSpPr>
      <xdr:spPr>
        <a:xfrm flipV="1">
          <a:off x="3972117" y="283240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1466</xdr:row>
      <xdr:rowOff>26102</xdr:rowOff>
    </xdr:from>
    <xdr:ext cx="1699468" cy="504272"/>
    <xdr:pic>
      <xdr:nvPicPr>
        <xdr:cNvPr id="122" name="Imagen 121">
          <a:extLst>
            <a:ext uri="{FF2B5EF4-FFF2-40B4-BE49-F238E27FC236}">
              <a16:creationId xmlns:a16="http://schemas.microsoft.com/office/drawing/2014/main" id="{0F127EE8-1A36-4380-ADFE-7D870BC58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82956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1466</xdr:row>
      <xdr:rowOff>309563</xdr:rowOff>
    </xdr:from>
    <xdr:to>
      <xdr:col>8</xdr:col>
      <xdr:colOff>494110</xdr:colOff>
      <xdr:row>1466</xdr:row>
      <xdr:rowOff>317462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35298DE1-CF26-418A-81FF-7F26E6ACCD0C}"/>
            </a:ext>
          </a:extLst>
        </xdr:cNvPr>
        <xdr:cNvCxnSpPr/>
      </xdr:nvCxnSpPr>
      <xdr:spPr>
        <a:xfrm flipV="1">
          <a:off x="3972117" y="283240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1511</xdr:row>
      <xdr:rowOff>26102</xdr:rowOff>
    </xdr:from>
    <xdr:ext cx="1699468" cy="504272"/>
    <xdr:pic>
      <xdr:nvPicPr>
        <xdr:cNvPr id="124" name="Imagen 123">
          <a:extLst>
            <a:ext uri="{FF2B5EF4-FFF2-40B4-BE49-F238E27FC236}">
              <a16:creationId xmlns:a16="http://schemas.microsoft.com/office/drawing/2014/main" id="{EA6759F3-D3AD-4F09-8397-904E0E5E9B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91827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1511</xdr:row>
      <xdr:rowOff>309563</xdr:rowOff>
    </xdr:from>
    <xdr:to>
      <xdr:col>8</xdr:col>
      <xdr:colOff>494110</xdr:colOff>
      <xdr:row>1511</xdr:row>
      <xdr:rowOff>317462</xdr:rowOff>
    </xdr:to>
    <xdr:cxnSp macro="">
      <xdr:nvCxnSpPr>
        <xdr:cNvPr id="125" name="Conector recto 124">
          <a:extLst>
            <a:ext uri="{FF2B5EF4-FFF2-40B4-BE49-F238E27FC236}">
              <a16:creationId xmlns:a16="http://schemas.microsoft.com/office/drawing/2014/main" id="{7D507203-BB58-4133-9FB1-15A6960FBF3E}"/>
            </a:ext>
          </a:extLst>
        </xdr:cNvPr>
        <xdr:cNvCxnSpPr/>
      </xdr:nvCxnSpPr>
      <xdr:spPr>
        <a:xfrm flipV="1">
          <a:off x="3972117" y="292111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1511</xdr:row>
      <xdr:rowOff>26102</xdr:rowOff>
    </xdr:from>
    <xdr:ext cx="1699468" cy="504272"/>
    <xdr:pic>
      <xdr:nvPicPr>
        <xdr:cNvPr id="126" name="Imagen 125">
          <a:extLst>
            <a:ext uri="{FF2B5EF4-FFF2-40B4-BE49-F238E27FC236}">
              <a16:creationId xmlns:a16="http://schemas.microsoft.com/office/drawing/2014/main" id="{F5071415-EDA2-4A49-9A48-0B0384DC1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91827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1511</xdr:row>
      <xdr:rowOff>309563</xdr:rowOff>
    </xdr:from>
    <xdr:to>
      <xdr:col>8</xdr:col>
      <xdr:colOff>494110</xdr:colOff>
      <xdr:row>1511</xdr:row>
      <xdr:rowOff>317462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50C2C7D9-E247-4ED5-AA49-41CFBDC6C30C}"/>
            </a:ext>
          </a:extLst>
        </xdr:cNvPr>
        <xdr:cNvCxnSpPr/>
      </xdr:nvCxnSpPr>
      <xdr:spPr>
        <a:xfrm flipV="1">
          <a:off x="3972117" y="292111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1511</xdr:row>
      <xdr:rowOff>26102</xdr:rowOff>
    </xdr:from>
    <xdr:ext cx="1699468" cy="504272"/>
    <xdr:pic>
      <xdr:nvPicPr>
        <xdr:cNvPr id="128" name="Imagen 127">
          <a:extLst>
            <a:ext uri="{FF2B5EF4-FFF2-40B4-BE49-F238E27FC236}">
              <a16:creationId xmlns:a16="http://schemas.microsoft.com/office/drawing/2014/main" id="{6F675A7E-A2D6-40C9-9B2C-01445E156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91827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1511</xdr:row>
      <xdr:rowOff>309563</xdr:rowOff>
    </xdr:from>
    <xdr:to>
      <xdr:col>8</xdr:col>
      <xdr:colOff>494110</xdr:colOff>
      <xdr:row>1511</xdr:row>
      <xdr:rowOff>317462</xdr:rowOff>
    </xdr:to>
    <xdr:cxnSp macro="">
      <xdr:nvCxnSpPr>
        <xdr:cNvPr id="129" name="Conector recto 128">
          <a:extLst>
            <a:ext uri="{FF2B5EF4-FFF2-40B4-BE49-F238E27FC236}">
              <a16:creationId xmlns:a16="http://schemas.microsoft.com/office/drawing/2014/main" id="{2FA145E7-2569-412A-B0A7-8BBBB0548B1D}"/>
            </a:ext>
          </a:extLst>
        </xdr:cNvPr>
        <xdr:cNvCxnSpPr/>
      </xdr:nvCxnSpPr>
      <xdr:spPr>
        <a:xfrm flipV="1">
          <a:off x="3972117" y="292111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1511</xdr:row>
      <xdr:rowOff>26102</xdr:rowOff>
    </xdr:from>
    <xdr:ext cx="1699468" cy="504272"/>
    <xdr:pic>
      <xdr:nvPicPr>
        <xdr:cNvPr id="130" name="Imagen 129">
          <a:extLst>
            <a:ext uri="{FF2B5EF4-FFF2-40B4-BE49-F238E27FC236}">
              <a16:creationId xmlns:a16="http://schemas.microsoft.com/office/drawing/2014/main" id="{CEE81B47-205D-45B4-9D4A-B789CDE19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291827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1511</xdr:row>
      <xdr:rowOff>309563</xdr:rowOff>
    </xdr:from>
    <xdr:to>
      <xdr:col>8</xdr:col>
      <xdr:colOff>494110</xdr:colOff>
      <xdr:row>1511</xdr:row>
      <xdr:rowOff>317462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86B83400-AF31-4F27-B392-29CD42D8723C}"/>
            </a:ext>
          </a:extLst>
        </xdr:cNvPr>
        <xdr:cNvCxnSpPr/>
      </xdr:nvCxnSpPr>
      <xdr:spPr>
        <a:xfrm flipV="1">
          <a:off x="3972117" y="292111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1556</xdr:row>
      <xdr:rowOff>26102</xdr:rowOff>
    </xdr:from>
    <xdr:ext cx="1699468" cy="504272"/>
    <xdr:pic>
      <xdr:nvPicPr>
        <xdr:cNvPr id="132" name="Imagen 131">
          <a:extLst>
            <a:ext uri="{FF2B5EF4-FFF2-40B4-BE49-F238E27FC236}">
              <a16:creationId xmlns:a16="http://schemas.microsoft.com/office/drawing/2014/main" id="{326383CC-8BAF-4E99-A75A-4154E16D2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00698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1556</xdr:row>
      <xdr:rowOff>309563</xdr:rowOff>
    </xdr:from>
    <xdr:to>
      <xdr:col>8</xdr:col>
      <xdr:colOff>494110</xdr:colOff>
      <xdr:row>1556</xdr:row>
      <xdr:rowOff>317462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817CCFA9-B861-48ED-B8AC-77360D7F8C35}"/>
            </a:ext>
          </a:extLst>
        </xdr:cNvPr>
        <xdr:cNvCxnSpPr/>
      </xdr:nvCxnSpPr>
      <xdr:spPr>
        <a:xfrm flipV="1">
          <a:off x="3972117" y="300982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1556</xdr:row>
      <xdr:rowOff>26102</xdr:rowOff>
    </xdr:from>
    <xdr:ext cx="1699468" cy="504272"/>
    <xdr:pic>
      <xdr:nvPicPr>
        <xdr:cNvPr id="134" name="Imagen 133">
          <a:extLst>
            <a:ext uri="{FF2B5EF4-FFF2-40B4-BE49-F238E27FC236}">
              <a16:creationId xmlns:a16="http://schemas.microsoft.com/office/drawing/2014/main" id="{ECFB4AF8-F44E-40BE-9672-1B1EDA635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00698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1556</xdr:row>
      <xdr:rowOff>309563</xdr:rowOff>
    </xdr:from>
    <xdr:to>
      <xdr:col>8</xdr:col>
      <xdr:colOff>494110</xdr:colOff>
      <xdr:row>1556</xdr:row>
      <xdr:rowOff>317462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DAB94962-DC3A-4339-AF29-3EE86D6AECA3}"/>
            </a:ext>
          </a:extLst>
        </xdr:cNvPr>
        <xdr:cNvCxnSpPr/>
      </xdr:nvCxnSpPr>
      <xdr:spPr>
        <a:xfrm flipV="1">
          <a:off x="3972117" y="300982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1556</xdr:row>
      <xdr:rowOff>26102</xdr:rowOff>
    </xdr:from>
    <xdr:ext cx="1699468" cy="504272"/>
    <xdr:pic>
      <xdr:nvPicPr>
        <xdr:cNvPr id="136" name="Imagen 135">
          <a:extLst>
            <a:ext uri="{FF2B5EF4-FFF2-40B4-BE49-F238E27FC236}">
              <a16:creationId xmlns:a16="http://schemas.microsoft.com/office/drawing/2014/main" id="{34EFCAE4-3858-4EDF-861A-4C394F0F99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00698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1556</xdr:row>
      <xdr:rowOff>309563</xdr:rowOff>
    </xdr:from>
    <xdr:to>
      <xdr:col>8</xdr:col>
      <xdr:colOff>494110</xdr:colOff>
      <xdr:row>1556</xdr:row>
      <xdr:rowOff>317462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0F35B46F-5557-4FDD-8D39-0E3B5E4F6969}"/>
            </a:ext>
          </a:extLst>
        </xdr:cNvPr>
        <xdr:cNvCxnSpPr/>
      </xdr:nvCxnSpPr>
      <xdr:spPr>
        <a:xfrm flipV="1">
          <a:off x="3972117" y="300982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1556</xdr:row>
      <xdr:rowOff>26102</xdr:rowOff>
    </xdr:from>
    <xdr:ext cx="1699468" cy="504272"/>
    <xdr:pic>
      <xdr:nvPicPr>
        <xdr:cNvPr id="138" name="Imagen 137">
          <a:extLst>
            <a:ext uri="{FF2B5EF4-FFF2-40B4-BE49-F238E27FC236}">
              <a16:creationId xmlns:a16="http://schemas.microsoft.com/office/drawing/2014/main" id="{AE7234ED-E97D-459A-AD1E-7BEDA9B3EC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00698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1556</xdr:row>
      <xdr:rowOff>309563</xdr:rowOff>
    </xdr:from>
    <xdr:to>
      <xdr:col>8</xdr:col>
      <xdr:colOff>494110</xdr:colOff>
      <xdr:row>1556</xdr:row>
      <xdr:rowOff>317462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7CC87F11-CD12-4D37-90C6-A6F9197E8D11}"/>
            </a:ext>
          </a:extLst>
        </xdr:cNvPr>
        <xdr:cNvCxnSpPr/>
      </xdr:nvCxnSpPr>
      <xdr:spPr>
        <a:xfrm flipV="1">
          <a:off x="3972117" y="300982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1601</xdr:row>
      <xdr:rowOff>26102</xdr:rowOff>
    </xdr:from>
    <xdr:ext cx="1699468" cy="504272"/>
    <xdr:pic>
      <xdr:nvPicPr>
        <xdr:cNvPr id="140" name="Imagen 139">
          <a:extLst>
            <a:ext uri="{FF2B5EF4-FFF2-40B4-BE49-F238E27FC236}">
              <a16:creationId xmlns:a16="http://schemas.microsoft.com/office/drawing/2014/main" id="{04AF53AA-0C02-4435-829E-14D8895C6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09569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1601</xdr:row>
      <xdr:rowOff>309563</xdr:rowOff>
    </xdr:from>
    <xdr:to>
      <xdr:col>8</xdr:col>
      <xdr:colOff>494110</xdr:colOff>
      <xdr:row>1601</xdr:row>
      <xdr:rowOff>317462</xdr:rowOff>
    </xdr:to>
    <xdr:cxnSp macro="">
      <xdr:nvCxnSpPr>
        <xdr:cNvPr id="141" name="Conector recto 140">
          <a:extLst>
            <a:ext uri="{FF2B5EF4-FFF2-40B4-BE49-F238E27FC236}">
              <a16:creationId xmlns:a16="http://schemas.microsoft.com/office/drawing/2014/main" id="{C536B39B-B1FA-4ACB-B87A-402E28FAF125}"/>
            </a:ext>
          </a:extLst>
        </xdr:cNvPr>
        <xdr:cNvCxnSpPr/>
      </xdr:nvCxnSpPr>
      <xdr:spPr>
        <a:xfrm flipV="1">
          <a:off x="3972117" y="309853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1601</xdr:row>
      <xdr:rowOff>26102</xdr:rowOff>
    </xdr:from>
    <xdr:ext cx="1699468" cy="504272"/>
    <xdr:pic>
      <xdr:nvPicPr>
        <xdr:cNvPr id="142" name="Imagen 141">
          <a:extLst>
            <a:ext uri="{FF2B5EF4-FFF2-40B4-BE49-F238E27FC236}">
              <a16:creationId xmlns:a16="http://schemas.microsoft.com/office/drawing/2014/main" id="{830E8080-37DA-4CA8-B25A-6998C2C18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09569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1601</xdr:row>
      <xdr:rowOff>309563</xdr:rowOff>
    </xdr:from>
    <xdr:to>
      <xdr:col>8</xdr:col>
      <xdr:colOff>494110</xdr:colOff>
      <xdr:row>1601</xdr:row>
      <xdr:rowOff>317462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20A56B18-7EC8-4998-8318-7088419A89A6}"/>
            </a:ext>
          </a:extLst>
        </xdr:cNvPr>
        <xdr:cNvCxnSpPr/>
      </xdr:nvCxnSpPr>
      <xdr:spPr>
        <a:xfrm flipV="1">
          <a:off x="3972117" y="309853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1601</xdr:row>
      <xdr:rowOff>26102</xdr:rowOff>
    </xdr:from>
    <xdr:ext cx="1699468" cy="504272"/>
    <xdr:pic>
      <xdr:nvPicPr>
        <xdr:cNvPr id="144" name="Imagen 143">
          <a:extLst>
            <a:ext uri="{FF2B5EF4-FFF2-40B4-BE49-F238E27FC236}">
              <a16:creationId xmlns:a16="http://schemas.microsoft.com/office/drawing/2014/main" id="{8268239C-57A2-4905-A0C0-C34BA165B3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09569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1601</xdr:row>
      <xdr:rowOff>309563</xdr:rowOff>
    </xdr:from>
    <xdr:to>
      <xdr:col>8</xdr:col>
      <xdr:colOff>494110</xdr:colOff>
      <xdr:row>1601</xdr:row>
      <xdr:rowOff>317462</xdr:rowOff>
    </xdr:to>
    <xdr:cxnSp macro="">
      <xdr:nvCxnSpPr>
        <xdr:cNvPr id="145" name="Conector recto 144">
          <a:extLst>
            <a:ext uri="{FF2B5EF4-FFF2-40B4-BE49-F238E27FC236}">
              <a16:creationId xmlns:a16="http://schemas.microsoft.com/office/drawing/2014/main" id="{AAF7D139-E312-4E19-8E3F-439E143E7EF5}"/>
            </a:ext>
          </a:extLst>
        </xdr:cNvPr>
        <xdr:cNvCxnSpPr/>
      </xdr:nvCxnSpPr>
      <xdr:spPr>
        <a:xfrm flipV="1">
          <a:off x="3972117" y="309853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1601</xdr:row>
      <xdr:rowOff>26102</xdr:rowOff>
    </xdr:from>
    <xdr:ext cx="1699468" cy="504272"/>
    <xdr:pic>
      <xdr:nvPicPr>
        <xdr:cNvPr id="146" name="Imagen 145">
          <a:extLst>
            <a:ext uri="{FF2B5EF4-FFF2-40B4-BE49-F238E27FC236}">
              <a16:creationId xmlns:a16="http://schemas.microsoft.com/office/drawing/2014/main" id="{61F0C41D-A4E9-47D2-A740-7C64F462ED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09569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1601</xdr:row>
      <xdr:rowOff>309563</xdr:rowOff>
    </xdr:from>
    <xdr:to>
      <xdr:col>8</xdr:col>
      <xdr:colOff>494110</xdr:colOff>
      <xdr:row>1601</xdr:row>
      <xdr:rowOff>317462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251C5D46-CBB8-4D41-92F6-B2A32BD6EAE8}"/>
            </a:ext>
          </a:extLst>
        </xdr:cNvPr>
        <xdr:cNvCxnSpPr/>
      </xdr:nvCxnSpPr>
      <xdr:spPr>
        <a:xfrm flipV="1">
          <a:off x="3972117" y="309853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1646</xdr:row>
      <xdr:rowOff>26102</xdr:rowOff>
    </xdr:from>
    <xdr:ext cx="1699468" cy="504272"/>
    <xdr:pic>
      <xdr:nvPicPr>
        <xdr:cNvPr id="148" name="Imagen 147">
          <a:extLst>
            <a:ext uri="{FF2B5EF4-FFF2-40B4-BE49-F238E27FC236}">
              <a16:creationId xmlns:a16="http://schemas.microsoft.com/office/drawing/2014/main" id="{2046601A-7AC9-43D0-8843-C665A828D6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18440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1646</xdr:row>
      <xdr:rowOff>309563</xdr:rowOff>
    </xdr:from>
    <xdr:to>
      <xdr:col>8</xdr:col>
      <xdr:colOff>494110</xdr:colOff>
      <xdr:row>1646</xdr:row>
      <xdr:rowOff>317462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C29B36F0-EE36-4DB3-9060-EAAE41A3101A}"/>
            </a:ext>
          </a:extLst>
        </xdr:cNvPr>
        <xdr:cNvCxnSpPr/>
      </xdr:nvCxnSpPr>
      <xdr:spPr>
        <a:xfrm flipV="1">
          <a:off x="3972117" y="318723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1646</xdr:row>
      <xdr:rowOff>26102</xdr:rowOff>
    </xdr:from>
    <xdr:ext cx="1699468" cy="504272"/>
    <xdr:pic>
      <xdr:nvPicPr>
        <xdr:cNvPr id="150" name="Imagen 149">
          <a:extLst>
            <a:ext uri="{FF2B5EF4-FFF2-40B4-BE49-F238E27FC236}">
              <a16:creationId xmlns:a16="http://schemas.microsoft.com/office/drawing/2014/main" id="{3777FED4-14E2-4165-BA67-DB2AE3643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18440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1646</xdr:row>
      <xdr:rowOff>309563</xdr:rowOff>
    </xdr:from>
    <xdr:to>
      <xdr:col>8</xdr:col>
      <xdr:colOff>494110</xdr:colOff>
      <xdr:row>1646</xdr:row>
      <xdr:rowOff>317462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E6B66873-7FF3-43EA-87F6-E6A1E1A7D78E}"/>
            </a:ext>
          </a:extLst>
        </xdr:cNvPr>
        <xdr:cNvCxnSpPr/>
      </xdr:nvCxnSpPr>
      <xdr:spPr>
        <a:xfrm flipV="1">
          <a:off x="3972117" y="318723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1646</xdr:row>
      <xdr:rowOff>26102</xdr:rowOff>
    </xdr:from>
    <xdr:ext cx="1699468" cy="504272"/>
    <xdr:pic>
      <xdr:nvPicPr>
        <xdr:cNvPr id="152" name="Imagen 151">
          <a:extLst>
            <a:ext uri="{FF2B5EF4-FFF2-40B4-BE49-F238E27FC236}">
              <a16:creationId xmlns:a16="http://schemas.microsoft.com/office/drawing/2014/main" id="{FDEA7119-18D5-4F9F-98BC-D33A3EC8E4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18440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1646</xdr:row>
      <xdr:rowOff>309563</xdr:rowOff>
    </xdr:from>
    <xdr:to>
      <xdr:col>8</xdr:col>
      <xdr:colOff>494110</xdr:colOff>
      <xdr:row>1646</xdr:row>
      <xdr:rowOff>317462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423C8872-7095-41BC-9AA4-CB1B87229C69}"/>
            </a:ext>
          </a:extLst>
        </xdr:cNvPr>
        <xdr:cNvCxnSpPr/>
      </xdr:nvCxnSpPr>
      <xdr:spPr>
        <a:xfrm flipV="1">
          <a:off x="3972117" y="318723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1646</xdr:row>
      <xdr:rowOff>26102</xdr:rowOff>
    </xdr:from>
    <xdr:ext cx="1699468" cy="504272"/>
    <xdr:pic>
      <xdr:nvPicPr>
        <xdr:cNvPr id="154" name="Imagen 153">
          <a:extLst>
            <a:ext uri="{FF2B5EF4-FFF2-40B4-BE49-F238E27FC236}">
              <a16:creationId xmlns:a16="http://schemas.microsoft.com/office/drawing/2014/main" id="{FF1B6641-78E5-43D4-98FD-71F88C889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18440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1646</xdr:row>
      <xdr:rowOff>309563</xdr:rowOff>
    </xdr:from>
    <xdr:to>
      <xdr:col>8</xdr:col>
      <xdr:colOff>494110</xdr:colOff>
      <xdr:row>1646</xdr:row>
      <xdr:rowOff>317462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61870330-3E38-4BBD-84FE-C751C4FABDA7}"/>
            </a:ext>
          </a:extLst>
        </xdr:cNvPr>
        <xdr:cNvCxnSpPr/>
      </xdr:nvCxnSpPr>
      <xdr:spPr>
        <a:xfrm flipV="1">
          <a:off x="3972117" y="318723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1691</xdr:row>
      <xdr:rowOff>26102</xdr:rowOff>
    </xdr:from>
    <xdr:ext cx="1699468" cy="504272"/>
    <xdr:pic>
      <xdr:nvPicPr>
        <xdr:cNvPr id="156" name="Imagen 155">
          <a:extLst>
            <a:ext uri="{FF2B5EF4-FFF2-40B4-BE49-F238E27FC236}">
              <a16:creationId xmlns:a16="http://schemas.microsoft.com/office/drawing/2014/main" id="{8B8445AD-8513-4D1E-9985-72A160940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27311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1691</xdr:row>
      <xdr:rowOff>309563</xdr:rowOff>
    </xdr:from>
    <xdr:to>
      <xdr:col>8</xdr:col>
      <xdr:colOff>494110</xdr:colOff>
      <xdr:row>1691</xdr:row>
      <xdr:rowOff>317462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DA76A841-F964-4913-8849-15CB266B3C0A}"/>
            </a:ext>
          </a:extLst>
        </xdr:cNvPr>
        <xdr:cNvCxnSpPr/>
      </xdr:nvCxnSpPr>
      <xdr:spPr>
        <a:xfrm flipV="1">
          <a:off x="3972117" y="327594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1691</xdr:row>
      <xdr:rowOff>26102</xdr:rowOff>
    </xdr:from>
    <xdr:ext cx="1699468" cy="504272"/>
    <xdr:pic>
      <xdr:nvPicPr>
        <xdr:cNvPr id="158" name="Imagen 157">
          <a:extLst>
            <a:ext uri="{FF2B5EF4-FFF2-40B4-BE49-F238E27FC236}">
              <a16:creationId xmlns:a16="http://schemas.microsoft.com/office/drawing/2014/main" id="{0CE89168-14B7-4483-AA76-26A6D441C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27311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1691</xdr:row>
      <xdr:rowOff>309563</xdr:rowOff>
    </xdr:from>
    <xdr:to>
      <xdr:col>8</xdr:col>
      <xdr:colOff>494110</xdr:colOff>
      <xdr:row>1691</xdr:row>
      <xdr:rowOff>317462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C687E42C-4A0D-4E3C-9307-ADC9FE6870C1}"/>
            </a:ext>
          </a:extLst>
        </xdr:cNvPr>
        <xdr:cNvCxnSpPr/>
      </xdr:nvCxnSpPr>
      <xdr:spPr>
        <a:xfrm flipV="1">
          <a:off x="3972117" y="327594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1691</xdr:row>
      <xdr:rowOff>26102</xdr:rowOff>
    </xdr:from>
    <xdr:ext cx="1699468" cy="504272"/>
    <xdr:pic>
      <xdr:nvPicPr>
        <xdr:cNvPr id="160" name="Imagen 159">
          <a:extLst>
            <a:ext uri="{FF2B5EF4-FFF2-40B4-BE49-F238E27FC236}">
              <a16:creationId xmlns:a16="http://schemas.microsoft.com/office/drawing/2014/main" id="{66188EE0-9FBB-4185-869B-A2ED017E5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27311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1691</xdr:row>
      <xdr:rowOff>309563</xdr:rowOff>
    </xdr:from>
    <xdr:to>
      <xdr:col>8</xdr:col>
      <xdr:colOff>494110</xdr:colOff>
      <xdr:row>1691</xdr:row>
      <xdr:rowOff>317462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F64E095D-5DEA-4D8C-BDCF-B5CE839B6605}"/>
            </a:ext>
          </a:extLst>
        </xdr:cNvPr>
        <xdr:cNvCxnSpPr/>
      </xdr:nvCxnSpPr>
      <xdr:spPr>
        <a:xfrm flipV="1">
          <a:off x="3972117" y="327594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1691</xdr:row>
      <xdr:rowOff>26102</xdr:rowOff>
    </xdr:from>
    <xdr:ext cx="1699468" cy="504272"/>
    <xdr:pic>
      <xdr:nvPicPr>
        <xdr:cNvPr id="162" name="Imagen 161">
          <a:extLst>
            <a:ext uri="{FF2B5EF4-FFF2-40B4-BE49-F238E27FC236}">
              <a16:creationId xmlns:a16="http://schemas.microsoft.com/office/drawing/2014/main" id="{CB795557-4EB9-4717-85EE-F279823930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27311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1691</xdr:row>
      <xdr:rowOff>309563</xdr:rowOff>
    </xdr:from>
    <xdr:to>
      <xdr:col>8</xdr:col>
      <xdr:colOff>494110</xdr:colOff>
      <xdr:row>1691</xdr:row>
      <xdr:rowOff>317462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E6B894D1-8EC7-4F53-92A5-2F1ECC28F3ED}"/>
            </a:ext>
          </a:extLst>
        </xdr:cNvPr>
        <xdr:cNvCxnSpPr/>
      </xdr:nvCxnSpPr>
      <xdr:spPr>
        <a:xfrm flipV="1">
          <a:off x="3972117" y="327594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1736</xdr:row>
      <xdr:rowOff>26102</xdr:rowOff>
    </xdr:from>
    <xdr:ext cx="1699468" cy="504272"/>
    <xdr:pic>
      <xdr:nvPicPr>
        <xdr:cNvPr id="164" name="Imagen 163">
          <a:extLst>
            <a:ext uri="{FF2B5EF4-FFF2-40B4-BE49-F238E27FC236}">
              <a16:creationId xmlns:a16="http://schemas.microsoft.com/office/drawing/2014/main" id="{28E9ABAB-9262-4722-A073-1DA958EAAB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359284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1736</xdr:row>
      <xdr:rowOff>309563</xdr:rowOff>
    </xdr:from>
    <xdr:to>
      <xdr:col>8</xdr:col>
      <xdr:colOff>494110</xdr:colOff>
      <xdr:row>1736</xdr:row>
      <xdr:rowOff>317462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2F0721A2-8F24-400D-9B57-715D20EAFF5C}"/>
            </a:ext>
          </a:extLst>
        </xdr:cNvPr>
        <xdr:cNvCxnSpPr/>
      </xdr:nvCxnSpPr>
      <xdr:spPr>
        <a:xfrm flipV="1">
          <a:off x="3972117" y="3362118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1736</xdr:row>
      <xdr:rowOff>26102</xdr:rowOff>
    </xdr:from>
    <xdr:ext cx="1699468" cy="504272"/>
    <xdr:pic>
      <xdr:nvPicPr>
        <xdr:cNvPr id="166" name="Imagen 165">
          <a:extLst>
            <a:ext uri="{FF2B5EF4-FFF2-40B4-BE49-F238E27FC236}">
              <a16:creationId xmlns:a16="http://schemas.microsoft.com/office/drawing/2014/main" id="{AEBCF4B4-48D5-4467-A200-FB24B7CEE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359284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1736</xdr:row>
      <xdr:rowOff>309563</xdr:rowOff>
    </xdr:from>
    <xdr:to>
      <xdr:col>8</xdr:col>
      <xdr:colOff>494110</xdr:colOff>
      <xdr:row>1736</xdr:row>
      <xdr:rowOff>317462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5E590849-F34F-46EB-AD64-5ECEAB2D7602}"/>
            </a:ext>
          </a:extLst>
        </xdr:cNvPr>
        <xdr:cNvCxnSpPr/>
      </xdr:nvCxnSpPr>
      <xdr:spPr>
        <a:xfrm flipV="1">
          <a:off x="3972117" y="3362118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1736</xdr:row>
      <xdr:rowOff>26102</xdr:rowOff>
    </xdr:from>
    <xdr:ext cx="1699468" cy="504272"/>
    <xdr:pic>
      <xdr:nvPicPr>
        <xdr:cNvPr id="168" name="Imagen 167">
          <a:extLst>
            <a:ext uri="{FF2B5EF4-FFF2-40B4-BE49-F238E27FC236}">
              <a16:creationId xmlns:a16="http://schemas.microsoft.com/office/drawing/2014/main" id="{65A4C715-17D9-4271-811D-CD241FFA3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359284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1736</xdr:row>
      <xdr:rowOff>309563</xdr:rowOff>
    </xdr:from>
    <xdr:to>
      <xdr:col>8</xdr:col>
      <xdr:colOff>494110</xdr:colOff>
      <xdr:row>1736</xdr:row>
      <xdr:rowOff>317462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54312E00-C18D-4B05-B0D1-885DE1D95ED3}"/>
            </a:ext>
          </a:extLst>
        </xdr:cNvPr>
        <xdr:cNvCxnSpPr/>
      </xdr:nvCxnSpPr>
      <xdr:spPr>
        <a:xfrm flipV="1">
          <a:off x="3972117" y="3362118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1736</xdr:row>
      <xdr:rowOff>26102</xdr:rowOff>
    </xdr:from>
    <xdr:ext cx="1699468" cy="504272"/>
    <xdr:pic>
      <xdr:nvPicPr>
        <xdr:cNvPr id="170" name="Imagen 169">
          <a:extLst>
            <a:ext uri="{FF2B5EF4-FFF2-40B4-BE49-F238E27FC236}">
              <a16:creationId xmlns:a16="http://schemas.microsoft.com/office/drawing/2014/main" id="{BFCB14BB-547F-4B79-8647-1CB41C631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359284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1736</xdr:row>
      <xdr:rowOff>309563</xdr:rowOff>
    </xdr:from>
    <xdr:to>
      <xdr:col>8</xdr:col>
      <xdr:colOff>494110</xdr:colOff>
      <xdr:row>1736</xdr:row>
      <xdr:rowOff>317462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27740E0A-7665-47A9-9E57-3258E508B8D7}"/>
            </a:ext>
          </a:extLst>
        </xdr:cNvPr>
        <xdr:cNvCxnSpPr/>
      </xdr:nvCxnSpPr>
      <xdr:spPr>
        <a:xfrm flipV="1">
          <a:off x="3972117" y="3362118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1781</xdr:row>
      <xdr:rowOff>26102</xdr:rowOff>
    </xdr:from>
    <xdr:ext cx="1699468" cy="504272"/>
    <xdr:pic>
      <xdr:nvPicPr>
        <xdr:cNvPr id="172" name="Imagen 171">
          <a:extLst>
            <a:ext uri="{FF2B5EF4-FFF2-40B4-BE49-F238E27FC236}">
              <a16:creationId xmlns:a16="http://schemas.microsoft.com/office/drawing/2014/main" id="{E06A2D24-2928-4111-944B-27C027988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44704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1781</xdr:row>
      <xdr:rowOff>309563</xdr:rowOff>
    </xdr:from>
    <xdr:to>
      <xdr:col>8</xdr:col>
      <xdr:colOff>494110</xdr:colOff>
      <xdr:row>1781</xdr:row>
      <xdr:rowOff>317462</xdr:rowOff>
    </xdr:to>
    <xdr:cxnSp macro="">
      <xdr:nvCxnSpPr>
        <xdr:cNvPr id="173" name="Conector recto 172">
          <a:extLst>
            <a:ext uri="{FF2B5EF4-FFF2-40B4-BE49-F238E27FC236}">
              <a16:creationId xmlns:a16="http://schemas.microsoft.com/office/drawing/2014/main" id="{DEABA2A7-80A8-4569-94E1-F908AD31BD9A}"/>
            </a:ext>
          </a:extLst>
        </xdr:cNvPr>
        <xdr:cNvCxnSpPr/>
      </xdr:nvCxnSpPr>
      <xdr:spPr>
        <a:xfrm flipV="1">
          <a:off x="3972117" y="344987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1781</xdr:row>
      <xdr:rowOff>26102</xdr:rowOff>
    </xdr:from>
    <xdr:ext cx="1699468" cy="504272"/>
    <xdr:pic>
      <xdr:nvPicPr>
        <xdr:cNvPr id="174" name="Imagen 173">
          <a:extLst>
            <a:ext uri="{FF2B5EF4-FFF2-40B4-BE49-F238E27FC236}">
              <a16:creationId xmlns:a16="http://schemas.microsoft.com/office/drawing/2014/main" id="{6F43A083-7BDD-4642-A53C-9899DD25A8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44704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1781</xdr:row>
      <xdr:rowOff>309563</xdr:rowOff>
    </xdr:from>
    <xdr:to>
      <xdr:col>8</xdr:col>
      <xdr:colOff>494110</xdr:colOff>
      <xdr:row>1781</xdr:row>
      <xdr:rowOff>317462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94F0CB75-9CD2-4339-9BED-5DDCAEDB3112}"/>
            </a:ext>
          </a:extLst>
        </xdr:cNvPr>
        <xdr:cNvCxnSpPr/>
      </xdr:nvCxnSpPr>
      <xdr:spPr>
        <a:xfrm flipV="1">
          <a:off x="3972117" y="344987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1781</xdr:row>
      <xdr:rowOff>26102</xdr:rowOff>
    </xdr:from>
    <xdr:ext cx="1699468" cy="504272"/>
    <xdr:pic>
      <xdr:nvPicPr>
        <xdr:cNvPr id="176" name="Imagen 175">
          <a:extLst>
            <a:ext uri="{FF2B5EF4-FFF2-40B4-BE49-F238E27FC236}">
              <a16:creationId xmlns:a16="http://schemas.microsoft.com/office/drawing/2014/main" id="{96BF0E62-121F-4781-8F84-C09334F3A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44704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1781</xdr:row>
      <xdr:rowOff>309563</xdr:rowOff>
    </xdr:from>
    <xdr:to>
      <xdr:col>8</xdr:col>
      <xdr:colOff>494110</xdr:colOff>
      <xdr:row>1781</xdr:row>
      <xdr:rowOff>317462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50D8AD13-3733-4881-9EC9-F146DA32F3DB}"/>
            </a:ext>
          </a:extLst>
        </xdr:cNvPr>
        <xdr:cNvCxnSpPr/>
      </xdr:nvCxnSpPr>
      <xdr:spPr>
        <a:xfrm flipV="1">
          <a:off x="3972117" y="344987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1781</xdr:row>
      <xdr:rowOff>26102</xdr:rowOff>
    </xdr:from>
    <xdr:ext cx="1699468" cy="504272"/>
    <xdr:pic>
      <xdr:nvPicPr>
        <xdr:cNvPr id="178" name="Imagen 177">
          <a:extLst>
            <a:ext uri="{FF2B5EF4-FFF2-40B4-BE49-F238E27FC236}">
              <a16:creationId xmlns:a16="http://schemas.microsoft.com/office/drawing/2014/main" id="{9FFE4A76-76E1-492B-9347-4BD2D605F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44704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1781</xdr:row>
      <xdr:rowOff>309563</xdr:rowOff>
    </xdr:from>
    <xdr:to>
      <xdr:col>8</xdr:col>
      <xdr:colOff>494110</xdr:colOff>
      <xdr:row>1781</xdr:row>
      <xdr:rowOff>317462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5E813ABC-1171-4E69-88C1-F859ADB18D14}"/>
            </a:ext>
          </a:extLst>
        </xdr:cNvPr>
        <xdr:cNvCxnSpPr/>
      </xdr:nvCxnSpPr>
      <xdr:spPr>
        <a:xfrm flipV="1">
          <a:off x="3972117" y="344987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1826</xdr:row>
      <xdr:rowOff>26102</xdr:rowOff>
    </xdr:from>
    <xdr:ext cx="1699468" cy="504272"/>
    <xdr:pic>
      <xdr:nvPicPr>
        <xdr:cNvPr id="180" name="Imagen 179">
          <a:extLst>
            <a:ext uri="{FF2B5EF4-FFF2-40B4-BE49-F238E27FC236}">
              <a16:creationId xmlns:a16="http://schemas.microsoft.com/office/drawing/2014/main" id="{4A7134F8-952A-4837-906D-63F7BE4F6F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53225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1826</xdr:row>
      <xdr:rowOff>309563</xdr:rowOff>
    </xdr:from>
    <xdr:to>
      <xdr:col>8</xdr:col>
      <xdr:colOff>494110</xdr:colOff>
      <xdr:row>1826</xdr:row>
      <xdr:rowOff>317462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840127D8-E4F3-4433-97FE-8D0E5406E15E}"/>
            </a:ext>
          </a:extLst>
        </xdr:cNvPr>
        <xdr:cNvCxnSpPr/>
      </xdr:nvCxnSpPr>
      <xdr:spPr>
        <a:xfrm flipV="1">
          <a:off x="3972117" y="353509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1826</xdr:row>
      <xdr:rowOff>26102</xdr:rowOff>
    </xdr:from>
    <xdr:ext cx="1699468" cy="504272"/>
    <xdr:pic>
      <xdr:nvPicPr>
        <xdr:cNvPr id="182" name="Imagen 181">
          <a:extLst>
            <a:ext uri="{FF2B5EF4-FFF2-40B4-BE49-F238E27FC236}">
              <a16:creationId xmlns:a16="http://schemas.microsoft.com/office/drawing/2014/main" id="{4AA19CCE-3435-4BFD-A325-076B10226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53225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1826</xdr:row>
      <xdr:rowOff>309563</xdr:rowOff>
    </xdr:from>
    <xdr:to>
      <xdr:col>8</xdr:col>
      <xdr:colOff>494110</xdr:colOff>
      <xdr:row>1826</xdr:row>
      <xdr:rowOff>317462</xdr:rowOff>
    </xdr:to>
    <xdr:cxnSp macro="">
      <xdr:nvCxnSpPr>
        <xdr:cNvPr id="183" name="Conector recto 182">
          <a:extLst>
            <a:ext uri="{FF2B5EF4-FFF2-40B4-BE49-F238E27FC236}">
              <a16:creationId xmlns:a16="http://schemas.microsoft.com/office/drawing/2014/main" id="{880D2B97-9D5B-4B97-A991-D53A26B5AB31}"/>
            </a:ext>
          </a:extLst>
        </xdr:cNvPr>
        <xdr:cNvCxnSpPr/>
      </xdr:nvCxnSpPr>
      <xdr:spPr>
        <a:xfrm flipV="1">
          <a:off x="3972117" y="353509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1826</xdr:row>
      <xdr:rowOff>26102</xdr:rowOff>
    </xdr:from>
    <xdr:ext cx="1699468" cy="504272"/>
    <xdr:pic>
      <xdr:nvPicPr>
        <xdr:cNvPr id="184" name="Imagen 183">
          <a:extLst>
            <a:ext uri="{FF2B5EF4-FFF2-40B4-BE49-F238E27FC236}">
              <a16:creationId xmlns:a16="http://schemas.microsoft.com/office/drawing/2014/main" id="{27F0B3F2-8E38-4290-A0B1-2162C473C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53225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1826</xdr:row>
      <xdr:rowOff>309563</xdr:rowOff>
    </xdr:from>
    <xdr:to>
      <xdr:col>8</xdr:col>
      <xdr:colOff>494110</xdr:colOff>
      <xdr:row>1826</xdr:row>
      <xdr:rowOff>317462</xdr:rowOff>
    </xdr:to>
    <xdr:cxnSp macro="">
      <xdr:nvCxnSpPr>
        <xdr:cNvPr id="185" name="Conector recto 184">
          <a:extLst>
            <a:ext uri="{FF2B5EF4-FFF2-40B4-BE49-F238E27FC236}">
              <a16:creationId xmlns:a16="http://schemas.microsoft.com/office/drawing/2014/main" id="{F82943B0-A7AA-4645-96E8-1F4B27FCEAE5}"/>
            </a:ext>
          </a:extLst>
        </xdr:cNvPr>
        <xdr:cNvCxnSpPr/>
      </xdr:nvCxnSpPr>
      <xdr:spPr>
        <a:xfrm flipV="1">
          <a:off x="3972117" y="353509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1826</xdr:row>
      <xdr:rowOff>26102</xdr:rowOff>
    </xdr:from>
    <xdr:ext cx="1699468" cy="504272"/>
    <xdr:pic>
      <xdr:nvPicPr>
        <xdr:cNvPr id="186" name="Imagen 185">
          <a:extLst>
            <a:ext uri="{FF2B5EF4-FFF2-40B4-BE49-F238E27FC236}">
              <a16:creationId xmlns:a16="http://schemas.microsoft.com/office/drawing/2014/main" id="{DD2B3D22-70BE-4ACA-AE37-FC39FD468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53225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1826</xdr:row>
      <xdr:rowOff>309563</xdr:rowOff>
    </xdr:from>
    <xdr:to>
      <xdr:col>8</xdr:col>
      <xdr:colOff>494110</xdr:colOff>
      <xdr:row>1826</xdr:row>
      <xdr:rowOff>317462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9BEBC6B4-91C6-4992-8947-234D19A0032C}"/>
            </a:ext>
          </a:extLst>
        </xdr:cNvPr>
        <xdr:cNvCxnSpPr/>
      </xdr:nvCxnSpPr>
      <xdr:spPr>
        <a:xfrm flipV="1">
          <a:off x="3972117" y="353509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1871</xdr:row>
      <xdr:rowOff>26102</xdr:rowOff>
    </xdr:from>
    <xdr:ext cx="1699468" cy="504272"/>
    <xdr:pic>
      <xdr:nvPicPr>
        <xdr:cNvPr id="188" name="Imagen 187">
          <a:extLst>
            <a:ext uri="{FF2B5EF4-FFF2-40B4-BE49-F238E27FC236}">
              <a16:creationId xmlns:a16="http://schemas.microsoft.com/office/drawing/2014/main" id="{4472C2FD-57F7-458C-B0BC-788D02FE0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62153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1871</xdr:row>
      <xdr:rowOff>309563</xdr:rowOff>
    </xdr:from>
    <xdr:to>
      <xdr:col>8</xdr:col>
      <xdr:colOff>494110</xdr:colOff>
      <xdr:row>1871</xdr:row>
      <xdr:rowOff>317462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AA9D0D62-6028-4349-9D1C-55FD74D27012}"/>
            </a:ext>
          </a:extLst>
        </xdr:cNvPr>
        <xdr:cNvCxnSpPr/>
      </xdr:nvCxnSpPr>
      <xdr:spPr>
        <a:xfrm flipV="1">
          <a:off x="3972117" y="362437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1871</xdr:row>
      <xdr:rowOff>26102</xdr:rowOff>
    </xdr:from>
    <xdr:ext cx="1699468" cy="504272"/>
    <xdr:pic>
      <xdr:nvPicPr>
        <xdr:cNvPr id="190" name="Imagen 189">
          <a:extLst>
            <a:ext uri="{FF2B5EF4-FFF2-40B4-BE49-F238E27FC236}">
              <a16:creationId xmlns:a16="http://schemas.microsoft.com/office/drawing/2014/main" id="{A5F4238B-BD0C-48C0-AEC6-D863F968B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62153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1871</xdr:row>
      <xdr:rowOff>309563</xdr:rowOff>
    </xdr:from>
    <xdr:to>
      <xdr:col>8</xdr:col>
      <xdr:colOff>494110</xdr:colOff>
      <xdr:row>1871</xdr:row>
      <xdr:rowOff>317462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848A461A-D666-45A0-9457-99C4653B41E8}"/>
            </a:ext>
          </a:extLst>
        </xdr:cNvPr>
        <xdr:cNvCxnSpPr/>
      </xdr:nvCxnSpPr>
      <xdr:spPr>
        <a:xfrm flipV="1">
          <a:off x="3972117" y="362437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1871</xdr:row>
      <xdr:rowOff>26102</xdr:rowOff>
    </xdr:from>
    <xdr:ext cx="1699468" cy="504272"/>
    <xdr:pic>
      <xdr:nvPicPr>
        <xdr:cNvPr id="192" name="Imagen 191">
          <a:extLst>
            <a:ext uri="{FF2B5EF4-FFF2-40B4-BE49-F238E27FC236}">
              <a16:creationId xmlns:a16="http://schemas.microsoft.com/office/drawing/2014/main" id="{379DDFAD-4890-4F15-9E48-32FF2A4B3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62153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1871</xdr:row>
      <xdr:rowOff>309563</xdr:rowOff>
    </xdr:from>
    <xdr:to>
      <xdr:col>8</xdr:col>
      <xdr:colOff>494110</xdr:colOff>
      <xdr:row>1871</xdr:row>
      <xdr:rowOff>317462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D0662A05-E2BB-4BAF-99FD-FAC2BCD81B8C}"/>
            </a:ext>
          </a:extLst>
        </xdr:cNvPr>
        <xdr:cNvCxnSpPr/>
      </xdr:nvCxnSpPr>
      <xdr:spPr>
        <a:xfrm flipV="1">
          <a:off x="3972117" y="362437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1871</xdr:row>
      <xdr:rowOff>26102</xdr:rowOff>
    </xdr:from>
    <xdr:ext cx="1699468" cy="504272"/>
    <xdr:pic>
      <xdr:nvPicPr>
        <xdr:cNvPr id="194" name="Imagen 193">
          <a:extLst>
            <a:ext uri="{FF2B5EF4-FFF2-40B4-BE49-F238E27FC236}">
              <a16:creationId xmlns:a16="http://schemas.microsoft.com/office/drawing/2014/main" id="{F2D53325-E847-4846-AD17-0F202365F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62153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1871</xdr:row>
      <xdr:rowOff>309563</xdr:rowOff>
    </xdr:from>
    <xdr:to>
      <xdr:col>8</xdr:col>
      <xdr:colOff>494110</xdr:colOff>
      <xdr:row>1871</xdr:row>
      <xdr:rowOff>317462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C40DDAF7-3858-4DAC-ABAF-83453BA07AF0}"/>
            </a:ext>
          </a:extLst>
        </xdr:cNvPr>
        <xdr:cNvCxnSpPr/>
      </xdr:nvCxnSpPr>
      <xdr:spPr>
        <a:xfrm flipV="1">
          <a:off x="3972117" y="362437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1916</xdr:row>
      <xdr:rowOff>26102</xdr:rowOff>
    </xdr:from>
    <xdr:ext cx="1699468" cy="504272"/>
    <xdr:pic>
      <xdr:nvPicPr>
        <xdr:cNvPr id="196" name="Imagen 195">
          <a:extLst>
            <a:ext uri="{FF2B5EF4-FFF2-40B4-BE49-F238E27FC236}">
              <a16:creationId xmlns:a16="http://schemas.microsoft.com/office/drawing/2014/main" id="{24EC5126-A1AB-49E2-A400-71764816F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71082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1916</xdr:row>
      <xdr:rowOff>309563</xdr:rowOff>
    </xdr:from>
    <xdr:to>
      <xdr:col>8</xdr:col>
      <xdr:colOff>494110</xdr:colOff>
      <xdr:row>1916</xdr:row>
      <xdr:rowOff>317462</xdr:rowOff>
    </xdr:to>
    <xdr:cxnSp macro="">
      <xdr:nvCxnSpPr>
        <xdr:cNvPr id="197" name="Conector recto 196">
          <a:extLst>
            <a:ext uri="{FF2B5EF4-FFF2-40B4-BE49-F238E27FC236}">
              <a16:creationId xmlns:a16="http://schemas.microsoft.com/office/drawing/2014/main" id="{2AA0D8C5-008E-4EA5-AE10-F0B04A858E3B}"/>
            </a:ext>
          </a:extLst>
        </xdr:cNvPr>
        <xdr:cNvCxnSpPr/>
      </xdr:nvCxnSpPr>
      <xdr:spPr>
        <a:xfrm flipV="1">
          <a:off x="3972117" y="371365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1916</xdr:row>
      <xdr:rowOff>26102</xdr:rowOff>
    </xdr:from>
    <xdr:ext cx="1699468" cy="504272"/>
    <xdr:pic>
      <xdr:nvPicPr>
        <xdr:cNvPr id="198" name="Imagen 197">
          <a:extLst>
            <a:ext uri="{FF2B5EF4-FFF2-40B4-BE49-F238E27FC236}">
              <a16:creationId xmlns:a16="http://schemas.microsoft.com/office/drawing/2014/main" id="{43015B6D-699F-448F-BAA5-0D885944B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71082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1916</xdr:row>
      <xdr:rowOff>309563</xdr:rowOff>
    </xdr:from>
    <xdr:to>
      <xdr:col>8</xdr:col>
      <xdr:colOff>494110</xdr:colOff>
      <xdr:row>1916</xdr:row>
      <xdr:rowOff>317462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E597EF75-B2DD-49BC-969C-C3B4D318D6A4}"/>
            </a:ext>
          </a:extLst>
        </xdr:cNvPr>
        <xdr:cNvCxnSpPr/>
      </xdr:nvCxnSpPr>
      <xdr:spPr>
        <a:xfrm flipV="1">
          <a:off x="3972117" y="371365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1916</xdr:row>
      <xdr:rowOff>26102</xdr:rowOff>
    </xdr:from>
    <xdr:ext cx="1699468" cy="504272"/>
    <xdr:pic>
      <xdr:nvPicPr>
        <xdr:cNvPr id="200" name="Imagen 199">
          <a:extLst>
            <a:ext uri="{FF2B5EF4-FFF2-40B4-BE49-F238E27FC236}">
              <a16:creationId xmlns:a16="http://schemas.microsoft.com/office/drawing/2014/main" id="{6272F320-363C-4E0D-BE18-B9824501C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71082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1916</xdr:row>
      <xdr:rowOff>309563</xdr:rowOff>
    </xdr:from>
    <xdr:to>
      <xdr:col>8</xdr:col>
      <xdr:colOff>494110</xdr:colOff>
      <xdr:row>1916</xdr:row>
      <xdr:rowOff>317462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F4C03C33-1895-4461-BC42-502D5038D6B8}"/>
            </a:ext>
          </a:extLst>
        </xdr:cNvPr>
        <xdr:cNvCxnSpPr/>
      </xdr:nvCxnSpPr>
      <xdr:spPr>
        <a:xfrm flipV="1">
          <a:off x="3972117" y="371365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1916</xdr:row>
      <xdr:rowOff>26102</xdr:rowOff>
    </xdr:from>
    <xdr:ext cx="1699468" cy="504272"/>
    <xdr:pic>
      <xdr:nvPicPr>
        <xdr:cNvPr id="202" name="Imagen 201">
          <a:extLst>
            <a:ext uri="{FF2B5EF4-FFF2-40B4-BE49-F238E27FC236}">
              <a16:creationId xmlns:a16="http://schemas.microsoft.com/office/drawing/2014/main" id="{23DA62B9-72B9-49F7-BC13-3CAEA8C11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71082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1916</xdr:row>
      <xdr:rowOff>309563</xdr:rowOff>
    </xdr:from>
    <xdr:to>
      <xdr:col>8</xdr:col>
      <xdr:colOff>494110</xdr:colOff>
      <xdr:row>1916</xdr:row>
      <xdr:rowOff>317462</xdr:rowOff>
    </xdr:to>
    <xdr:cxnSp macro="">
      <xdr:nvCxnSpPr>
        <xdr:cNvPr id="203" name="Conector recto 202">
          <a:extLst>
            <a:ext uri="{FF2B5EF4-FFF2-40B4-BE49-F238E27FC236}">
              <a16:creationId xmlns:a16="http://schemas.microsoft.com/office/drawing/2014/main" id="{264B6D45-2353-4715-8A96-5A3F49F6AE22}"/>
            </a:ext>
          </a:extLst>
        </xdr:cNvPr>
        <xdr:cNvCxnSpPr/>
      </xdr:nvCxnSpPr>
      <xdr:spPr>
        <a:xfrm flipV="1">
          <a:off x="3972117" y="371365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1961</xdr:row>
      <xdr:rowOff>26102</xdr:rowOff>
    </xdr:from>
    <xdr:ext cx="1699468" cy="504272"/>
    <xdr:pic>
      <xdr:nvPicPr>
        <xdr:cNvPr id="204" name="Imagen 203">
          <a:extLst>
            <a:ext uri="{FF2B5EF4-FFF2-40B4-BE49-F238E27FC236}">
              <a16:creationId xmlns:a16="http://schemas.microsoft.com/office/drawing/2014/main" id="{33FED3B5-A5B5-486C-8386-28B218FEA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80010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1961</xdr:row>
      <xdr:rowOff>309563</xdr:rowOff>
    </xdr:from>
    <xdr:to>
      <xdr:col>8</xdr:col>
      <xdr:colOff>494110</xdr:colOff>
      <xdr:row>1961</xdr:row>
      <xdr:rowOff>317462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86EE4911-B8DB-4BEE-A517-8314FA13C2AF}"/>
            </a:ext>
          </a:extLst>
        </xdr:cNvPr>
        <xdr:cNvCxnSpPr/>
      </xdr:nvCxnSpPr>
      <xdr:spPr>
        <a:xfrm flipV="1">
          <a:off x="3972117" y="380293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1961</xdr:row>
      <xdr:rowOff>26102</xdr:rowOff>
    </xdr:from>
    <xdr:ext cx="1699468" cy="504272"/>
    <xdr:pic>
      <xdr:nvPicPr>
        <xdr:cNvPr id="206" name="Imagen 205">
          <a:extLst>
            <a:ext uri="{FF2B5EF4-FFF2-40B4-BE49-F238E27FC236}">
              <a16:creationId xmlns:a16="http://schemas.microsoft.com/office/drawing/2014/main" id="{C37C27AF-89BA-48A1-8F04-53589875A6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80010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1961</xdr:row>
      <xdr:rowOff>309563</xdr:rowOff>
    </xdr:from>
    <xdr:to>
      <xdr:col>8</xdr:col>
      <xdr:colOff>494110</xdr:colOff>
      <xdr:row>1961</xdr:row>
      <xdr:rowOff>317462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3848C13D-4FC7-46C2-9895-B1EB8D364D41}"/>
            </a:ext>
          </a:extLst>
        </xdr:cNvPr>
        <xdr:cNvCxnSpPr/>
      </xdr:nvCxnSpPr>
      <xdr:spPr>
        <a:xfrm flipV="1">
          <a:off x="3972117" y="380293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1961</xdr:row>
      <xdr:rowOff>26102</xdr:rowOff>
    </xdr:from>
    <xdr:ext cx="1699468" cy="504272"/>
    <xdr:pic>
      <xdr:nvPicPr>
        <xdr:cNvPr id="208" name="Imagen 207">
          <a:extLst>
            <a:ext uri="{FF2B5EF4-FFF2-40B4-BE49-F238E27FC236}">
              <a16:creationId xmlns:a16="http://schemas.microsoft.com/office/drawing/2014/main" id="{E74122B4-E417-4E81-A93A-7736975BC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80010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1961</xdr:row>
      <xdr:rowOff>309563</xdr:rowOff>
    </xdr:from>
    <xdr:to>
      <xdr:col>8</xdr:col>
      <xdr:colOff>494110</xdr:colOff>
      <xdr:row>1961</xdr:row>
      <xdr:rowOff>317462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42DF4A33-D244-4AEB-A436-8EB00A42DD23}"/>
            </a:ext>
          </a:extLst>
        </xdr:cNvPr>
        <xdr:cNvCxnSpPr/>
      </xdr:nvCxnSpPr>
      <xdr:spPr>
        <a:xfrm flipV="1">
          <a:off x="3972117" y="380293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1961</xdr:row>
      <xdr:rowOff>26102</xdr:rowOff>
    </xdr:from>
    <xdr:ext cx="1699468" cy="504272"/>
    <xdr:pic>
      <xdr:nvPicPr>
        <xdr:cNvPr id="210" name="Imagen 209">
          <a:extLst>
            <a:ext uri="{FF2B5EF4-FFF2-40B4-BE49-F238E27FC236}">
              <a16:creationId xmlns:a16="http://schemas.microsoft.com/office/drawing/2014/main" id="{EBA5D13B-984D-4EFF-9DE7-2E5C215FB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80010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1961</xdr:row>
      <xdr:rowOff>309563</xdr:rowOff>
    </xdr:from>
    <xdr:to>
      <xdr:col>8</xdr:col>
      <xdr:colOff>494110</xdr:colOff>
      <xdr:row>1961</xdr:row>
      <xdr:rowOff>317462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D88C869A-F0D8-46EE-A191-13244E543C86}"/>
            </a:ext>
          </a:extLst>
        </xdr:cNvPr>
        <xdr:cNvCxnSpPr/>
      </xdr:nvCxnSpPr>
      <xdr:spPr>
        <a:xfrm flipV="1">
          <a:off x="3972117" y="380293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2006</xdr:row>
      <xdr:rowOff>26102</xdr:rowOff>
    </xdr:from>
    <xdr:ext cx="1699468" cy="504272"/>
    <xdr:pic>
      <xdr:nvPicPr>
        <xdr:cNvPr id="212" name="Imagen 211">
          <a:extLst>
            <a:ext uri="{FF2B5EF4-FFF2-40B4-BE49-F238E27FC236}">
              <a16:creationId xmlns:a16="http://schemas.microsoft.com/office/drawing/2014/main" id="{CDFE4BE5-0F39-499F-B58A-68C3E1041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88938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2006</xdr:row>
      <xdr:rowOff>309563</xdr:rowOff>
    </xdr:from>
    <xdr:to>
      <xdr:col>8</xdr:col>
      <xdr:colOff>494110</xdr:colOff>
      <xdr:row>2006</xdr:row>
      <xdr:rowOff>317462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C49CCFED-BC23-4A3E-9426-A54CF22F8B67}"/>
            </a:ext>
          </a:extLst>
        </xdr:cNvPr>
        <xdr:cNvCxnSpPr/>
      </xdr:nvCxnSpPr>
      <xdr:spPr>
        <a:xfrm flipV="1">
          <a:off x="3972117" y="389221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2006</xdr:row>
      <xdr:rowOff>26102</xdr:rowOff>
    </xdr:from>
    <xdr:ext cx="1699468" cy="504272"/>
    <xdr:pic>
      <xdr:nvPicPr>
        <xdr:cNvPr id="214" name="Imagen 213">
          <a:extLst>
            <a:ext uri="{FF2B5EF4-FFF2-40B4-BE49-F238E27FC236}">
              <a16:creationId xmlns:a16="http://schemas.microsoft.com/office/drawing/2014/main" id="{D7DCBDE5-5C10-42E0-BC48-6426213E2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88938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2006</xdr:row>
      <xdr:rowOff>309563</xdr:rowOff>
    </xdr:from>
    <xdr:to>
      <xdr:col>8</xdr:col>
      <xdr:colOff>494110</xdr:colOff>
      <xdr:row>2006</xdr:row>
      <xdr:rowOff>317462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E5739B19-8088-48FF-9C5E-8BF037402C38}"/>
            </a:ext>
          </a:extLst>
        </xdr:cNvPr>
        <xdr:cNvCxnSpPr/>
      </xdr:nvCxnSpPr>
      <xdr:spPr>
        <a:xfrm flipV="1">
          <a:off x="3972117" y="389221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2006</xdr:row>
      <xdr:rowOff>26102</xdr:rowOff>
    </xdr:from>
    <xdr:ext cx="1699468" cy="504272"/>
    <xdr:pic>
      <xdr:nvPicPr>
        <xdr:cNvPr id="216" name="Imagen 215">
          <a:extLst>
            <a:ext uri="{FF2B5EF4-FFF2-40B4-BE49-F238E27FC236}">
              <a16:creationId xmlns:a16="http://schemas.microsoft.com/office/drawing/2014/main" id="{4744C878-735D-49D3-BE88-44D82C66D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88938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2006</xdr:row>
      <xdr:rowOff>309563</xdr:rowOff>
    </xdr:from>
    <xdr:to>
      <xdr:col>8</xdr:col>
      <xdr:colOff>494110</xdr:colOff>
      <xdr:row>2006</xdr:row>
      <xdr:rowOff>317462</xdr:rowOff>
    </xdr:to>
    <xdr:cxnSp macro="">
      <xdr:nvCxnSpPr>
        <xdr:cNvPr id="217" name="Conector recto 216">
          <a:extLst>
            <a:ext uri="{FF2B5EF4-FFF2-40B4-BE49-F238E27FC236}">
              <a16:creationId xmlns:a16="http://schemas.microsoft.com/office/drawing/2014/main" id="{4E595D1F-EEF6-4AA5-B971-0BAA1D6691C0}"/>
            </a:ext>
          </a:extLst>
        </xdr:cNvPr>
        <xdr:cNvCxnSpPr/>
      </xdr:nvCxnSpPr>
      <xdr:spPr>
        <a:xfrm flipV="1">
          <a:off x="3972117" y="389221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2006</xdr:row>
      <xdr:rowOff>26102</xdr:rowOff>
    </xdr:from>
    <xdr:ext cx="1699468" cy="504272"/>
    <xdr:pic>
      <xdr:nvPicPr>
        <xdr:cNvPr id="218" name="Imagen 217">
          <a:extLst>
            <a:ext uri="{FF2B5EF4-FFF2-40B4-BE49-F238E27FC236}">
              <a16:creationId xmlns:a16="http://schemas.microsoft.com/office/drawing/2014/main" id="{2818F9D9-15D6-4D13-A1A7-68B05B6F2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88938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2006</xdr:row>
      <xdr:rowOff>309563</xdr:rowOff>
    </xdr:from>
    <xdr:to>
      <xdr:col>8</xdr:col>
      <xdr:colOff>494110</xdr:colOff>
      <xdr:row>2006</xdr:row>
      <xdr:rowOff>317462</xdr:rowOff>
    </xdr:to>
    <xdr:cxnSp macro="">
      <xdr:nvCxnSpPr>
        <xdr:cNvPr id="219" name="Conector recto 218">
          <a:extLst>
            <a:ext uri="{FF2B5EF4-FFF2-40B4-BE49-F238E27FC236}">
              <a16:creationId xmlns:a16="http://schemas.microsoft.com/office/drawing/2014/main" id="{72485F1C-5D21-41B8-9189-ACA3EA4CFF80}"/>
            </a:ext>
          </a:extLst>
        </xdr:cNvPr>
        <xdr:cNvCxnSpPr/>
      </xdr:nvCxnSpPr>
      <xdr:spPr>
        <a:xfrm flipV="1">
          <a:off x="3972117" y="389221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2052</xdr:row>
      <xdr:rowOff>26102</xdr:rowOff>
    </xdr:from>
    <xdr:ext cx="1699468" cy="504272"/>
    <xdr:pic>
      <xdr:nvPicPr>
        <xdr:cNvPr id="220" name="Imagen 219">
          <a:extLst>
            <a:ext uri="{FF2B5EF4-FFF2-40B4-BE49-F238E27FC236}">
              <a16:creationId xmlns:a16="http://schemas.microsoft.com/office/drawing/2014/main" id="{52F4EDEA-9D54-4AE9-9FD7-272ED5978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97936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2052</xdr:row>
      <xdr:rowOff>309563</xdr:rowOff>
    </xdr:from>
    <xdr:to>
      <xdr:col>8</xdr:col>
      <xdr:colOff>494110</xdr:colOff>
      <xdr:row>2052</xdr:row>
      <xdr:rowOff>317462</xdr:rowOff>
    </xdr:to>
    <xdr:cxnSp macro="">
      <xdr:nvCxnSpPr>
        <xdr:cNvPr id="221" name="Conector recto 220">
          <a:extLst>
            <a:ext uri="{FF2B5EF4-FFF2-40B4-BE49-F238E27FC236}">
              <a16:creationId xmlns:a16="http://schemas.microsoft.com/office/drawing/2014/main" id="{C7E6248D-280C-4F99-B7D7-5057A536F419}"/>
            </a:ext>
          </a:extLst>
        </xdr:cNvPr>
        <xdr:cNvCxnSpPr/>
      </xdr:nvCxnSpPr>
      <xdr:spPr>
        <a:xfrm flipV="1">
          <a:off x="3972117" y="398219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2052</xdr:row>
      <xdr:rowOff>26102</xdr:rowOff>
    </xdr:from>
    <xdr:ext cx="1699468" cy="504272"/>
    <xdr:pic>
      <xdr:nvPicPr>
        <xdr:cNvPr id="222" name="Imagen 221">
          <a:extLst>
            <a:ext uri="{FF2B5EF4-FFF2-40B4-BE49-F238E27FC236}">
              <a16:creationId xmlns:a16="http://schemas.microsoft.com/office/drawing/2014/main" id="{28517BE4-C708-4823-B540-B15E604E3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97936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2052</xdr:row>
      <xdr:rowOff>309563</xdr:rowOff>
    </xdr:from>
    <xdr:to>
      <xdr:col>8</xdr:col>
      <xdr:colOff>494110</xdr:colOff>
      <xdr:row>2052</xdr:row>
      <xdr:rowOff>317462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9676994A-07BA-43F3-B783-5E7BDCF7269B}"/>
            </a:ext>
          </a:extLst>
        </xdr:cNvPr>
        <xdr:cNvCxnSpPr/>
      </xdr:nvCxnSpPr>
      <xdr:spPr>
        <a:xfrm flipV="1">
          <a:off x="3972117" y="398219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2052</xdr:row>
      <xdr:rowOff>26102</xdr:rowOff>
    </xdr:from>
    <xdr:ext cx="1699468" cy="504272"/>
    <xdr:pic>
      <xdr:nvPicPr>
        <xdr:cNvPr id="224" name="Imagen 223">
          <a:extLst>
            <a:ext uri="{FF2B5EF4-FFF2-40B4-BE49-F238E27FC236}">
              <a16:creationId xmlns:a16="http://schemas.microsoft.com/office/drawing/2014/main" id="{500330F2-23DA-452D-8EB7-D4703037E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97936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2052</xdr:row>
      <xdr:rowOff>309563</xdr:rowOff>
    </xdr:from>
    <xdr:to>
      <xdr:col>8</xdr:col>
      <xdr:colOff>494110</xdr:colOff>
      <xdr:row>2052</xdr:row>
      <xdr:rowOff>317462</xdr:rowOff>
    </xdr:to>
    <xdr:cxnSp macro="">
      <xdr:nvCxnSpPr>
        <xdr:cNvPr id="225" name="Conector recto 224">
          <a:extLst>
            <a:ext uri="{FF2B5EF4-FFF2-40B4-BE49-F238E27FC236}">
              <a16:creationId xmlns:a16="http://schemas.microsoft.com/office/drawing/2014/main" id="{D59A5F66-4823-4DA5-9E6C-25472598469D}"/>
            </a:ext>
          </a:extLst>
        </xdr:cNvPr>
        <xdr:cNvCxnSpPr/>
      </xdr:nvCxnSpPr>
      <xdr:spPr>
        <a:xfrm flipV="1">
          <a:off x="3972117" y="398219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2052</xdr:row>
      <xdr:rowOff>26102</xdr:rowOff>
    </xdr:from>
    <xdr:ext cx="1699468" cy="504272"/>
    <xdr:pic>
      <xdr:nvPicPr>
        <xdr:cNvPr id="226" name="Imagen 225">
          <a:extLst>
            <a:ext uri="{FF2B5EF4-FFF2-40B4-BE49-F238E27FC236}">
              <a16:creationId xmlns:a16="http://schemas.microsoft.com/office/drawing/2014/main" id="{16E3AB7A-D918-4B5D-911B-FCBD9557FF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97936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2052</xdr:row>
      <xdr:rowOff>309563</xdr:rowOff>
    </xdr:from>
    <xdr:to>
      <xdr:col>8</xdr:col>
      <xdr:colOff>494110</xdr:colOff>
      <xdr:row>2052</xdr:row>
      <xdr:rowOff>317462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0B2DE153-1161-4B9B-B4AF-6F6F2CA9DF07}"/>
            </a:ext>
          </a:extLst>
        </xdr:cNvPr>
        <xdr:cNvCxnSpPr/>
      </xdr:nvCxnSpPr>
      <xdr:spPr>
        <a:xfrm flipV="1">
          <a:off x="3972117" y="398219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2052</xdr:row>
      <xdr:rowOff>26102</xdr:rowOff>
    </xdr:from>
    <xdr:ext cx="1699468" cy="504272"/>
    <xdr:pic>
      <xdr:nvPicPr>
        <xdr:cNvPr id="228" name="Imagen 227">
          <a:extLst>
            <a:ext uri="{FF2B5EF4-FFF2-40B4-BE49-F238E27FC236}">
              <a16:creationId xmlns:a16="http://schemas.microsoft.com/office/drawing/2014/main" id="{C2234D18-B50D-4C55-BF23-E492B24B6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397936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2052</xdr:row>
      <xdr:rowOff>309563</xdr:rowOff>
    </xdr:from>
    <xdr:to>
      <xdr:col>8</xdr:col>
      <xdr:colOff>494110</xdr:colOff>
      <xdr:row>2052</xdr:row>
      <xdr:rowOff>317462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D99BDFF0-8A21-42A3-BFCF-F3F1E082546B}"/>
            </a:ext>
          </a:extLst>
        </xdr:cNvPr>
        <xdr:cNvCxnSpPr/>
      </xdr:nvCxnSpPr>
      <xdr:spPr>
        <a:xfrm flipV="1">
          <a:off x="3972117" y="398219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2097</xdr:row>
      <xdr:rowOff>26102</xdr:rowOff>
    </xdr:from>
    <xdr:ext cx="1699468" cy="504272"/>
    <xdr:pic>
      <xdr:nvPicPr>
        <xdr:cNvPr id="230" name="Imagen 229">
          <a:extLst>
            <a:ext uri="{FF2B5EF4-FFF2-40B4-BE49-F238E27FC236}">
              <a16:creationId xmlns:a16="http://schemas.microsoft.com/office/drawing/2014/main" id="{601746C1-3596-441B-B0EF-FD45C99A0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06864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2097</xdr:row>
      <xdr:rowOff>309563</xdr:rowOff>
    </xdr:from>
    <xdr:to>
      <xdr:col>8</xdr:col>
      <xdr:colOff>494110</xdr:colOff>
      <xdr:row>2097</xdr:row>
      <xdr:rowOff>317462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AA8FFA62-1057-4CCC-A0FE-EE42BB904A2E}"/>
            </a:ext>
          </a:extLst>
        </xdr:cNvPr>
        <xdr:cNvCxnSpPr/>
      </xdr:nvCxnSpPr>
      <xdr:spPr>
        <a:xfrm flipV="1">
          <a:off x="3972117" y="407147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2097</xdr:row>
      <xdr:rowOff>26102</xdr:rowOff>
    </xdr:from>
    <xdr:ext cx="1699468" cy="504272"/>
    <xdr:pic>
      <xdr:nvPicPr>
        <xdr:cNvPr id="232" name="Imagen 231">
          <a:extLst>
            <a:ext uri="{FF2B5EF4-FFF2-40B4-BE49-F238E27FC236}">
              <a16:creationId xmlns:a16="http://schemas.microsoft.com/office/drawing/2014/main" id="{AB556B12-C38D-4E11-9A18-8E17262A2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06864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2097</xdr:row>
      <xdr:rowOff>309563</xdr:rowOff>
    </xdr:from>
    <xdr:to>
      <xdr:col>8</xdr:col>
      <xdr:colOff>494110</xdr:colOff>
      <xdr:row>2097</xdr:row>
      <xdr:rowOff>317462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4C143787-9828-48C0-853A-8D35BAA4D59A}"/>
            </a:ext>
          </a:extLst>
        </xdr:cNvPr>
        <xdr:cNvCxnSpPr/>
      </xdr:nvCxnSpPr>
      <xdr:spPr>
        <a:xfrm flipV="1">
          <a:off x="3972117" y="407147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2097</xdr:row>
      <xdr:rowOff>26102</xdr:rowOff>
    </xdr:from>
    <xdr:ext cx="1699468" cy="504272"/>
    <xdr:pic>
      <xdr:nvPicPr>
        <xdr:cNvPr id="234" name="Imagen 233">
          <a:extLst>
            <a:ext uri="{FF2B5EF4-FFF2-40B4-BE49-F238E27FC236}">
              <a16:creationId xmlns:a16="http://schemas.microsoft.com/office/drawing/2014/main" id="{31B24E1A-3D8F-4ADD-9B9F-0EC2C3B06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06864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2097</xdr:row>
      <xdr:rowOff>309563</xdr:rowOff>
    </xdr:from>
    <xdr:to>
      <xdr:col>8</xdr:col>
      <xdr:colOff>494110</xdr:colOff>
      <xdr:row>2097</xdr:row>
      <xdr:rowOff>317462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0A0F5E0E-F6C7-43EE-B769-928766B894DD}"/>
            </a:ext>
          </a:extLst>
        </xdr:cNvPr>
        <xdr:cNvCxnSpPr/>
      </xdr:nvCxnSpPr>
      <xdr:spPr>
        <a:xfrm flipV="1">
          <a:off x="3972117" y="407147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2097</xdr:row>
      <xdr:rowOff>26102</xdr:rowOff>
    </xdr:from>
    <xdr:ext cx="1699468" cy="504272"/>
    <xdr:pic>
      <xdr:nvPicPr>
        <xdr:cNvPr id="236" name="Imagen 235">
          <a:extLst>
            <a:ext uri="{FF2B5EF4-FFF2-40B4-BE49-F238E27FC236}">
              <a16:creationId xmlns:a16="http://schemas.microsoft.com/office/drawing/2014/main" id="{8D3187BD-8405-4EF9-9FB0-C9767E114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06864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2097</xdr:row>
      <xdr:rowOff>309563</xdr:rowOff>
    </xdr:from>
    <xdr:to>
      <xdr:col>8</xdr:col>
      <xdr:colOff>494110</xdr:colOff>
      <xdr:row>2097</xdr:row>
      <xdr:rowOff>317462</xdr:rowOff>
    </xdr:to>
    <xdr:cxnSp macro="">
      <xdr:nvCxnSpPr>
        <xdr:cNvPr id="237" name="Conector recto 236">
          <a:extLst>
            <a:ext uri="{FF2B5EF4-FFF2-40B4-BE49-F238E27FC236}">
              <a16:creationId xmlns:a16="http://schemas.microsoft.com/office/drawing/2014/main" id="{EE0C3D0B-6867-4AD3-8087-4FCCB34638D6}"/>
            </a:ext>
          </a:extLst>
        </xdr:cNvPr>
        <xdr:cNvCxnSpPr/>
      </xdr:nvCxnSpPr>
      <xdr:spPr>
        <a:xfrm flipV="1">
          <a:off x="3972117" y="407147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2097</xdr:row>
      <xdr:rowOff>26102</xdr:rowOff>
    </xdr:from>
    <xdr:ext cx="1699468" cy="504272"/>
    <xdr:pic>
      <xdr:nvPicPr>
        <xdr:cNvPr id="238" name="Imagen 237">
          <a:extLst>
            <a:ext uri="{FF2B5EF4-FFF2-40B4-BE49-F238E27FC236}">
              <a16:creationId xmlns:a16="http://schemas.microsoft.com/office/drawing/2014/main" id="{27705E3A-AF45-402D-89B4-300095DA8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06864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2097</xdr:row>
      <xdr:rowOff>309563</xdr:rowOff>
    </xdr:from>
    <xdr:to>
      <xdr:col>8</xdr:col>
      <xdr:colOff>494110</xdr:colOff>
      <xdr:row>2097</xdr:row>
      <xdr:rowOff>317462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753967C7-FD82-4F58-8E12-877EA350E151}"/>
            </a:ext>
          </a:extLst>
        </xdr:cNvPr>
        <xdr:cNvCxnSpPr/>
      </xdr:nvCxnSpPr>
      <xdr:spPr>
        <a:xfrm flipV="1">
          <a:off x="3972117" y="407147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2143</xdr:row>
      <xdr:rowOff>26102</xdr:rowOff>
    </xdr:from>
    <xdr:ext cx="1699468" cy="504272"/>
    <xdr:pic>
      <xdr:nvPicPr>
        <xdr:cNvPr id="240" name="Imagen 239">
          <a:extLst>
            <a:ext uri="{FF2B5EF4-FFF2-40B4-BE49-F238E27FC236}">
              <a16:creationId xmlns:a16="http://schemas.microsoft.com/office/drawing/2014/main" id="{8730F687-0492-4FE6-A787-CCB07E762B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15868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2143</xdr:row>
      <xdr:rowOff>309563</xdr:rowOff>
    </xdr:from>
    <xdr:to>
      <xdr:col>8</xdr:col>
      <xdr:colOff>494110</xdr:colOff>
      <xdr:row>2143</xdr:row>
      <xdr:rowOff>317462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C10A4719-690D-4D01-B964-70F212B1F73D}"/>
            </a:ext>
          </a:extLst>
        </xdr:cNvPr>
        <xdr:cNvCxnSpPr/>
      </xdr:nvCxnSpPr>
      <xdr:spPr>
        <a:xfrm flipV="1">
          <a:off x="3972117" y="416152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2143</xdr:row>
      <xdr:rowOff>26102</xdr:rowOff>
    </xdr:from>
    <xdr:ext cx="1699468" cy="504272"/>
    <xdr:pic>
      <xdr:nvPicPr>
        <xdr:cNvPr id="242" name="Imagen 241">
          <a:extLst>
            <a:ext uri="{FF2B5EF4-FFF2-40B4-BE49-F238E27FC236}">
              <a16:creationId xmlns:a16="http://schemas.microsoft.com/office/drawing/2014/main" id="{5A146F66-3312-4AF9-85D2-B488E2245C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15868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2143</xdr:row>
      <xdr:rowOff>309563</xdr:rowOff>
    </xdr:from>
    <xdr:to>
      <xdr:col>8</xdr:col>
      <xdr:colOff>494110</xdr:colOff>
      <xdr:row>2143</xdr:row>
      <xdr:rowOff>317462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C255EF5C-3261-45BC-ADE7-98F4DCD68AA2}"/>
            </a:ext>
          </a:extLst>
        </xdr:cNvPr>
        <xdr:cNvCxnSpPr/>
      </xdr:nvCxnSpPr>
      <xdr:spPr>
        <a:xfrm flipV="1">
          <a:off x="3972117" y="416152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2143</xdr:row>
      <xdr:rowOff>26102</xdr:rowOff>
    </xdr:from>
    <xdr:ext cx="1699468" cy="504272"/>
    <xdr:pic>
      <xdr:nvPicPr>
        <xdr:cNvPr id="244" name="Imagen 243">
          <a:extLst>
            <a:ext uri="{FF2B5EF4-FFF2-40B4-BE49-F238E27FC236}">
              <a16:creationId xmlns:a16="http://schemas.microsoft.com/office/drawing/2014/main" id="{AB5D65E1-E931-45B5-BA0A-D282221323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15868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2143</xdr:row>
      <xdr:rowOff>309563</xdr:rowOff>
    </xdr:from>
    <xdr:to>
      <xdr:col>8</xdr:col>
      <xdr:colOff>494110</xdr:colOff>
      <xdr:row>2143</xdr:row>
      <xdr:rowOff>317462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806DCE47-3FD6-427A-B531-3F4E1B88DA9D}"/>
            </a:ext>
          </a:extLst>
        </xdr:cNvPr>
        <xdr:cNvCxnSpPr/>
      </xdr:nvCxnSpPr>
      <xdr:spPr>
        <a:xfrm flipV="1">
          <a:off x="3972117" y="416152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2143</xdr:row>
      <xdr:rowOff>26102</xdr:rowOff>
    </xdr:from>
    <xdr:ext cx="1699468" cy="504272"/>
    <xdr:pic>
      <xdr:nvPicPr>
        <xdr:cNvPr id="246" name="Imagen 245">
          <a:extLst>
            <a:ext uri="{FF2B5EF4-FFF2-40B4-BE49-F238E27FC236}">
              <a16:creationId xmlns:a16="http://schemas.microsoft.com/office/drawing/2014/main" id="{BB3D61B6-28FC-4807-A719-DB5908A50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15868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2143</xdr:row>
      <xdr:rowOff>309563</xdr:rowOff>
    </xdr:from>
    <xdr:to>
      <xdr:col>8</xdr:col>
      <xdr:colOff>494110</xdr:colOff>
      <xdr:row>2143</xdr:row>
      <xdr:rowOff>317462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6ABB504D-9808-4D9B-8D5B-0C35974558EC}"/>
            </a:ext>
          </a:extLst>
        </xdr:cNvPr>
        <xdr:cNvCxnSpPr/>
      </xdr:nvCxnSpPr>
      <xdr:spPr>
        <a:xfrm flipV="1">
          <a:off x="3972117" y="416152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2143</xdr:row>
      <xdr:rowOff>26102</xdr:rowOff>
    </xdr:from>
    <xdr:ext cx="1699468" cy="504272"/>
    <xdr:pic>
      <xdr:nvPicPr>
        <xdr:cNvPr id="248" name="Imagen 247">
          <a:extLst>
            <a:ext uri="{FF2B5EF4-FFF2-40B4-BE49-F238E27FC236}">
              <a16:creationId xmlns:a16="http://schemas.microsoft.com/office/drawing/2014/main" id="{AC8D2DFC-9D80-4806-A79C-1707414BB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15868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2143</xdr:row>
      <xdr:rowOff>309563</xdr:rowOff>
    </xdr:from>
    <xdr:to>
      <xdr:col>8</xdr:col>
      <xdr:colOff>494110</xdr:colOff>
      <xdr:row>2143</xdr:row>
      <xdr:rowOff>317462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B996073E-DF1A-4695-8812-A9AE0174F466}"/>
            </a:ext>
          </a:extLst>
        </xdr:cNvPr>
        <xdr:cNvCxnSpPr/>
      </xdr:nvCxnSpPr>
      <xdr:spPr>
        <a:xfrm flipV="1">
          <a:off x="3972117" y="416152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2143</xdr:row>
      <xdr:rowOff>26102</xdr:rowOff>
    </xdr:from>
    <xdr:ext cx="1699468" cy="504272"/>
    <xdr:pic>
      <xdr:nvPicPr>
        <xdr:cNvPr id="250" name="Imagen 249">
          <a:extLst>
            <a:ext uri="{FF2B5EF4-FFF2-40B4-BE49-F238E27FC236}">
              <a16:creationId xmlns:a16="http://schemas.microsoft.com/office/drawing/2014/main" id="{2ED32BA1-A8BE-4ABC-8E15-8D11FAA2D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15868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2143</xdr:row>
      <xdr:rowOff>309563</xdr:rowOff>
    </xdr:from>
    <xdr:to>
      <xdr:col>8</xdr:col>
      <xdr:colOff>494110</xdr:colOff>
      <xdr:row>2143</xdr:row>
      <xdr:rowOff>317462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30E7A704-78D8-4167-BBBB-B1C1AD8AFDDC}"/>
            </a:ext>
          </a:extLst>
        </xdr:cNvPr>
        <xdr:cNvCxnSpPr/>
      </xdr:nvCxnSpPr>
      <xdr:spPr>
        <a:xfrm flipV="1">
          <a:off x="3972117" y="416152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2188</xdr:row>
      <xdr:rowOff>26102</xdr:rowOff>
    </xdr:from>
    <xdr:ext cx="1699468" cy="504272"/>
    <xdr:pic>
      <xdr:nvPicPr>
        <xdr:cNvPr id="252" name="Imagen 251">
          <a:extLst>
            <a:ext uri="{FF2B5EF4-FFF2-40B4-BE49-F238E27FC236}">
              <a16:creationId xmlns:a16="http://schemas.microsoft.com/office/drawing/2014/main" id="{F7183051-A440-4224-A331-15B4669EA8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24796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2188</xdr:row>
      <xdr:rowOff>309563</xdr:rowOff>
    </xdr:from>
    <xdr:to>
      <xdr:col>8</xdr:col>
      <xdr:colOff>494110</xdr:colOff>
      <xdr:row>2188</xdr:row>
      <xdr:rowOff>317462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3751BD2B-32E6-4DAB-89E7-0BBF649097B6}"/>
            </a:ext>
          </a:extLst>
        </xdr:cNvPr>
        <xdr:cNvCxnSpPr/>
      </xdr:nvCxnSpPr>
      <xdr:spPr>
        <a:xfrm flipV="1">
          <a:off x="3972117" y="425080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2188</xdr:row>
      <xdr:rowOff>26102</xdr:rowOff>
    </xdr:from>
    <xdr:ext cx="1699468" cy="504272"/>
    <xdr:pic>
      <xdr:nvPicPr>
        <xdr:cNvPr id="254" name="Imagen 253">
          <a:extLst>
            <a:ext uri="{FF2B5EF4-FFF2-40B4-BE49-F238E27FC236}">
              <a16:creationId xmlns:a16="http://schemas.microsoft.com/office/drawing/2014/main" id="{8F16B469-4310-4A99-A429-34888F4BA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24796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2188</xdr:row>
      <xdr:rowOff>309563</xdr:rowOff>
    </xdr:from>
    <xdr:to>
      <xdr:col>8</xdr:col>
      <xdr:colOff>494110</xdr:colOff>
      <xdr:row>2188</xdr:row>
      <xdr:rowOff>317462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9AA6F46E-1B16-4262-B2FC-8F62CA9F76FA}"/>
            </a:ext>
          </a:extLst>
        </xdr:cNvPr>
        <xdr:cNvCxnSpPr/>
      </xdr:nvCxnSpPr>
      <xdr:spPr>
        <a:xfrm flipV="1">
          <a:off x="3972117" y="425080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2188</xdr:row>
      <xdr:rowOff>26102</xdr:rowOff>
    </xdr:from>
    <xdr:ext cx="1699468" cy="504272"/>
    <xdr:pic>
      <xdr:nvPicPr>
        <xdr:cNvPr id="256" name="Imagen 255">
          <a:extLst>
            <a:ext uri="{FF2B5EF4-FFF2-40B4-BE49-F238E27FC236}">
              <a16:creationId xmlns:a16="http://schemas.microsoft.com/office/drawing/2014/main" id="{91D0C47B-7DA0-49D2-9F44-83AD6B44F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24796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2188</xdr:row>
      <xdr:rowOff>309563</xdr:rowOff>
    </xdr:from>
    <xdr:to>
      <xdr:col>8</xdr:col>
      <xdr:colOff>494110</xdr:colOff>
      <xdr:row>2188</xdr:row>
      <xdr:rowOff>317462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B9B54FDC-31D0-42AB-A019-9E76AA19F86E}"/>
            </a:ext>
          </a:extLst>
        </xdr:cNvPr>
        <xdr:cNvCxnSpPr/>
      </xdr:nvCxnSpPr>
      <xdr:spPr>
        <a:xfrm flipV="1">
          <a:off x="3972117" y="425080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2188</xdr:row>
      <xdr:rowOff>26102</xdr:rowOff>
    </xdr:from>
    <xdr:ext cx="1699468" cy="504272"/>
    <xdr:pic>
      <xdr:nvPicPr>
        <xdr:cNvPr id="258" name="Imagen 257">
          <a:extLst>
            <a:ext uri="{FF2B5EF4-FFF2-40B4-BE49-F238E27FC236}">
              <a16:creationId xmlns:a16="http://schemas.microsoft.com/office/drawing/2014/main" id="{61AD497E-817B-4C85-8F0F-2419C3421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24796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2188</xdr:row>
      <xdr:rowOff>309563</xdr:rowOff>
    </xdr:from>
    <xdr:to>
      <xdr:col>8</xdr:col>
      <xdr:colOff>494110</xdr:colOff>
      <xdr:row>2188</xdr:row>
      <xdr:rowOff>317462</xdr:rowOff>
    </xdr:to>
    <xdr:cxnSp macro="">
      <xdr:nvCxnSpPr>
        <xdr:cNvPr id="259" name="Conector recto 258">
          <a:extLst>
            <a:ext uri="{FF2B5EF4-FFF2-40B4-BE49-F238E27FC236}">
              <a16:creationId xmlns:a16="http://schemas.microsoft.com/office/drawing/2014/main" id="{3D8077B7-A13E-4DEC-83EC-4B3283563381}"/>
            </a:ext>
          </a:extLst>
        </xdr:cNvPr>
        <xdr:cNvCxnSpPr/>
      </xdr:nvCxnSpPr>
      <xdr:spPr>
        <a:xfrm flipV="1">
          <a:off x="3972117" y="425080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2188</xdr:row>
      <xdr:rowOff>26102</xdr:rowOff>
    </xdr:from>
    <xdr:ext cx="1699468" cy="504272"/>
    <xdr:pic>
      <xdr:nvPicPr>
        <xdr:cNvPr id="260" name="Imagen 259">
          <a:extLst>
            <a:ext uri="{FF2B5EF4-FFF2-40B4-BE49-F238E27FC236}">
              <a16:creationId xmlns:a16="http://schemas.microsoft.com/office/drawing/2014/main" id="{607E128F-6A7F-49FF-A4FA-5D22CEFBE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24796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2188</xdr:row>
      <xdr:rowOff>309563</xdr:rowOff>
    </xdr:from>
    <xdr:to>
      <xdr:col>8</xdr:col>
      <xdr:colOff>494110</xdr:colOff>
      <xdr:row>2188</xdr:row>
      <xdr:rowOff>317462</xdr:rowOff>
    </xdr:to>
    <xdr:cxnSp macro="">
      <xdr:nvCxnSpPr>
        <xdr:cNvPr id="261" name="Conector recto 260">
          <a:extLst>
            <a:ext uri="{FF2B5EF4-FFF2-40B4-BE49-F238E27FC236}">
              <a16:creationId xmlns:a16="http://schemas.microsoft.com/office/drawing/2014/main" id="{76F09E1E-FB3E-4EAF-8F48-F73E9F6BF69C}"/>
            </a:ext>
          </a:extLst>
        </xdr:cNvPr>
        <xdr:cNvCxnSpPr/>
      </xdr:nvCxnSpPr>
      <xdr:spPr>
        <a:xfrm flipV="1">
          <a:off x="3972117" y="425080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2188</xdr:row>
      <xdr:rowOff>26102</xdr:rowOff>
    </xdr:from>
    <xdr:ext cx="1699468" cy="504272"/>
    <xdr:pic>
      <xdr:nvPicPr>
        <xdr:cNvPr id="262" name="Imagen 261">
          <a:extLst>
            <a:ext uri="{FF2B5EF4-FFF2-40B4-BE49-F238E27FC236}">
              <a16:creationId xmlns:a16="http://schemas.microsoft.com/office/drawing/2014/main" id="{6665E571-4380-4BD8-A446-41E4E82EF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24796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2188</xdr:row>
      <xdr:rowOff>309563</xdr:rowOff>
    </xdr:from>
    <xdr:to>
      <xdr:col>8</xdr:col>
      <xdr:colOff>494110</xdr:colOff>
      <xdr:row>2188</xdr:row>
      <xdr:rowOff>317462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F22F1459-7A8F-412E-977F-8DC59D2710E0}"/>
            </a:ext>
          </a:extLst>
        </xdr:cNvPr>
        <xdr:cNvCxnSpPr/>
      </xdr:nvCxnSpPr>
      <xdr:spPr>
        <a:xfrm flipV="1">
          <a:off x="3972117" y="425080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2233</xdr:row>
      <xdr:rowOff>26102</xdr:rowOff>
    </xdr:from>
    <xdr:ext cx="1699468" cy="504272"/>
    <xdr:pic>
      <xdr:nvPicPr>
        <xdr:cNvPr id="264" name="Imagen 263">
          <a:extLst>
            <a:ext uri="{FF2B5EF4-FFF2-40B4-BE49-F238E27FC236}">
              <a16:creationId xmlns:a16="http://schemas.microsoft.com/office/drawing/2014/main" id="{27F55BC4-AFD9-4F29-B690-AF267785D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33724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2233</xdr:row>
      <xdr:rowOff>309563</xdr:rowOff>
    </xdr:from>
    <xdr:to>
      <xdr:col>8</xdr:col>
      <xdr:colOff>494110</xdr:colOff>
      <xdr:row>2233</xdr:row>
      <xdr:rowOff>317462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F9252AA7-C2DA-49FD-BD8F-6DF8F9F104CF}"/>
            </a:ext>
          </a:extLst>
        </xdr:cNvPr>
        <xdr:cNvCxnSpPr/>
      </xdr:nvCxnSpPr>
      <xdr:spPr>
        <a:xfrm flipV="1">
          <a:off x="3972117" y="434008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2233</xdr:row>
      <xdr:rowOff>26102</xdr:rowOff>
    </xdr:from>
    <xdr:ext cx="1699468" cy="504272"/>
    <xdr:pic>
      <xdr:nvPicPr>
        <xdr:cNvPr id="266" name="Imagen 265">
          <a:extLst>
            <a:ext uri="{FF2B5EF4-FFF2-40B4-BE49-F238E27FC236}">
              <a16:creationId xmlns:a16="http://schemas.microsoft.com/office/drawing/2014/main" id="{8DE94999-6DC1-44B6-BC8E-E0C776576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33724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2233</xdr:row>
      <xdr:rowOff>309563</xdr:rowOff>
    </xdr:from>
    <xdr:to>
      <xdr:col>8</xdr:col>
      <xdr:colOff>494110</xdr:colOff>
      <xdr:row>2233</xdr:row>
      <xdr:rowOff>317462</xdr:rowOff>
    </xdr:to>
    <xdr:cxnSp macro="">
      <xdr:nvCxnSpPr>
        <xdr:cNvPr id="267" name="Conector recto 266">
          <a:extLst>
            <a:ext uri="{FF2B5EF4-FFF2-40B4-BE49-F238E27FC236}">
              <a16:creationId xmlns:a16="http://schemas.microsoft.com/office/drawing/2014/main" id="{B78FAF73-751F-47D1-8E86-E7FAB52B242A}"/>
            </a:ext>
          </a:extLst>
        </xdr:cNvPr>
        <xdr:cNvCxnSpPr/>
      </xdr:nvCxnSpPr>
      <xdr:spPr>
        <a:xfrm flipV="1">
          <a:off x="3972117" y="434008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2233</xdr:row>
      <xdr:rowOff>26102</xdr:rowOff>
    </xdr:from>
    <xdr:ext cx="1699468" cy="504272"/>
    <xdr:pic>
      <xdr:nvPicPr>
        <xdr:cNvPr id="268" name="Imagen 267">
          <a:extLst>
            <a:ext uri="{FF2B5EF4-FFF2-40B4-BE49-F238E27FC236}">
              <a16:creationId xmlns:a16="http://schemas.microsoft.com/office/drawing/2014/main" id="{C38BF567-B19A-4BBA-834F-5F9141972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33724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2233</xdr:row>
      <xdr:rowOff>309563</xdr:rowOff>
    </xdr:from>
    <xdr:to>
      <xdr:col>8</xdr:col>
      <xdr:colOff>494110</xdr:colOff>
      <xdr:row>2233</xdr:row>
      <xdr:rowOff>317462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EF3D57E6-6ABF-44D8-818F-F2F15C773AC1}"/>
            </a:ext>
          </a:extLst>
        </xdr:cNvPr>
        <xdr:cNvCxnSpPr/>
      </xdr:nvCxnSpPr>
      <xdr:spPr>
        <a:xfrm flipV="1">
          <a:off x="3972117" y="434008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2233</xdr:row>
      <xdr:rowOff>26102</xdr:rowOff>
    </xdr:from>
    <xdr:ext cx="1699468" cy="504272"/>
    <xdr:pic>
      <xdr:nvPicPr>
        <xdr:cNvPr id="270" name="Imagen 269">
          <a:extLst>
            <a:ext uri="{FF2B5EF4-FFF2-40B4-BE49-F238E27FC236}">
              <a16:creationId xmlns:a16="http://schemas.microsoft.com/office/drawing/2014/main" id="{F33077D1-DCDA-4F04-9224-F5B5DFFB5F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33724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2233</xdr:row>
      <xdr:rowOff>309563</xdr:rowOff>
    </xdr:from>
    <xdr:to>
      <xdr:col>8</xdr:col>
      <xdr:colOff>494110</xdr:colOff>
      <xdr:row>2233</xdr:row>
      <xdr:rowOff>317462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7A5A5B25-0D91-4464-98E9-D801943CEDD2}"/>
            </a:ext>
          </a:extLst>
        </xdr:cNvPr>
        <xdr:cNvCxnSpPr/>
      </xdr:nvCxnSpPr>
      <xdr:spPr>
        <a:xfrm flipV="1">
          <a:off x="3972117" y="434008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2233</xdr:row>
      <xdr:rowOff>26102</xdr:rowOff>
    </xdr:from>
    <xdr:ext cx="1699468" cy="504272"/>
    <xdr:pic>
      <xdr:nvPicPr>
        <xdr:cNvPr id="272" name="Imagen 271">
          <a:extLst>
            <a:ext uri="{FF2B5EF4-FFF2-40B4-BE49-F238E27FC236}">
              <a16:creationId xmlns:a16="http://schemas.microsoft.com/office/drawing/2014/main" id="{BAD617C5-28F0-454B-BA1E-5DC2659F7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33724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2233</xdr:row>
      <xdr:rowOff>309563</xdr:rowOff>
    </xdr:from>
    <xdr:to>
      <xdr:col>8</xdr:col>
      <xdr:colOff>494110</xdr:colOff>
      <xdr:row>2233</xdr:row>
      <xdr:rowOff>317462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EC101144-5220-46D1-AE33-D8192ABE3A28}"/>
            </a:ext>
          </a:extLst>
        </xdr:cNvPr>
        <xdr:cNvCxnSpPr/>
      </xdr:nvCxnSpPr>
      <xdr:spPr>
        <a:xfrm flipV="1">
          <a:off x="3972117" y="434008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2233</xdr:row>
      <xdr:rowOff>26102</xdr:rowOff>
    </xdr:from>
    <xdr:ext cx="1699468" cy="504272"/>
    <xdr:pic>
      <xdr:nvPicPr>
        <xdr:cNvPr id="274" name="Imagen 273">
          <a:extLst>
            <a:ext uri="{FF2B5EF4-FFF2-40B4-BE49-F238E27FC236}">
              <a16:creationId xmlns:a16="http://schemas.microsoft.com/office/drawing/2014/main" id="{84BD61EB-FCBC-40A4-8561-AF76D7E46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33724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2233</xdr:row>
      <xdr:rowOff>309563</xdr:rowOff>
    </xdr:from>
    <xdr:to>
      <xdr:col>8</xdr:col>
      <xdr:colOff>494110</xdr:colOff>
      <xdr:row>2233</xdr:row>
      <xdr:rowOff>317462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1600AA49-D608-4E29-9CC3-E445DBA47EED}"/>
            </a:ext>
          </a:extLst>
        </xdr:cNvPr>
        <xdr:cNvCxnSpPr/>
      </xdr:nvCxnSpPr>
      <xdr:spPr>
        <a:xfrm flipV="1">
          <a:off x="3972117" y="434008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2278</xdr:row>
      <xdr:rowOff>26102</xdr:rowOff>
    </xdr:from>
    <xdr:ext cx="1699468" cy="504272"/>
    <xdr:pic>
      <xdr:nvPicPr>
        <xdr:cNvPr id="276" name="Imagen 275">
          <a:extLst>
            <a:ext uri="{FF2B5EF4-FFF2-40B4-BE49-F238E27FC236}">
              <a16:creationId xmlns:a16="http://schemas.microsoft.com/office/drawing/2014/main" id="{1BDB2792-FF7D-4D3F-A20F-AD519879E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42652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2278</xdr:row>
      <xdr:rowOff>309563</xdr:rowOff>
    </xdr:from>
    <xdr:to>
      <xdr:col>8</xdr:col>
      <xdr:colOff>494110</xdr:colOff>
      <xdr:row>2278</xdr:row>
      <xdr:rowOff>317462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B894E5AF-8BAD-4455-8E2F-18AEC584BEB0}"/>
            </a:ext>
          </a:extLst>
        </xdr:cNvPr>
        <xdr:cNvCxnSpPr/>
      </xdr:nvCxnSpPr>
      <xdr:spPr>
        <a:xfrm flipV="1">
          <a:off x="3972117" y="442936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2278</xdr:row>
      <xdr:rowOff>26102</xdr:rowOff>
    </xdr:from>
    <xdr:ext cx="1699468" cy="504272"/>
    <xdr:pic>
      <xdr:nvPicPr>
        <xdr:cNvPr id="278" name="Imagen 277">
          <a:extLst>
            <a:ext uri="{FF2B5EF4-FFF2-40B4-BE49-F238E27FC236}">
              <a16:creationId xmlns:a16="http://schemas.microsoft.com/office/drawing/2014/main" id="{FE41107E-FBEF-473F-8F28-D3C1DE3A9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42652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2278</xdr:row>
      <xdr:rowOff>309563</xdr:rowOff>
    </xdr:from>
    <xdr:to>
      <xdr:col>8</xdr:col>
      <xdr:colOff>494110</xdr:colOff>
      <xdr:row>2278</xdr:row>
      <xdr:rowOff>317462</xdr:rowOff>
    </xdr:to>
    <xdr:cxnSp macro="">
      <xdr:nvCxnSpPr>
        <xdr:cNvPr id="279" name="Conector recto 278">
          <a:extLst>
            <a:ext uri="{FF2B5EF4-FFF2-40B4-BE49-F238E27FC236}">
              <a16:creationId xmlns:a16="http://schemas.microsoft.com/office/drawing/2014/main" id="{746A56B9-2078-4C3E-B8AB-D20D315834CB}"/>
            </a:ext>
          </a:extLst>
        </xdr:cNvPr>
        <xdr:cNvCxnSpPr/>
      </xdr:nvCxnSpPr>
      <xdr:spPr>
        <a:xfrm flipV="1">
          <a:off x="3972117" y="442936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2278</xdr:row>
      <xdr:rowOff>26102</xdr:rowOff>
    </xdr:from>
    <xdr:ext cx="1699468" cy="504272"/>
    <xdr:pic>
      <xdr:nvPicPr>
        <xdr:cNvPr id="280" name="Imagen 279">
          <a:extLst>
            <a:ext uri="{FF2B5EF4-FFF2-40B4-BE49-F238E27FC236}">
              <a16:creationId xmlns:a16="http://schemas.microsoft.com/office/drawing/2014/main" id="{188DF629-7E2E-4AA0-B334-B33CDE9B1E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42652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2278</xdr:row>
      <xdr:rowOff>309563</xdr:rowOff>
    </xdr:from>
    <xdr:to>
      <xdr:col>8</xdr:col>
      <xdr:colOff>494110</xdr:colOff>
      <xdr:row>2278</xdr:row>
      <xdr:rowOff>317462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B70A75E7-AA66-4A72-B8DC-C35519F9B851}"/>
            </a:ext>
          </a:extLst>
        </xdr:cNvPr>
        <xdr:cNvCxnSpPr/>
      </xdr:nvCxnSpPr>
      <xdr:spPr>
        <a:xfrm flipV="1">
          <a:off x="3972117" y="442936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2278</xdr:row>
      <xdr:rowOff>26102</xdr:rowOff>
    </xdr:from>
    <xdr:ext cx="1699468" cy="504272"/>
    <xdr:pic>
      <xdr:nvPicPr>
        <xdr:cNvPr id="282" name="Imagen 281">
          <a:extLst>
            <a:ext uri="{FF2B5EF4-FFF2-40B4-BE49-F238E27FC236}">
              <a16:creationId xmlns:a16="http://schemas.microsoft.com/office/drawing/2014/main" id="{FB411DDE-F140-45C1-AC5F-EE8B177912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42652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2278</xdr:row>
      <xdr:rowOff>309563</xdr:rowOff>
    </xdr:from>
    <xdr:to>
      <xdr:col>8</xdr:col>
      <xdr:colOff>494110</xdr:colOff>
      <xdr:row>2278</xdr:row>
      <xdr:rowOff>317462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6E36451E-FD85-4C11-96FD-7D00F88B1886}"/>
            </a:ext>
          </a:extLst>
        </xdr:cNvPr>
        <xdr:cNvCxnSpPr/>
      </xdr:nvCxnSpPr>
      <xdr:spPr>
        <a:xfrm flipV="1">
          <a:off x="3972117" y="442936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2278</xdr:row>
      <xdr:rowOff>26102</xdr:rowOff>
    </xdr:from>
    <xdr:ext cx="1699468" cy="504272"/>
    <xdr:pic>
      <xdr:nvPicPr>
        <xdr:cNvPr id="284" name="Imagen 283">
          <a:extLst>
            <a:ext uri="{FF2B5EF4-FFF2-40B4-BE49-F238E27FC236}">
              <a16:creationId xmlns:a16="http://schemas.microsoft.com/office/drawing/2014/main" id="{57293D00-C8BC-4165-9042-5908E5C1B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42652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2278</xdr:row>
      <xdr:rowOff>309563</xdr:rowOff>
    </xdr:from>
    <xdr:to>
      <xdr:col>8</xdr:col>
      <xdr:colOff>494110</xdr:colOff>
      <xdr:row>2278</xdr:row>
      <xdr:rowOff>317462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70F4BE7A-11E1-4BCD-A5A4-CB06EEE4ECAA}"/>
            </a:ext>
          </a:extLst>
        </xdr:cNvPr>
        <xdr:cNvCxnSpPr/>
      </xdr:nvCxnSpPr>
      <xdr:spPr>
        <a:xfrm flipV="1">
          <a:off x="3972117" y="442936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2278</xdr:row>
      <xdr:rowOff>26102</xdr:rowOff>
    </xdr:from>
    <xdr:ext cx="1699468" cy="504272"/>
    <xdr:pic>
      <xdr:nvPicPr>
        <xdr:cNvPr id="286" name="Imagen 285">
          <a:extLst>
            <a:ext uri="{FF2B5EF4-FFF2-40B4-BE49-F238E27FC236}">
              <a16:creationId xmlns:a16="http://schemas.microsoft.com/office/drawing/2014/main" id="{FF2A8D4E-43EA-470D-89E0-594DA655A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42652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2278</xdr:row>
      <xdr:rowOff>309563</xdr:rowOff>
    </xdr:from>
    <xdr:to>
      <xdr:col>8</xdr:col>
      <xdr:colOff>494110</xdr:colOff>
      <xdr:row>2278</xdr:row>
      <xdr:rowOff>317462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9481942C-B2AA-4DAB-880B-DC7A27891DD0}"/>
            </a:ext>
          </a:extLst>
        </xdr:cNvPr>
        <xdr:cNvCxnSpPr/>
      </xdr:nvCxnSpPr>
      <xdr:spPr>
        <a:xfrm flipV="1">
          <a:off x="3972117" y="442936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2323</xdr:row>
      <xdr:rowOff>26102</xdr:rowOff>
    </xdr:from>
    <xdr:ext cx="1699468" cy="504272"/>
    <xdr:pic>
      <xdr:nvPicPr>
        <xdr:cNvPr id="288" name="Imagen 287">
          <a:extLst>
            <a:ext uri="{FF2B5EF4-FFF2-40B4-BE49-F238E27FC236}">
              <a16:creationId xmlns:a16="http://schemas.microsoft.com/office/drawing/2014/main" id="{4E3F92C7-6C4A-4531-894E-B3EB834EF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51580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2323</xdr:row>
      <xdr:rowOff>309563</xdr:rowOff>
    </xdr:from>
    <xdr:to>
      <xdr:col>8</xdr:col>
      <xdr:colOff>494110</xdr:colOff>
      <xdr:row>2323</xdr:row>
      <xdr:rowOff>317462</xdr:rowOff>
    </xdr:to>
    <xdr:cxnSp macro="">
      <xdr:nvCxnSpPr>
        <xdr:cNvPr id="289" name="Conector recto 288">
          <a:extLst>
            <a:ext uri="{FF2B5EF4-FFF2-40B4-BE49-F238E27FC236}">
              <a16:creationId xmlns:a16="http://schemas.microsoft.com/office/drawing/2014/main" id="{DA28B398-A8C3-4CE1-A2F4-8D488CDB20A5}"/>
            </a:ext>
          </a:extLst>
        </xdr:cNvPr>
        <xdr:cNvCxnSpPr/>
      </xdr:nvCxnSpPr>
      <xdr:spPr>
        <a:xfrm flipV="1">
          <a:off x="3972117" y="451864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2323</xdr:row>
      <xdr:rowOff>26102</xdr:rowOff>
    </xdr:from>
    <xdr:ext cx="1699468" cy="504272"/>
    <xdr:pic>
      <xdr:nvPicPr>
        <xdr:cNvPr id="290" name="Imagen 289">
          <a:extLst>
            <a:ext uri="{FF2B5EF4-FFF2-40B4-BE49-F238E27FC236}">
              <a16:creationId xmlns:a16="http://schemas.microsoft.com/office/drawing/2014/main" id="{5D6F64AD-96F3-43D0-94EB-10CECEEFE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51580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2323</xdr:row>
      <xdr:rowOff>309563</xdr:rowOff>
    </xdr:from>
    <xdr:to>
      <xdr:col>8</xdr:col>
      <xdr:colOff>494110</xdr:colOff>
      <xdr:row>2323</xdr:row>
      <xdr:rowOff>317462</xdr:rowOff>
    </xdr:to>
    <xdr:cxnSp macro="">
      <xdr:nvCxnSpPr>
        <xdr:cNvPr id="291" name="Conector recto 290">
          <a:extLst>
            <a:ext uri="{FF2B5EF4-FFF2-40B4-BE49-F238E27FC236}">
              <a16:creationId xmlns:a16="http://schemas.microsoft.com/office/drawing/2014/main" id="{2F6804C4-2230-47E7-BBD8-4BBC4718552E}"/>
            </a:ext>
          </a:extLst>
        </xdr:cNvPr>
        <xdr:cNvCxnSpPr/>
      </xdr:nvCxnSpPr>
      <xdr:spPr>
        <a:xfrm flipV="1">
          <a:off x="3972117" y="451864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2323</xdr:row>
      <xdr:rowOff>26102</xdr:rowOff>
    </xdr:from>
    <xdr:ext cx="1699468" cy="504272"/>
    <xdr:pic>
      <xdr:nvPicPr>
        <xdr:cNvPr id="292" name="Imagen 291">
          <a:extLst>
            <a:ext uri="{FF2B5EF4-FFF2-40B4-BE49-F238E27FC236}">
              <a16:creationId xmlns:a16="http://schemas.microsoft.com/office/drawing/2014/main" id="{C1157FCD-BF18-4B5A-8A6C-1FFD71587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51580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2323</xdr:row>
      <xdr:rowOff>309563</xdr:rowOff>
    </xdr:from>
    <xdr:to>
      <xdr:col>8</xdr:col>
      <xdr:colOff>494110</xdr:colOff>
      <xdr:row>2323</xdr:row>
      <xdr:rowOff>317462</xdr:rowOff>
    </xdr:to>
    <xdr:cxnSp macro="">
      <xdr:nvCxnSpPr>
        <xdr:cNvPr id="293" name="Conector recto 292">
          <a:extLst>
            <a:ext uri="{FF2B5EF4-FFF2-40B4-BE49-F238E27FC236}">
              <a16:creationId xmlns:a16="http://schemas.microsoft.com/office/drawing/2014/main" id="{C8787A3E-0481-4413-8864-B9C33FD28B74}"/>
            </a:ext>
          </a:extLst>
        </xdr:cNvPr>
        <xdr:cNvCxnSpPr/>
      </xdr:nvCxnSpPr>
      <xdr:spPr>
        <a:xfrm flipV="1">
          <a:off x="3972117" y="451864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2323</xdr:row>
      <xdr:rowOff>26102</xdr:rowOff>
    </xdr:from>
    <xdr:ext cx="1699468" cy="504272"/>
    <xdr:pic>
      <xdr:nvPicPr>
        <xdr:cNvPr id="294" name="Imagen 293">
          <a:extLst>
            <a:ext uri="{FF2B5EF4-FFF2-40B4-BE49-F238E27FC236}">
              <a16:creationId xmlns:a16="http://schemas.microsoft.com/office/drawing/2014/main" id="{4086108C-6AFD-4267-8EA0-66408EC47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51580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2323</xdr:row>
      <xdr:rowOff>309563</xdr:rowOff>
    </xdr:from>
    <xdr:to>
      <xdr:col>8</xdr:col>
      <xdr:colOff>494110</xdr:colOff>
      <xdr:row>2323</xdr:row>
      <xdr:rowOff>317462</xdr:rowOff>
    </xdr:to>
    <xdr:cxnSp macro="">
      <xdr:nvCxnSpPr>
        <xdr:cNvPr id="295" name="Conector recto 294">
          <a:extLst>
            <a:ext uri="{FF2B5EF4-FFF2-40B4-BE49-F238E27FC236}">
              <a16:creationId xmlns:a16="http://schemas.microsoft.com/office/drawing/2014/main" id="{5DF55AE0-2243-448A-8B27-732424F81996}"/>
            </a:ext>
          </a:extLst>
        </xdr:cNvPr>
        <xdr:cNvCxnSpPr/>
      </xdr:nvCxnSpPr>
      <xdr:spPr>
        <a:xfrm flipV="1">
          <a:off x="3972117" y="451864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2323</xdr:row>
      <xdr:rowOff>26102</xdr:rowOff>
    </xdr:from>
    <xdr:ext cx="1699468" cy="504272"/>
    <xdr:pic>
      <xdr:nvPicPr>
        <xdr:cNvPr id="296" name="Imagen 295">
          <a:extLst>
            <a:ext uri="{FF2B5EF4-FFF2-40B4-BE49-F238E27FC236}">
              <a16:creationId xmlns:a16="http://schemas.microsoft.com/office/drawing/2014/main" id="{F3B44F21-70DF-452F-8935-50A2C16D0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51580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2323</xdr:row>
      <xdr:rowOff>309563</xdr:rowOff>
    </xdr:from>
    <xdr:to>
      <xdr:col>8</xdr:col>
      <xdr:colOff>494110</xdr:colOff>
      <xdr:row>2323</xdr:row>
      <xdr:rowOff>317462</xdr:rowOff>
    </xdr:to>
    <xdr:cxnSp macro="">
      <xdr:nvCxnSpPr>
        <xdr:cNvPr id="297" name="Conector recto 296">
          <a:extLst>
            <a:ext uri="{FF2B5EF4-FFF2-40B4-BE49-F238E27FC236}">
              <a16:creationId xmlns:a16="http://schemas.microsoft.com/office/drawing/2014/main" id="{346EA5DF-1509-4174-8668-A8B786A0E575}"/>
            </a:ext>
          </a:extLst>
        </xdr:cNvPr>
        <xdr:cNvCxnSpPr/>
      </xdr:nvCxnSpPr>
      <xdr:spPr>
        <a:xfrm flipV="1">
          <a:off x="3972117" y="451864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2323</xdr:row>
      <xdr:rowOff>26102</xdr:rowOff>
    </xdr:from>
    <xdr:ext cx="1699468" cy="504272"/>
    <xdr:pic>
      <xdr:nvPicPr>
        <xdr:cNvPr id="298" name="Imagen 297">
          <a:extLst>
            <a:ext uri="{FF2B5EF4-FFF2-40B4-BE49-F238E27FC236}">
              <a16:creationId xmlns:a16="http://schemas.microsoft.com/office/drawing/2014/main" id="{DA8365F6-0C42-4C9C-93CB-F9FDDCC1C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51580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2323</xdr:row>
      <xdr:rowOff>309563</xdr:rowOff>
    </xdr:from>
    <xdr:to>
      <xdr:col>8</xdr:col>
      <xdr:colOff>494110</xdr:colOff>
      <xdr:row>2323</xdr:row>
      <xdr:rowOff>317462</xdr:rowOff>
    </xdr:to>
    <xdr:cxnSp macro="">
      <xdr:nvCxnSpPr>
        <xdr:cNvPr id="299" name="Conector recto 298">
          <a:extLst>
            <a:ext uri="{FF2B5EF4-FFF2-40B4-BE49-F238E27FC236}">
              <a16:creationId xmlns:a16="http://schemas.microsoft.com/office/drawing/2014/main" id="{72B71BBE-B710-4B1A-B973-FDA079B86D9C}"/>
            </a:ext>
          </a:extLst>
        </xdr:cNvPr>
        <xdr:cNvCxnSpPr/>
      </xdr:nvCxnSpPr>
      <xdr:spPr>
        <a:xfrm flipV="1">
          <a:off x="3972117" y="451864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2323</xdr:row>
      <xdr:rowOff>26102</xdr:rowOff>
    </xdr:from>
    <xdr:ext cx="1699468" cy="504272"/>
    <xdr:pic>
      <xdr:nvPicPr>
        <xdr:cNvPr id="300" name="Imagen 299">
          <a:extLst>
            <a:ext uri="{FF2B5EF4-FFF2-40B4-BE49-F238E27FC236}">
              <a16:creationId xmlns:a16="http://schemas.microsoft.com/office/drawing/2014/main" id="{B8F551B7-63D3-41E3-8CCA-99EEFA740C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51580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2323</xdr:row>
      <xdr:rowOff>309563</xdr:rowOff>
    </xdr:from>
    <xdr:to>
      <xdr:col>8</xdr:col>
      <xdr:colOff>494110</xdr:colOff>
      <xdr:row>2323</xdr:row>
      <xdr:rowOff>317462</xdr:rowOff>
    </xdr:to>
    <xdr:cxnSp macro="">
      <xdr:nvCxnSpPr>
        <xdr:cNvPr id="301" name="Conector recto 300">
          <a:extLst>
            <a:ext uri="{FF2B5EF4-FFF2-40B4-BE49-F238E27FC236}">
              <a16:creationId xmlns:a16="http://schemas.microsoft.com/office/drawing/2014/main" id="{5025DBD5-C9EC-4DB2-9D7B-B83D8E2E2490}"/>
            </a:ext>
          </a:extLst>
        </xdr:cNvPr>
        <xdr:cNvCxnSpPr/>
      </xdr:nvCxnSpPr>
      <xdr:spPr>
        <a:xfrm flipV="1">
          <a:off x="3972117" y="451864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2368</xdr:row>
      <xdr:rowOff>26102</xdr:rowOff>
    </xdr:from>
    <xdr:ext cx="1699468" cy="504272"/>
    <xdr:pic>
      <xdr:nvPicPr>
        <xdr:cNvPr id="302" name="Imagen 301">
          <a:extLst>
            <a:ext uri="{FF2B5EF4-FFF2-40B4-BE49-F238E27FC236}">
              <a16:creationId xmlns:a16="http://schemas.microsoft.com/office/drawing/2014/main" id="{B6A6323B-ECB3-43F8-9A76-AC9E057FE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0540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2368</xdr:row>
      <xdr:rowOff>309563</xdr:rowOff>
    </xdr:from>
    <xdr:to>
      <xdr:col>8</xdr:col>
      <xdr:colOff>494110</xdr:colOff>
      <xdr:row>2368</xdr:row>
      <xdr:rowOff>317462</xdr:rowOff>
    </xdr:to>
    <xdr:cxnSp macro="">
      <xdr:nvCxnSpPr>
        <xdr:cNvPr id="303" name="Conector recto 302">
          <a:extLst>
            <a:ext uri="{FF2B5EF4-FFF2-40B4-BE49-F238E27FC236}">
              <a16:creationId xmlns:a16="http://schemas.microsoft.com/office/drawing/2014/main" id="{2E0F101D-F222-40D0-9075-DBFB77A3C232}"/>
            </a:ext>
          </a:extLst>
        </xdr:cNvPr>
        <xdr:cNvCxnSpPr/>
      </xdr:nvCxnSpPr>
      <xdr:spPr>
        <a:xfrm flipV="1">
          <a:off x="3972117" y="460824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2368</xdr:row>
      <xdr:rowOff>26102</xdr:rowOff>
    </xdr:from>
    <xdr:ext cx="1699468" cy="504272"/>
    <xdr:pic>
      <xdr:nvPicPr>
        <xdr:cNvPr id="304" name="Imagen 303">
          <a:extLst>
            <a:ext uri="{FF2B5EF4-FFF2-40B4-BE49-F238E27FC236}">
              <a16:creationId xmlns:a16="http://schemas.microsoft.com/office/drawing/2014/main" id="{50B84560-768B-4DF8-BE8E-EC3DBCFAE0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0540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2368</xdr:row>
      <xdr:rowOff>309563</xdr:rowOff>
    </xdr:from>
    <xdr:to>
      <xdr:col>8</xdr:col>
      <xdr:colOff>494110</xdr:colOff>
      <xdr:row>2368</xdr:row>
      <xdr:rowOff>317462</xdr:rowOff>
    </xdr:to>
    <xdr:cxnSp macro="">
      <xdr:nvCxnSpPr>
        <xdr:cNvPr id="305" name="Conector recto 304">
          <a:extLst>
            <a:ext uri="{FF2B5EF4-FFF2-40B4-BE49-F238E27FC236}">
              <a16:creationId xmlns:a16="http://schemas.microsoft.com/office/drawing/2014/main" id="{80DC96D4-2703-4CD8-9D2C-05CE1DA5E120}"/>
            </a:ext>
          </a:extLst>
        </xdr:cNvPr>
        <xdr:cNvCxnSpPr/>
      </xdr:nvCxnSpPr>
      <xdr:spPr>
        <a:xfrm flipV="1">
          <a:off x="3972117" y="460824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2368</xdr:row>
      <xdr:rowOff>26102</xdr:rowOff>
    </xdr:from>
    <xdr:ext cx="1699468" cy="504272"/>
    <xdr:pic>
      <xdr:nvPicPr>
        <xdr:cNvPr id="306" name="Imagen 305">
          <a:extLst>
            <a:ext uri="{FF2B5EF4-FFF2-40B4-BE49-F238E27FC236}">
              <a16:creationId xmlns:a16="http://schemas.microsoft.com/office/drawing/2014/main" id="{4A5DFFF3-3C1A-4096-9962-F14468725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0540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2368</xdr:row>
      <xdr:rowOff>309563</xdr:rowOff>
    </xdr:from>
    <xdr:to>
      <xdr:col>8</xdr:col>
      <xdr:colOff>494110</xdr:colOff>
      <xdr:row>2368</xdr:row>
      <xdr:rowOff>317462</xdr:rowOff>
    </xdr:to>
    <xdr:cxnSp macro="">
      <xdr:nvCxnSpPr>
        <xdr:cNvPr id="307" name="Conector recto 306">
          <a:extLst>
            <a:ext uri="{FF2B5EF4-FFF2-40B4-BE49-F238E27FC236}">
              <a16:creationId xmlns:a16="http://schemas.microsoft.com/office/drawing/2014/main" id="{48323FB6-1D0D-4D87-899C-2F9EE59077DF}"/>
            </a:ext>
          </a:extLst>
        </xdr:cNvPr>
        <xdr:cNvCxnSpPr/>
      </xdr:nvCxnSpPr>
      <xdr:spPr>
        <a:xfrm flipV="1">
          <a:off x="3972117" y="460824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2368</xdr:row>
      <xdr:rowOff>26102</xdr:rowOff>
    </xdr:from>
    <xdr:ext cx="1699468" cy="504272"/>
    <xdr:pic>
      <xdr:nvPicPr>
        <xdr:cNvPr id="308" name="Imagen 307">
          <a:extLst>
            <a:ext uri="{FF2B5EF4-FFF2-40B4-BE49-F238E27FC236}">
              <a16:creationId xmlns:a16="http://schemas.microsoft.com/office/drawing/2014/main" id="{06F9D437-D275-4672-9D52-0E51D0732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0540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2368</xdr:row>
      <xdr:rowOff>309563</xdr:rowOff>
    </xdr:from>
    <xdr:to>
      <xdr:col>8</xdr:col>
      <xdr:colOff>494110</xdr:colOff>
      <xdr:row>2368</xdr:row>
      <xdr:rowOff>317462</xdr:rowOff>
    </xdr:to>
    <xdr:cxnSp macro="">
      <xdr:nvCxnSpPr>
        <xdr:cNvPr id="309" name="Conector recto 308">
          <a:extLst>
            <a:ext uri="{FF2B5EF4-FFF2-40B4-BE49-F238E27FC236}">
              <a16:creationId xmlns:a16="http://schemas.microsoft.com/office/drawing/2014/main" id="{5559A2C2-AA77-4C0B-9F54-5FC7E0CB53EC}"/>
            </a:ext>
          </a:extLst>
        </xdr:cNvPr>
        <xdr:cNvCxnSpPr/>
      </xdr:nvCxnSpPr>
      <xdr:spPr>
        <a:xfrm flipV="1">
          <a:off x="3972117" y="460824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2368</xdr:row>
      <xdr:rowOff>26102</xdr:rowOff>
    </xdr:from>
    <xdr:ext cx="1699468" cy="504272"/>
    <xdr:pic>
      <xdr:nvPicPr>
        <xdr:cNvPr id="310" name="Imagen 309">
          <a:extLst>
            <a:ext uri="{FF2B5EF4-FFF2-40B4-BE49-F238E27FC236}">
              <a16:creationId xmlns:a16="http://schemas.microsoft.com/office/drawing/2014/main" id="{9FA5D832-F50E-4F98-9AD3-41A456A81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0540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2368</xdr:row>
      <xdr:rowOff>309563</xdr:rowOff>
    </xdr:from>
    <xdr:to>
      <xdr:col>8</xdr:col>
      <xdr:colOff>494110</xdr:colOff>
      <xdr:row>2368</xdr:row>
      <xdr:rowOff>317462</xdr:rowOff>
    </xdr:to>
    <xdr:cxnSp macro="">
      <xdr:nvCxnSpPr>
        <xdr:cNvPr id="311" name="Conector recto 310">
          <a:extLst>
            <a:ext uri="{FF2B5EF4-FFF2-40B4-BE49-F238E27FC236}">
              <a16:creationId xmlns:a16="http://schemas.microsoft.com/office/drawing/2014/main" id="{06EEDAF7-C66F-4AB5-A1F3-F167BBAEB576}"/>
            </a:ext>
          </a:extLst>
        </xdr:cNvPr>
        <xdr:cNvCxnSpPr/>
      </xdr:nvCxnSpPr>
      <xdr:spPr>
        <a:xfrm flipV="1">
          <a:off x="3972117" y="460824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2368</xdr:row>
      <xdr:rowOff>26102</xdr:rowOff>
    </xdr:from>
    <xdr:ext cx="1699468" cy="504272"/>
    <xdr:pic>
      <xdr:nvPicPr>
        <xdr:cNvPr id="312" name="Imagen 311">
          <a:extLst>
            <a:ext uri="{FF2B5EF4-FFF2-40B4-BE49-F238E27FC236}">
              <a16:creationId xmlns:a16="http://schemas.microsoft.com/office/drawing/2014/main" id="{D1668DFB-402E-4E0E-B6ED-9FF55D677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0540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2368</xdr:row>
      <xdr:rowOff>309563</xdr:rowOff>
    </xdr:from>
    <xdr:to>
      <xdr:col>8</xdr:col>
      <xdr:colOff>494110</xdr:colOff>
      <xdr:row>2368</xdr:row>
      <xdr:rowOff>317462</xdr:rowOff>
    </xdr:to>
    <xdr:cxnSp macro="">
      <xdr:nvCxnSpPr>
        <xdr:cNvPr id="313" name="Conector recto 312">
          <a:extLst>
            <a:ext uri="{FF2B5EF4-FFF2-40B4-BE49-F238E27FC236}">
              <a16:creationId xmlns:a16="http://schemas.microsoft.com/office/drawing/2014/main" id="{B97E47CE-D16D-4C69-B861-B17BDA292FC5}"/>
            </a:ext>
          </a:extLst>
        </xdr:cNvPr>
        <xdr:cNvCxnSpPr/>
      </xdr:nvCxnSpPr>
      <xdr:spPr>
        <a:xfrm flipV="1">
          <a:off x="3972117" y="460824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2368</xdr:row>
      <xdr:rowOff>26102</xdr:rowOff>
    </xdr:from>
    <xdr:ext cx="1699468" cy="504272"/>
    <xdr:pic>
      <xdr:nvPicPr>
        <xdr:cNvPr id="314" name="Imagen 313">
          <a:extLst>
            <a:ext uri="{FF2B5EF4-FFF2-40B4-BE49-F238E27FC236}">
              <a16:creationId xmlns:a16="http://schemas.microsoft.com/office/drawing/2014/main" id="{5DD605CF-F23C-45E2-BAEC-960F189CA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0540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2368</xdr:row>
      <xdr:rowOff>309563</xdr:rowOff>
    </xdr:from>
    <xdr:to>
      <xdr:col>8</xdr:col>
      <xdr:colOff>494110</xdr:colOff>
      <xdr:row>2368</xdr:row>
      <xdr:rowOff>317462</xdr:rowOff>
    </xdr:to>
    <xdr:cxnSp macro="">
      <xdr:nvCxnSpPr>
        <xdr:cNvPr id="315" name="Conector recto 314">
          <a:extLst>
            <a:ext uri="{FF2B5EF4-FFF2-40B4-BE49-F238E27FC236}">
              <a16:creationId xmlns:a16="http://schemas.microsoft.com/office/drawing/2014/main" id="{35913EF7-F412-4ABC-BB97-5E4D9D9A4FE6}"/>
            </a:ext>
          </a:extLst>
        </xdr:cNvPr>
        <xdr:cNvCxnSpPr/>
      </xdr:nvCxnSpPr>
      <xdr:spPr>
        <a:xfrm flipV="1">
          <a:off x="3972117" y="460824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2413</xdr:row>
      <xdr:rowOff>26102</xdr:rowOff>
    </xdr:from>
    <xdr:ext cx="1699468" cy="504272"/>
    <xdr:pic>
      <xdr:nvPicPr>
        <xdr:cNvPr id="316" name="Imagen 315">
          <a:extLst>
            <a:ext uri="{FF2B5EF4-FFF2-40B4-BE49-F238E27FC236}">
              <a16:creationId xmlns:a16="http://schemas.microsoft.com/office/drawing/2014/main" id="{3E0C0A31-D899-47DD-AE2B-CDB8CC4B5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9468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2413</xdr:row>
      <xdr:rowOff>309563</xdr:rowOff>
    </xdr:from>
    <xdr:to>
      <xdr:col>8</xdr:col>
      <xdr:colOff>494110</xdr:colOff>
      <xdr:row>2413</xdr:row>
      <xdr:rowOff>317462</xdr:rowOff>
    </xdr:to>
    <xdr:cxnSp macro="">
      <xdr:nvCxnSpPr>
        <xdr:cNvPr id="317" name="Conector recto 316">
          <a:extLst>
            <a:ext uri="{FF2B5EF4-FFF2-40B4-BE49-F238E27FC236}">
              <a16:creationId xmlns:a16="http://schemas.microsoft.com/office/drawing/2014/main" id="{3D5F1B17-14EF-454C-BE3C-9B218C67A6AD}"/>
            </a:ext>
          </a:extLst>
        </xdr:cNvPr>
        <xdr:cNvCxnSpPr/>
      </xdr:nvCxnSpPr>
      <xdr:spPr>
        <a:xfrm flipV="1">
          <a:off x="3972117" y="469752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2413</xdr:row>
      <xdr:rowOff>26102</xdr:rowOff>
    </xdr:from>
    <xdr:ext cx="1699468" cy="504272"/>
    <xdr:pic>
      <xdr:nvPicPr>
        <xdr:cNvPr id="318" name="Imagen 317">
          <a:extLst>
            <a:ext uri="{FF2B5EF4-FFF2-40B4-BE49-F238E27FC236}">
              <a16:creationId xmlns:a16="http://schemas.microsoft.com/office/drawing/2014/main" id="{4C99F26B-BFC6-4B3C-A1B7-1CECB20CB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9468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2413</xdr:row>
      <xdr:rowOff>309563</xdr:rowOff>
    </xdr:from>
    <xdr:to>
      <xdr:col>8</xdr:col>
      <xdr:colOff>494110</xdr:colOff>
      <xdr:row>2413</xdr:row>
      <xdr:rowOff>317462</xdr:rowOff>
    </xdr:to>
    <xdr:cxnSp macro="">
      <xdr:nvCxnSpPr>
        <xdr:cNvPr id="319" name="Conector recto 318">
          <a:extLst>
            <a:ext uri="{FF2B5EF4-FFF2-40B4-BE49-F238E27FC236}">
              <a16:creationId xmlns:a16="http://schemas.microsoft.com/office/drawing/2014/main" id="{9679E07C-D86A-4D67-9DFD-AE9A52487C78}"/>
            </a:ext>
          </a:extLst>
        </xdr:cNvPr>
        <xdr:cNvCxnSpPr/>
      </xdr:nvCxnSpPr>
      <xdr:spPr>
        <a:xfrm flipV="1">
          <a:off x="3972117" y="469752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2413</xdr:row>
      <xdr:rowOff>26102</xdr:rowOff>
    </xdr:from>
    <xdr:ext cx="1699468" cy="504272"/>
    <xdr:pic>
      <xdr:nvPicPr>
        <xdr:cNvPr id="320" name="Imagen 319">
          <a:extLst>
            <a:ext uri="{FF2B5EF4-FFF2-40B4-BE49-F238E27FC236}">
              <a16:creationId xmlns:a16="http://schemas.microsoft.com/office/drawing/2014/main" id="{19401418-26F7-4DEB-8042-A53A7447DC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9468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2413</xdr:row>
      <xdr:rowOff>309563</xdr:rowOff>
    </xdr:from>
    <xdr:to>
      <xdr:col>8</xdr:col>
      <xdr:colOff>494110</xdr:colOff>
      <xdr:row>2413</xdr:row>
      <xdr:rowOff>317462</xdr:rowOff>
    </xdr:to>
    <xdr:cxnSp macro="">
      <xdr:nvCxnSpPr>
        <xdr:cNvPr id="321" name="Conector recto 320">
          <a:extLst>
            <a:ext uri="{FF2B5EF4-FFF2-40B4-BE49-F238E27FC236}">
              <a16:creationId xmlns:a16="http://schemas.microsoft.com/office/drawing/2014/main" id="{DC804BF5-53EB-4411-8C22-23EE68AB895D}"/>
            </a:ext>
          </a:extLst>
        </xdr:cNvPr>
        <xdr:cNvCxnSpPr/>
      </xdr:nvCxnSpPr>
      <xdr:spPr>
        <a:xfrm flipV="1">
          <a:off x="3972117" y="469752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2413</xdr:row>
      <xdr:rowOff>26102</xdr:rowOff>
    </xdr:from>
    <xdr:ext cx="1699468" cy="504272"/>
    <xdr:pic>
      <xdr:nvPicPr>
        <xdr:cNvPr id="322" name="Imagen 321">
          <a:extLst>
            <a:ext uri="{FF2B5EF4-FFF2-40B4-BE49-F238E27FC236}">
              <a16:creationId xmlns:a16="http://schemas.microsoft.com/office/drawing/2014/main" id="{5C181655-0647-4DEB-A70B-25B1617B4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9468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2413</xdr:row>
      <xdr:rowOff>309563</xdr:rowOff>
    </xdr:from>
    <xdr:to>
      <xdr:col>8</xdr:col>
      <xdr:colOff>494110</xdr:colOff>
      <xdr:row>2413</xdr:row>
      <xdr:rowOff>317462</xdr:rowOff>
    </xdr:to>
    <xdr:cxnSp macro="">
      <xdr:nvCxnSpPr>
        <xdr:cNvPr id="323" name="Conector recto 322">
          <a:extLst>
            <a:ext uri="{FF2B5EF4-FFF2-40B4-BE49-F238E27FC236}">
              <a16:creationId xmlns:a16="http://schemas.microsoft.com/office/drawing/2014/main" id="{90C6ACD7-5B1D-4495-A5DE-B7AE3A056EB7}"/>
            </a:ext>
          </a:extLst>
        </xdr:cNvPr>
        <xdr:cNvCxnSpPr/>
      </xdr:nvCxnSpPr>
      <xdr:spPr>
        <a:xfrm flipV="1">
          <a:off x="3972117" y="469752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2413</xdr:row>
      <xdr:rowOff>26102</xdr:rowOff>
    </xdr:from>
    <xdr:ext cx="1699468" cy="504272"/>
    <xdr:pic>
      <xdr:nvPicPr>
        <xdr:cNvPr id="324" name="Imagen 323">
          <a:extLst>
            <a:ext uri="{FF2B5EF4-FFF2-40B4-BE49-F238E27FC236}">
              <a16:creationId xmlns:a16="http://schemas.microsoft.com/office/drawing/2014/main" id="{D0EAE75C-CB01-413A-BB22-A951DD440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9468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2413</xdr:row>
      <xdr:rowOff>309563</xdr:rowOff>
    </xdr:from>
    <xdr:to>
      <xdr:col>8</xdr:col>
      <xdr:colOff>494110</xdr:colOff>
      <xdr:row>2413</xdr:row>
      <xdr:rowOff>317462</xdr:rowOff>
    </xdr:to>
    <xdr:cxnSp macro="">
      <xdr:nvCxnSpPr>
        <xdr:cNvPr id="325" name="Conector recto 324">
          <a:extLst>
            <a:ext uri="{FF2B5EF4-FFF2-40B4-BE49-F238E27FC236}">
              <a16:creationId xmlns:a16="http://schemas.microsoft.com/office/drawing/2014/main" id="{57EBF57A-3ABD-4A4F-8EB9-9F82B84D4AB6}"/>
            </a:ext>
          </a:extLst>
        </xdr:cNvPr>
        <xdr:cNvCxnSpPr/>
      </xdr:nvCxnSpPr>
      <xdr:spPr>
        <a:xfrm flipV="1">
          <a:off x="3972117" y="469752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2413</xdr:row>
      <xdr:rowOff>26102</xdr:rowOff>
    </xdr:from>
    <xdr:ext cx="1699468" cy="504272"/>
    <xdr:pic>
      <xdr:nvPicPr>
        <xdr:cNvPr id="326" name="Imagen 325">
          <a:extLst>
            <a:ext uri="{FF2B5EF4-FFF2-40B4-BE49-F238E27FC236}">
              <a16:creationId xmlns:a16="http://schemas.microsoft.com/office/drawing/2014/main" id="{27BD7F38-C776-4647-8799-14DB7534F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9468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2413</xdr:row>
      <xdr:rowOff>309563</xdr:rowOff>
    </xdr:from>
    <xdr:to>
      <xdr:col>8</xdr:col>
      <xdr:colOff>494110</xdr:colOff>
      <xdr:row>2413</xdr:row>
      <xdr:rowOff>317462</xdr:rowOff>
    </xdr:to>
    <xdr:cxnSp macro="">
      <xdr:nvCxnSpPr>
        <xdr:cNvPr id="327" name="Conector recto 326">
          <a:extLst>
            <a:ext uri="{FF2B5EF4-FFF2-40B4-BE49-F238E27FC236}">
              <a16:creationId xmlns:a16="http://schemas.microsoft.com/office/drawing/2014/main" id="{C2728E51-10D8-4809-AE3F-DF97F52C5582}"/>
            </a:ext>
          </a:extLst>
        </xdr:cNvPr>
        <xdr:cNvCxnSpPr/>
      </xdr:nvCxnSpPr>
      <xdr:spPr>
        <a:xfrm flipV="1">
          <a:off x="3972117" y="469752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2413</xdr:row>
      <xdr:rowOff>26102</xdr:rowOff>
    </xdr:from>
    <xdr:ext cx="1699468" cy="504272"/>
    <xdr:pic>
      <xdr:nvPicPr>
        <xdr:cNvPr id="328" name="Imagen 327">
          <a:extLst>
            <a:ext uri="{FF2B5EF4-FFF2-40B4-BE49-F238E27FC236}">
              <a16:creationId xmlns:a16="http://schemas.microsoft.com/office/drawing/2014/main" id="{B393B136-8A7C-4B5F-A71C-DBCD47BC1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69468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2413</xdr:row>
      <xdr:rowOff>309563</xdr:rowOff>
    </xdr:from>
    <xdr:to>
      <xdr:col>8</xdr:col>
      <xdr:colOff>494110</xdr:colOff>
      <xdr:row>2413</xdr:row>
      <xdr:rowOff>317462</xdr:rowOff>
    </xdr:to>
    <xdr:cxnSp macro="">
      <xdr:nvCxnSpPr>
        <xdr:cNvPr id="329" name="Conector recto 328">
          <a:extLst>
            <a:ext uri="{FF2B5EF4-FFF2-40B4-BE49-F238E27FC236}">
              <a16:creationId xmlns:a16="http://schemas.microsoft.com/office/drawing/2014/main" id="{D840C5A8-690C-4AD8-8493-EF89B55195D7}"/>
            </a:ext>
          </a:extLst>
        </xdr:cNvPr>
        <xdr:cNvCxnSpPr/>
      </xdr:nvCxnSpPr>
      <xdr:spPr>
        <a:xfrm flipV="1">
          <a:off x="3972117" y="469752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2458</xdr:row>
      <xdr:rowOff>26102</xdr:rowOff>
    </xdr:from>
    <xdr:ext cx="1699468" cy="504272"/>
    <xdr:pic>
      <xdr:nvPicPr>
        <xdr:cNvPr id="330" name="Imagen 329">
          <a:extLst>
            <a:ext uri="{FF2B5EF4-FFF2-40B4-BE49-F238E27FC236}">
              <a16:creationId xmlns:a16="http://schemas.microsoft.com/office/drawing/2014/main" id="{892E9DD8-8973-4F75-B546-C20F21366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78397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2458</xdr:row>
      <xdr:rowOff>309563</xdr:rowOff>
    </xdr:from>
    <xdr:to>
      <xdr:col>8</xdr:col>
      <xdr:colOff>494110</xdr:colOff>
      <xdr:row>2458</xdr:row>
      <xdr:rowOff>317462</xdr:rowOff>
    </xdr:to>
    <xdr:cxnSp macro="">
      <xdr:nvCxnSpPr>
        <xdr:cNvPr id="331" name="Conector recto 330">
          <a:extLst>
            <a:ext uri="{FF2B5EF4-FFF2-40B4-BE49-F238E27FC236}">
              <a16:creationId xmlns:a16="http://schemas.microsoft.com/office/drawing/2014/main" id="{79302116-B9D2-4A47-AA30-C780BF177EA5}"/>
            </a:ext>
          </a:extLst>
        </xdr:cNvPr>
        <xdr:cNvCxnSpPr/>
      </xdr:nvCxnSpPr>
      <xdr:spPr>
        <a:xfrm flipV="1">
          <a:off x="3972117" y="478680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2458</xdr:row>
      <xdr:rowOff>26102</xdr:rowOff>
    </xdr:from>
    <xdr:ext cx="1699468" cy="504272"/>
    <xdr:pic>
      <xdr:nvPicPr>
        <xdr:cNvPr id="332" name="Imagen 331">
          <a:extLst>
            <a:ext uri="{FF2B5EF4-FFF2-40B4-BE49-F238E27FC236}">
              <a16:creationId xmlns:a16="http://schemas.microsoft.com/office/drawing/2014/main" id="{E9EAD74E-D6DF-459A-B191-B09C9BA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78397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2458</xdr:row>
      <xdr:rowOff>309563</xdr:rowOff>
    </xdr:from>
    <xdr:to>
      <xdr:col>8</xdr:col>
      <xdr:colOff>494110</xdr:colOff>
      <xdr:row>2458</xdr:row>
      <xdr:rowOff>317462</xdr:rowOff>
    </xdr:to>
    <xdr:cxnSp macro="">
      <xdr:nvCxnSpPr>
        <xdr:cNvPr id="333" name="Conector recto 332">
          <a:extLst>
            <a:ext uri="{FF2B5EF4-FFF2-40B4-BE49-F238E27FC236}">
              <a16:creationId xmlns:a16="http://schemas.microsoft.com/office/drawing/2014/main" id="{A9969E32-94DD-4C48-BC45-A7BB4AB178F2}"/>
            </a:ext>
          </a:extLst>
        </xdr:cNvPr>
        <xdr:cNvCxnSpPr/>
      </xdr:nvCxnSpPr>
      <xdr:spPr>
        <a:xfrm flipV="1">
          <a:off x="3972117" y="478680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2458</xdr:row>
      <xdr:rowOff>26102</xdr:rowOff>
    </xdr:from>
    <xdr:ext cx="1699468" cy="504272"/>
    <xdr:pic>
      <xdr:nvPicPr>
        <xdr:cNvPr id="334" name="Imagen 333">
          <a:extLst>
            <a:ext uri="{FF2B5EF4-FFF2-40B4-BE49-F238E27FC236}">
              <a16:creationId xmlns:a16="http://schemas.microsoft.com/office/drawing/2014/main" id="{09174844-2307-45F6-AF02-70D2B742C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78397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2458</xdr:row>
      <xdr:rowOff>309563</xdr:rowOff>
    </xdr:from>
    <xdr:to>
      <xdr:col>8</xdr:col>
      <xdr:colOff>494110</xdr:colOff>
      <xdr:row>2458</xdr:row>
      <xdr:rowOff>317462</xdr:rowOff>
    </xdr:to>
    <xdr:cxnSp macro="">
      <xdr:nvCxnSpPr>
        <xdr:cNvPr id="335" name="Conector recto 334">
          <a:extLst>
            <a:ext uri="{FF2B5EF4-FFF2-40B4-BE49-F238E27FC236}">
              <a16:creationId xmlns:a16="http://schemas.microsoft.com/office/drawing/2014/main" id="{9A33E253-2726-44FC-BC75-C0CC41133263}"/>
            </a:ext>
          </a:extLst>
        </xdr:cNvPr>
        <xdr:cNvCxnSpPr/>
      </xdr:nvCxnSpPr>
      <xdr:spPr>
        <a:xfrm flipV="1">
          <a:off x="3972117" y="478680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2458</xdr:row>
      <xdr:rowOff>26102</xdr:rowOff>
    </xdr:from>
    <xdr:ext cx="1699468" cy="504272"/>
    <xdr:pic>
      <xdr:nvPicPr>
        <xdr:cNvPr id="336" name="Imagen 335">
          <a:extLst>
            <a:ext uri="{FF2B5EF4-FFF2-40B4-BE49-F238E27FC236}">
              <a16:creationId xmlns:a16="http://schemas.microsoft.com/office/drawing/2014/main" id="{8A78757C-81FF-4599-A594-7815DA924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78397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2458</xdr:row>
      <xdr:rowOff>309563</xdr:rowOff>
    </xdr:from>
    <xdr:to>
      <xdr:col>8</xdr:col>
      <xdr:colOff>494110</xdr:colOff>
      <xdr:row>2458</xdr:row>
      <xdr:rowOff>317462</xdr:rowOff>
    </xdr:to>
    <xdr:cxnSp macro="">
      <xdr:nvCxnSpPr>
        <xdr:cNvPr id="337" name="Conector recto 336">
          <a:extLst>
            <a:ext uri="{FF2B5EF4-FFF2-40B4-BE49-F238E27FC236}">
              <a16:creationId xmlns:a16="http://schemas.microsoft.com/office/drawing/2014/main" id="{370AD3B9-3E69-49F7-B927-C19E6587B271}"/>
            </a:ext>
          </a:extLst>
        </xdr:cNvPr>
        <xdr:cNvCxnSpPr/>
      </xdr:nvCxnSpPr>
      <xdr:spPr>
        <a:xfrm flipV="1">
          <a:off x="3972117" y="478680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2458</xdr:row>
      <xdr:rowOff>26102</xdr:rowOff>
    </xdr:from>
    <xdr:ext cx="1699468" cy="504272"/>
    <xdr:pic>
      <xdr:nvPicPr>
        <xdr:cNvPr id="338" name="Imagen 337">
          <a:extLst>
            <a:ext uri="{FF2B5EF4-FFF2-40B4-BE49-F238E27FC236}">
              <a16:creationId xmlns:a16="http://schemas.microsoft.com/office/drawing/2014/main" id="{BF3E5CDE-3A4E-4C58-9EF5-02439F1BB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78397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2458</xdr:row>
      <xdr:rowOff>309563</xdr:rowOff>
    </xdr:from>
    <xdr:to>
      <xdr:col>8</xdr:col>
      <xdr:colOff>494110</xdr:colOff>
      <xdr:row>2458</xdr:row>
      <xdr:rowOff>317462</xdr:rowOff>
    </xdr:to>
    <xdr:cxnSp macro="">
      <xdr:nvCxnSpPr>
        <xdr:cNvPr id="339" name="Conector recto 338">
          <a:extLst>
            <a:ext uri="{FF2B5EF4-FFF2-40B4-BE49-F238E27FC236}">
              <a16:creationId xmlns:a16="http://schemas.microsoft.com/office/drawing/2014/main" id="{C5BB62F4-55C8-4C50-A7C0-389CF1CF3F36}"/>
            </a:ext>
          </a:extLst>
        </xdr:cNvPr>
        <xdr:cNvCxnSpPr/>
      </xdr:nvCxnSpPr>
      <xdr:spPr>
        <a:xfrm flipV="1">
          <a:off x="3972117" y="478680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2458</xdr:row>
      <xdr:rowOff>26102</xdr:rowOff>
    </xdr:from>
    <xdr:ext cx="1699468" cy="504272"/>
    <xdr:pic>
      <xdr:nvPicPr>
        <xdr:cNvPr id="340" name="Imagen 339">
          <a:extLst>
            <a:ext uri="{FF2B5EF4-FFF2-40B4-BE49-F238E27FC236}">
              <a16:creationId xmlns:a16="http://schemas.microsoft.com/office/drawing/2014/main" id="{279A6D92-A65D-4F6A-89B5-AD0EBD4A6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78397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2458</xdr:row>
      <xdr:rowOff>309563</xdr:rowOff>
    </xdr:from>
    <xdr:to>
      <xdr:col>8</xdr:col>
      <xdr:colOff>494110</xdr:colOff>
      <xdr:row>2458</xdr:row>
      <xdr:rowOff>317462</xdr:rowOff>
    </xdr:to>
    <xdr:cxnSp macro="">
      <xdr:nvCxnSpPr>
        <xdr:cNvPr id="341" name="Conector recto 340">
          <a:extLst>
            <a:ext uri="{FF2B5EF4-FFF2-40B4-BE49-F238E27FC236}">
              <a16:creationId xmlns:a16="http://schemas.microsoft.com/office/drawing/2014/main" id="{3BD64A7D-792C-4A66-BAD7-005B5135437A}"/>
            </a:ext>
          </a:extLst>
        </xdr:cNvPr>
        <xdr:cNvCxnSpPr/>
      </xdr:nvCxnSpPr>
      <xdr:spPr>
        <a:xfrm flipV="1">
          <a:off x="3972117" y="478680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2458</xdr:row>
      <xdr:rowOff>26102</xdr:rowOff>
    </xdr:from>
    <xdr:ext cx="1699468" cy="504272"/>
    <xdr:pic>
      <xdr:nvPicPr>
        <xdr:cNvPr id="342" name="Imagen 341">
          <a:extLst>
            <a:ext uri="{FF2B5EF4-FFF2-40B4-BE49-F238E27FC236}">
              <a16:creationId xmlns:a16="http://schemas.microsoft.com/office/drawing/2014/main" id="{EBA3BFD2-4505-4928-B0D2-DE8676FB8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78397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2458</xdr:row>
      <xdr:rowOff>309563</xdr:rowOff>
    </xdr:from>
    <xdr:to>
      <xdr:col>8</xdr:col>
      <xdr:colOff>494110</xdr:colOff>
      <xdr:row>2458</xdr:row>
      <xdr:rowOff>317462</xdr:rowOff>
    </xdr:to>
    <xdr:cxnSp macro="">
      <xdr:nvCxnSpPr>
        <xdr:cNvPr id="343" name="Conector recto 342">
          <a:extLst>
            <a:ext uri="{FF2B5EF4-FFF2-40B4-BE49-F238E27FC236}">
              <a16:creationId xmlns:a16="http://schemas.microsoft.com/office/drawing/2014/main" id="{35FBE34E-4211-4256-A77E-F411A9B0FE07}"/>
            </a:ext>
          </a:extLst>
        </xdr:cNvPr>
        <xdr:cNvCxnSpPr/>
      </xdr:nvCxnSpPr>
      <xdr:spPr>
        <a:xfrm flipV="1">
          <a:off x="3972117" y="478680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2503</xdr:row>
      <xdr:rowOff>26102</xdr:rowOff>
    </xdr:from>
    <xdr:ext cx="1699468" cy="504272"/>
    <xdr:pic>
      <xdr:nvPicPr>
        <xdr:cNvPr id="344" name="Imagen 343">
          <a:extLst>
            <a:ext uri="{FF2B5EF4-FFF2-40B4-BE49-F238E27FC236}">
              <a16:creationId xmlns:a16="http://schemas.microsoft.com/office/drawing/2014/main" id="{4C2DD5FB-01CE-4A4D-ABFA-AFE61EB4A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87325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2503</xdr:row>
      <xdr:rowOff>309563</xdr:rowOff>
    </xdr:from>
    <xdr:to>
      <xdr:col>8</xdr:col>
      <xdr:colOff>494110</xdr:colOff>
      <xdr:row>2503</xdr:row>
      <xdr:rowOff>317462</xdr:rowOff>
    </xdr:to>
    <xdr:cxnSp macro="">
      <xdr:nvCxnSpPr>
        <xdr:cNvPr id="345" name="Conector recto 344">
          <a:extLst>
            <a:ext uri="{FF2B5EF4-FFF2-40B4-BE49-F238E27FC236}">
              <a16:creationId xmlns:a16="http://schemas.microsoft.com/office/drawing/2014/main" id="{DCD9E906-6DC4-4257-9DF9-0CD5D15C887E}"/>
            </a:ext>
          </a:extLst>
        </xdr:cNvPr>
        <xdr:cNvCxnSpPr/>
      </xdr:nvCxnSpPr>
      <xdr:spPr>
        <a:xfrm flipV="1">
          <a:off x="3972117" y="487608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2503</xdr:row>
      <xdr:rowOff>26102</xdr:rowOff>
    </xdr:from>
    <xdr:ext cx="1699468" cy="504272"/>
    <xdr:pic>
      <xdr:nvPicPr>
        <xdr:cNvPr id="346" name="Imagen 345">
          <a:extLst>
            <a:ext uri="{FF2B5EF4-FFF2-40B4-BE49-F238E27FC236}">
              <a16:creationId xmlns:a16="http://schemas.microsoft.com/office/drawing/2014/main" id="{8319CC17-2C28-46F6-BA5B-6E184ECBE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87325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2503</xdr:row>
      <xdr:rowOff>309563</xdr:rowOff>
    </xdr:from>
    <xdr:to>
      <xdr:col>8</xdr:col>
      <xdr:colOff>494110</xdr:colOff>
      <xdr:row>2503</xdr:row>
      <xdr:rowOff>317462</xdr:rowOff>
    </xdr:to>
    <xdr:cxnSp macro="">
      <xdr:nvCxnSpPr>
        <xdr:cNvPr id="347" name="Conector recto 346">
          <a:extLst>
            <a:ext uri="{FF2B5EF4-FFF2-40B4-BE49-F238E27FC236}">
              <a16:creationId xmlns:a16="http://schemas.microsoft.com/office/drawing/2014/main" id="{79C00EF7-4971-4004-BBC0-E090CCDFA6A5}"/>
            </a:ext>
          </a:extLst>
        </xdr:cNvPr>
        <xdr:cNvCxnSpPr/>
      </xdr:nvCxnSpPr>
      <xdr:spPr>
        <a:xfrm flipV="1">
          <a:off x="3972117" y="487608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2503</xdr:row>
      <xdr:rowOff>26102</xdr:rowOff>
    </xdr:from>
    <xdr:ext cx="1699468" cy="504272"/>
    <xdr:pic>
      <xdr:nvPicPr>
        <xdr:cNvPr id="348" name="Imagen 347">
          <a:extLst>
            <a:ext uri="{FF2B5EF4-FFF2-40B4-BE49-F238E27FC236}">
              <a16:creationId xmlns:a16="http://schemas.microsoft.com/office/drawing/2014/main" id="{6C9307E3-9FF6-410D-BBB9-2F3D2C3FB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87325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2503</xdr:row>
      <xdr:rowOff>309563</xdr:rowOff>
    </xdr:from>
    <xdr:to>
      <xdr:col>8</xdr:col>
      <xdr:colOff>494110</xdr:colOff>
      <xdr:row>2503</xdr:row>
      <xdr:rowOff>317462</xdr:rowOff>
    </xdr:to>
    <xdr:cxnSp macro="">
      <xdr:nvCxnSpPr>
        <xdr:cNvPr id="349" name="Conector recto 348">
          <a:extLst>
            <a:ext uri="{FF2B5EF4-FFF2-40B4-BE49-F238E27FC236}">
              <a16:creationId xmlns:a16="http://schemas.microsoft.com/office/drawing/2014/main" id="{A74FA776-FE8C-4CF1-83DD-97E9812CBA22}"/>
            </a:ext>
          </a:extLst>
        </xdr:cNvPr>
        <xdr:cNvCxnSpPr/>
      </xdr:nvCxnSpPr>
      <xdr:spPr>
        <a:xfrm flipV="1">
          <a:off x="3972117" y="487608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2503</xdr:row>
      <xdr:rowOff>26102</xdr:rowOff>
    </xdr:from>
    <xdr:ext cx="1699468" cy="504272"/>
    <xdr:pic>
      <xdr:nvPicPr>
        <xdr:cNvPr id="350" name="Imagen 349">
          <a:extLst>
            <a:ext uri="{FF2B5EF4-FFF2-40B4-BE49-F238E27FC236}">
              <a16:creationId xmlns:a16="http://schemas.microsoft.com/office/drawing/2014/main" id="{581B84CC-F995-478B-8D58-85DAB885F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87325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2503</xdr:row>
      <xdr:rowOff>309563</xdr:rowOff>
    </xdr:from>
    <xdr:to>
      <xdr:col>8</xdr:col>
      <xdr:colOff>494110</xdr:colOff>
      <xdr:row>2503</xdr:row>
      <xdr:rowOff>317462</xdr:rowOff>
    </xdr:to>
    <xdr:cxnSp macro="">
      <xdr:nvCxnSpPr>
        <xdr:cNvPr id="351" name="Conector recto 350">
          <a:extLst>
            <a:ext uri="{FF2B5EF4-FFF2-40B4-BE49-F238E27FC236}">
              <a16:creationId xmlns:a16="http://schemas.microsoft.com/office/drawing/2014/main" id="{B6AD8693-AC64-4EF3-8B40-FAAAF779BC4C}"/>
            </a:ext>
          </a:extLst>
        </xdr:cNvPr>
        <xdr:cNvCxnSpPr/>
      </xdr:nvCxnSpPr>
      <xdr:spPr>
        <a:xfrm flipV="1">
          <a:off x="3972117" y="487608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2503</xdr:row>
      <xdr:rowOff>26102</xdr:rowOff>
    </xdr:from>
    <xdr:ext cx="1699468" cy="504272"/>
    <xdr:pic>
      <xdr:nvPicPr>
        <xdr:cNvPr id="352" name="Imagen 351">
          <a:extLst>
            <a:ext uri="{FF2B5EF4-FFF2-40B4-BE49-F238E27FC236}">
              <a16:creationId xmlns:a16="http://schemas.microsoft.com/office/drawing/2014/main" id="{8DB1DFB8-7609-44C6-BBF0-665A49692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87325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2503</xdr:row>
      <xdr:rowOff>309563</xdr:rowOff>
    </xdr:from>
    <xdr:to>
      <xdr:col>8</xdr:col>
      <xdr:colOff>494110</xdr:colOff>
      <xdr:row>2503</xdr:row>
      <xdr:rowOff>317462</xdr:rowOff>
    </xdr:to>
    <xdr:cxnSp macro="">
      <xdr:nvCxnSpPr>
        <xdr:cNvPr id="353" name="Conector recto 352">
          <a:extLst>
            <a:ext uri="{FF2B5EF4-FFF2-40B4-BE49-F238E27FC236}">
              <a16:creationId xmlns:a16="http://schemas.microsoft.com/office/drawing/2014/main" id="{8A9A9E84-7A81-4407-BB77-D2A751761A93}"/>
            </a:ext>
          </a:extLst>
        </xdr:cNvPr>
        <xdr:cNvCxnSpPr/>
      </xdr:nvCxnSpPr>
      <xdr:spPr>
        <a:xfrm flipV="1">
          <a:off x="3972117" y="487608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2503</xdr:row>
      <xdr:rowOff>26102</xdr:rowOff>
    </xdr:from>
    <xdr:ext cx="1699468" cy="504272"/>
    <xdr:pic>
      <xdr:nvPicPr>
        <xdr:cNvPr id="354" name="Imagen 353">
          <a:extLst>
            <a:ext uri="{FF2B5EF4-FFF2-40B4-BE49-F238E27FC236}">
              <a16:creationId xmlns:a16="http://schemas.microsoft.com/office/drawing/2014/main" id="{C5B10B1B-E7B3-4554-97D1-ECE334796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87325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2503</xdr:row>
      <xdr:rowOff>309563</xdr:rowOff>
    </xdr:from>
    <xdr:to>
      <xdr:col>8</xdr:col>
      <xdr:colOff>494110</xdr:colOff>
      <xdr:row>2503</xdr:row>
      <xdr:rowOff>317462</xdr:rowOff>
    </xdr:to>
    <xdr:cxnSp macro="">
      <xdr:nvCxnSpPr>
        <xdr:cNvPr id="355" name="Conector recto 354">
          <a:extLst>
            <a:ext uri="{FF2B5EF4-FFF2-40B4-BE49-F238E27FC236}">
              <a16:creationId xmlns:a16="http://schemas.microsoft.com/office/drawing/2014/main" id="{A964A6B5-A38A-4CBA-A1D7-0CB81624A412}"/>
            </a:ext>
          </a:extLst>
        </xdr:cNvPr>
        <xdr:cNvCxnSpPr/>
      </xdr:nvCxnSpPr>
      <xdr:spPr>
        <a:xfrm flipV="1">
          <a:off x="3972117" y="487608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2503</xdr:row>
      <xdr:rowOff>26102</xdr:rowOff>
    </xdr:from>
    <xdr:ext cx="1699468" cy="504272"/>
    <xdr:pic>
      <xdr:nvPicPr>
        <xdr:cNvPr id="356" name="Imagen 355">
          <a:extLst>
            <a:ext uri="{FF2B5EF4-FFF2-40B4-BE49-F238E27FC236}">
              <a16:creationId xmlns:a16="http://schemas.microsoft.com/office/drawing/2014/main" id="{C1D25120-2470-4CD6-A008-FED18AB91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87325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2503</xdr:row>
      <xdr:rowOff>309563</xdr:rowOff>
    </xdr:from>
    <xdr:to>
      <xdr:col>8</xdr:col>
      <xdr:colOff>494110</xdr:colOff>
      <xdr:row>2503</xdr:row>
      <xdr:rowOff>317462</xdr:rowOff>
    </xdr:to>
    <xdr:cxnSp macro="">
      <xdr:nvCxnSpPr>
        <xdr:cNvPr id="357" name="Conector recto 356">
          <a:extLst>
            <a:ext uri="{FF2B5EF4-FFF2-40B4-BE49-F238E27FC236}">
              <a16:creationId xmlns:a16="http://schemas.microsoft.com/office/drawing/2014/main" id="{44876A1B-4F03-482C-B87D-BC85F9439A01}"/>
            </a:ext>
          </a:extLst>
        </xdr:cNvPr>
        <xdr:cNvCxnSpPr/>
      </xdr:nvCxnSpPr>
      <xdr:spPr>
        <a:xfrm flipV="1">
          <a:off x="3972117" y="487608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2548</xdr:row>
      <xdr:rowOff>26102</xdr:rowOff>
    </xdr:from>
    <xdr:ext cx="1699468" cy="504272"/>
    <xdr:pic>
      <xdr:nvPicPr>
        <xdr:cNvPr id="358" name="Imagen 357">
          <a:extLst>
            <a:ext uri="{FF2B5EF4-FFF2-40B4-BE49-F238E27FC236}">
              <a16:creationId xmlns:a16="http://schemas.microsoft.com/office/drawing/2014/main" id="{7F1D6FF1-DADA-4FC5-A7CA-35830CB08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96253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2548</xdr:row>
      <xdr:rowOff>309563</xdr:rowOff>
    </xdr:from>
    <xdr:to>
      <xdr:col>8</xdr:col>
      <xdr:colOff>494110</xdr:colOff>
      <xdr:row>2548</xdr:row>
      <xdr:rowOff>317462</xdr:rowOff>
    </xdr:to>
    <xdr:cxnSp macro="">
      <xdr:nvCxnSpPr>
        <xdr:cNvPr id="359" name="Conector recto 358">
          <a:extLst>
            <a:ext uri="{FF2B5EF4-FFF2-40B4-BE49-F238E27FC236}">
              <a16:creationId xmlns:a16="http://schemas.microsoft.com/office/drawing/2014/main" id="{377F9390-E0B2-4032-A0EE-37A54DE075D8}"/>
            </a:ext>
          </a:extLst>
        </xdr:cNvPr>
        <xdr:cNvCxnSpPr/>
      </xdr:nvCxnSpPr>
      <xdr:spPr>
        <a:xfrm flipV="1">
          <a:off x="3972117" y="496536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2548</xdr:row>
      <xdr:rowOff>26102</xdr:rowOff>
    </xdr:from>
    <xdr:ext cx="1699468" cy="504272"/>
    <xdr:pic>
      <xdr:nvPicPr>
        <xdr:cNvPr id="360" name="Imagen 359">
          <a:extLst>
            <a:ext uri="{FF2B5EF4-FFF2-40B4-BE49-F238E27FC236}">
              <a16:creationId xmlns:a16="http://schemas.microsoft.com/office/drawing/2014/main" id="{36CB3498-5573-4F8F-B763-04F73C7EF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96253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2548</xdr:row>
      <xdr:rowOff>309563</xdr:rowOff>
    </xdr:from>
    <xdr:to>
      <xdr:col>8</xdr:col>
      <xdr:colOff>494110</xdr:colOff>
      <xdr:row>2548</xdr:row>
      <xdr:rowOff>317462</xdr:rowOff>
    </xdr:to>
    <xdr:cxnSp macro="">
      <xdr:nvCxnSpPr>
        <xdr:cNvPr id="361" name="Conector recto 360">
          <a:extLst>
            <a:ext uri="{FF2B5EF4-FFF2-40B4-BE49-F238E27FC236}">
              <a16:creationId xmlns:a16="http://schemas.microsoft.com/office/drawing/2014/main" id="{0A07F8C1-BC27-4BE7-892C-663075E92AC2}"/>
            </a:ext>
          </a:extLst>
        </xdr:cNvPr>
        <xdr:cNvCxnSpPr/>
      </xdr:nvCxnSpPr>
      <xdr:spPr>
        <a:xfrm flipV="1">
          <a:off x="3972117" y="496536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2548</xdr:row>
      <xdr:rowOff>26102</xdr:rowOff>
    </xdr:from>
    <xdr:ext cx="1699468" cy="504272"/>
    <xdr:pic>
      <xdr:nvPicPr>
        <xdr:cNvPr id="362" name="Imagen 361">
          <a:extLst>
            <a:ext uri="{FF2B5EF4-FFF2-40B4-BE49-F238E27FC236}">
              <a16:creationId xmlns:a16="http://schemas.microsoft.com/office/drawing/2014/main" id="{99A274C3-9C40-4FF7-AB27-A108B5AF80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96253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2548</xdr:row>
      <xdr:rowOff>309563</xdr:rowOff>
    </xdr:from>
    <xdr:to>
      <xdr:col>8</xdr:col>
      <xdr:colOff>494110</xdr:colOff>
      <xdr:row>2548</xdr:row>
      <xdr:rowOff>317462</xdr:rowOff>
    </xdr:to>
    <xdr:cxnSp macro="">
      <xdr:nvCxnSpPr>
        <xdr:cNvPr id="363" name="Conector recto 362">
          <a:extLst>
            <a:ext uri="{FF2B5EF4-FFF2-40B4-BE49-F238E27FC236}">
              <a16:creationId xmlns:a16="http://schemas.microsoft.com/office/drawing/2014/main" id="{2C936696-1C2D-4BE5-8EBB-72F0689D158C}"/>
            </a:ext>
          </a:extLst>
        </xdr:cNvPr>
        <xdr:cNvCxnSpPr/>
      </xdr:nvCxnSpPr>
      <xdr:spPr>
        <a:xfrm flipV="1">
          <a:off x="3972117" y="496536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2548</xdr:row>
      <xdr:rowOff>26102</xdr:rowOff>
    </xdr:from>
    <xdr:ext cx="1699468" cy="504272"/>
    <xdr:pic>
      <xdr:nvPicPr>
        <xdr:cNvPr id="364" name="Imagen 363">
          <a:extLst>
            <a:ext uri="{FF2B5EF4-FFF2-40B4-BE49-F238E27FC236}">
              <a16:creationId xmlns:a16="http://schemas.microsoft.com/office/drawing/2014/main" id="{DD3622E1-83EB-45E0-B3C0-CEEAE1EF6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96253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2548</xdr:row>
      <xdr:rowOff>309563</xdr:rowOff>
    </xdr:from>
    <xdr:to>
      <xdr:col>8</xdr:col>
      <xdr:colOff>494110</xdr:colOff>
      <xdr:row>2548</xdr:row>
      <xdr:rowOff>317462</xdr:rowOff>
    </xdr:to>
    <xdr:cxnSp macro="">
      <xdr:nvCxnSpPr>
        <xdr:cNvPr id="365" name="Conector recto 364">
          <a:extLst>
            <a:ext uri="{FF2B5EF4-FFF2-40B4-BE49-F238E27FC236}">
              <a16:creationId xmlns:a16="http://schemas.microsoft.com/office/drawing/2014/main" id="{528A242E-A7AE-41D3-B524-E5A99836EE2E}"/>
            </a:ext>
          </a:extLst>
        </xdr:cNvPr>
        <xdr:cNvCxnSpPr/>
      </xdr:nvCxnSpPr>
      <xdr:spPr>
        <a:xfrm flipV="1">
          <a:off x="3972117" y="496536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2548</xdr:row>
      <xdr:rowOff>26102</xdr:rowOff>
    </xdr:from>
    <xdr:ext cx="1699468" cy="504272"/>
    <xdr:pic>
      <xdr:nvPicPr>
        <xdr:cNvPr id="366" name="Imagen 365">
          <a:extLst>
            <a:ext uri="{FF2B5EF4-FFF2-40B4-BE49-F238E27FC236}">
              <a16:creationId xmlns:a16="http://schemas.microsoft.com/office/drawing/2014/main" id="{ABB11976-87EC-4C09-8A31-76FDE6611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96253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2548</xdr:row>
      <xdr:rowOff>309563</xdr:rowOff>
    </xdr:from>
    <xdr:to>
      <xdr:col>8</xdr:col>
      <xdr:colOff>494110</xdr:colOff>
      <xdr:row>2548</xdr:row>
      <xdr:rowOff>317462</xdr:rowOff>
    </xdr:to>
    <xdr:cxnSp macro="">
      <xdr:nvCxnSpPr>
        <xdr:cNvPr id="367" name="Conector recto 366">
          <a:extLst>
            <a:ext uri="{FF2B5EF4-FFF2-40B4-BE49-F238E27FC236}">
              <a16:creationId xmlns:a16="http://schemas.microsoft.com/office/drawing/2014/main" id="{2C1A2DAE-00A4-4C79-8FAC-0037E6EDC68B}"/>
            </a:ext>
          </a:extLst>
        </xdr:cNvPr>
        <xdr:cNvCxnSpPr/>
      </xdr:nvCxnSpPr>
      <xdr:spPr>
        <a:xfrm flipV="1">
          <a:off x="3972117" y="496536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2548</xdr:row>
      <xdr:rowOff>26102</xdr:rowOff>
    </xdr:from>
    <xdr:ext cx="1699468" cy="504272"/>
    <xdr:pic>
      <xdr:nvPicPr>
        <xdr:cNvPr id="368" name="Imagen 367">
          <a:extLst>
            <a:ext uri="{FF2B5EF4-FFF2-40B4-BE49-F238E27FC236}">
              <a16:creationId xmlns:a16="http://schemas.microsoft.com/office/drawing/2014/main" id="{E91A9CDB-6AB6-4E99-9998-9BA1588CF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96253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2548</xdr:row>
      <xdr:rowOff>309563</xdr:rowOff>
    </xdr:from>
    <xdr:to>
      <xdr:col>8</xdr:col>
      <xdr:colOff>494110</xdr:colOff>
      <xdr:row>2548</xdr:row>
      <xdr:rowOff>317462</xdr:rowOff>
    </xdr:to>
    <xdr:cxnSp macro="">
      <xdr:nvCxnSpPr>
        <xdr:cNvPr id="369" name="Conector recto 368">
          <a:extLst>
            <a:ext uri="{FF2B5EF4-FFF2-40B4-BE49-F238E27FC236}">
              <a16:creationId xmlns:a16="http://schemas.microsoft.com/office/drawing/2014/main" id="{FCD06C30-E981-4FF8-81DE-C25C73357F1E}"/>
            </a:ext>
          </a:extLst>
        </xdr:cNvPr>
        <xdr:cNvCxnSpPr/>
      </xdr:nvCxnSpPr>
      <xdr:spPr>
        <a:xfrm flipV="1">
          <a:off x="3972117" y="496536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2548</xdr:row>
      <xdr:rowOff>26102</xdr:rowOff>
    </xdr:from>
    <xdr:ext cx="1699468" cy="504272"/>
    <xdr:pic>
      <xdr:nvPicPr>
        <xdr:cNvPr id="370" name="Imagen 369">
          <a:extLst>
            <a:ext uri="{FF2B5EF4-FFF2-40B4-BE49-F238E27FC236}">
              <a16:creationId xmlns:a16="http://schemas.microsoft.com/office/drawing/2014/main" id="{743F5D17-1077-4654-B5CB-C45E03373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496253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2548</xdr:row>
      <xdr:rowOff>309563</xdr:rowOff>
    </xdr:from>
    <xdr:to>
      <xdr:col>8</xdr:col>
      <xdr:colOff>494110</xdr:colOff>
      <xdr:row>2548</xdr:row>
      <xdr:rowOff>317462</xdr:rowOff>
    </xdr:to>
    <xdr:cxnSp macro="">
      <xdr:nvCxnSpPr>
        <xdr:cNvPr id="371" name="Conector recto 370">
          <a:extLst>
            <a:ext uri="{FF2B5EF4-FFF2-40B4-BE49-F238E27FC236}">
              <a16:creationId xmlns:a16="http://schemas.microsoft.com/office/drawing/2014/main" id="{0E3EAD20-58FE-49F6-8518-9D49D72120E1}"/>
            </a:ext>
          </a:extLst>
        </xdr:cNvPr>
        <xdr:cNvCxnSpPr/>
      </xdr:nvCxnSpPr>
      <xdr:spPr>
        <a:xfrm flipV="1">
          <a:off x="3972117" y="496536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2593</xdr:row>
      <xdr:rowOff>26102</xdr:rowOff>
    </xdr:from>
    <xdr:ext cx="1699468" cy="504272"/>
    <xdr:pic>
      <xdr:nvPicPr>
        <xdr:cNvPr id="372" name="Imagen 371">
          <a:extLst>
            <a:ext uri="{FF2B5EF4-FFF2-40B4-BE49-F238E27FC236}">
              <a16:creationId xmlns:a16="http://schemas.microsoft.com/office/drawing/2014/main" id="{1A03B76A-1A77-4C36-9FB7-58A25AC58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04946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2593</xdr:row>
      <xdr:rowOff>309563</xdr:rowOff>
    </xdr:from>
    <xdr:to>
      <xdr:col>8</xdr:col>
      <xdr:colOff>494110</xdr:colOff>
      <xdr:row>2593</xdr:row>
      <xdr:rowOff>317462</xdr:rowOff>
    </xdr:to>
    <xdr:cxnSp macro="">
      <xdr:nvCxnSpPr>
        <xdr:cNvPr id="373" name="Conector recto 372">
          <a:extLst>
            <a:ext uri="{FF2B5EF4-FFF2-40B4-BE49-F238E27FC236}">
              <a16:creationId xmlns:a16="http://schemas.microsoft.com/office/drawing/2014/main" id="{3E02908D-3FF6-4BDA-95D4-F3D849A1A3D5}"/>
            </a:ext>
          </a:extLst>
        </xdr:cNvPr>
        <xdr:cNvCxnSpPr/>
      </xdr:nvCxnSpPr>
      <xdr:spPr>
        <a:xfrm flipV="1">
          <a:off x="3972117" y="505229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2593</xdr:row>
      <xdr:rowOff>26102</xdr:rowOff>
    </xdr:from>
    <xdr:ext cx="1699468" cy="504272"/>
    <xdr:pic>
      <xdr:nvPicPr>
        <xdr:cNvPr id="374" name="Imagen 373">
          <a:extLst>
            <a:ext uri="{FF2B5EF4-FFF2-40B4-BE49-F238E27FC236}">
              <a16:creationId xmlns:a16="http://schemas.microsoft.com/office/drawing/2014/main" id="{AF4C02CB-2DFF-4136-829F-41E9C5690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04946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2593</xdr:row>
      <xdr:rowOff>309563</xdr:rowOff>
    </xdr:from>
    <xdr:to>
      <xdr:col>8</xdr:col>
      <xdr:colOff>494110</xdr:colOff>
      <xdr:row>2593</xdr:row>
      <xdr:rowOff>317462</xdr:rowOff>
    </xdr:to>
    <xdr:cxnSp macro="">
      <xdr:nvCxnSpPr>
        <xdr:cNvPr id="375" name="Conector recto 374">
          <a:extLst>
            <a:ext uri="{FF2B5EF4-FFF2-40B4-BE49-F238E27FC236}">
              <a16:creationId xmlns:a16="http://schemas.microsoft.com/office/drawing/2014/main" id="{60525F2A-84B3-4DC9-AD16-65F3D6A5BFC8}"/>
            </a:ext>
          </a:extLst>
        </xdr:cNvPr>
        <xdr:cNvCxnSpPr/>
      </xdr:nvCxnSpPr>
      <xdr:spPr>
        <a:xfrm flipV="1">
          <a:off x="3972117" y="505229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2593</xdr:row>
      <xdr:rowOff>26102</xdr:rowOff>
    </xdr:from>
    <xdr:ext cx="1699468" cy="504272"/>
    <xdr:pic>
      <xdr:nvPicPr>
        <xdr:cNvPr id="376" name="Imagen 375">
          <a:extLst>
            <a:ext uri="{FF2B5EF4-FFF2-40B4-BE49-F238E27FC236}">
              <a16:creationId xmlns:a16="http://schemas.microsoft.com/office/drawing/2014/main" id="{74779CC9-3295-4AD5-91D5-98ADFFB37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04946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2593</xdr:row>
      <xdr:rowOff>309563</xdr:rowOff>
    </xdr:from>
    <xdr:to>
      <xdr:col>8</xdr:col>
      <xdr:colOff>494110</xdr:colOff>
      <xdr:row>2593</xdr:row>
      <xdr:rowOff>317462</xdr:rowOff>
    </xdr:to>
    <xdr:cxnSp macro="">
      <xdr:nvCxnSpPr>
        <xdr:cNvPr id="377" name="Conector recto 376">
          <a:extLst>
            <a:ext uri="{FF2B5EF4-FFF2-40B4-BE49-F238E27FC236}">
              <a16:creationId xmlns:a16="http://schemas.microsoft.com/office/drawing/2014/main" id="{7B84E9F2-C6FF-426F-8C24-E1C4FB8C0544}"/>
            </a:ext>
          </a:extLst>
        </xdr:cNvPr>
        <xdr:cNvCxnSpPr/>
      </xdr:nvCxnSpPr>
      <xdr:spPr>
        <a:xfrm flipV="1">
          <a:off x="3972117" y="505229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2593</xdr:row>
      <xdr:rowOff>26102</xdr:rowOff>
    </xdr:from>
    <xdr:ext cx="1699468" cy="504272"/>
    <xdr:pic>
      <xdr:nvPicPr>
        <xdr:cNvPr id="378" name="Imagen 377">
          <a:extLst>
            <a:ext uri="{FF2B5EF4-FFF2-40B4-BE49-F238E27FC236}">
              <a16:creationId xmlns:a16="http://schemas.microsoft.com/office/drawing/2014/main" id="{AE3B6D86-F2AB-4604-A8CF-49E10A7024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04946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2593</xdr:row>
      <xdr:rowOff>309563</xdr:rowOff>
    </xdr:from>
    <xdr:to>
      <xdr:col>8</xdr:col>
      <xdr:colOff>494110</xdr:colOff>
      <xdr:row>2593</xdr:row>
      <xdr:rowOff>317462</xdr:rowOff>
    </xdr:to>
    <xdr:cxnSp macro="">
      <xdr:nvCxnSpPr>
        <xdr:cNvPr id="379" name="Conector recto 378">
          <a:extLst>
            <a:ext uri="{FF2B5EF4-FFF2-40B4-BE49-F238E27FC236}">
              <a16:creationId xmlns:a16="http://schemas.microsoft.com/office/drawing/2014/main" id="{E70B2441-C4A7-4DBE-9BFD-D0592DC1321B}"/>
            </a:ext>
          </a:extLst>
        </xdr:cNvPr>
        <xdr:cNvCxnSpPr/>
      </xdr:nvCxnSpPr>
      <xdr:spPr>
        <a:xfrm flipV="1">
          <a:off x="3972117" y="505229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2593</xdr:row>
      <xdr:rowOff>26102</xdr:rowOff>
    </xdr:from>
    <xdr:ext cx="1699468" cy="504272"/>
    <xdr:pic>
      <xdr:nvPicPr>
        <xdr:cNvPr id="380" name="Imagen 379">
          <a:extLst>
            <a:ext uri="{FF2B5EF4-FFF2-40B4-BE49-F238E27FC236}">
              <a16:creationId xmlns:a16="http://schemas.microsoft.com/office/drawing/2014/main" id="{28D3D262-5D68-46B4-9292-8AD04A4D0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04946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2593</xdr:row>
      <xdr:rowOff>309563</xdr:rowOff>
    </xdr:from>
    <xdr:to>
      <xdr:col>8</xdr:col>
      <xdr:colOff>494110</xdr:colOff>
      <xdr:row>2593</xdr:row>
      <xdr:rowOff>317462</xdr:rowOff>
    </xdr:to>
    <xdr:cxnSp macro="">
      <xdr:nvCxnSpPr>
        <xdr:cNvPr id="381" name="Conector recto 380">
          <a:extLst>
            <a:ext uri="{FF2B5EF4-FFF2-40B4-BE49-F238E27FC236}">
              <a16:creationId xmlns:a16="http://schemas.microsoft.com/office/drawing/2014/main" id="{0E6EA4B5-419E-49E8-B70C-6DDD47ED1276}"/>
            </a:ext>
          </a:extLst>
        </xdr:cNvPr>
        <xdr:cNvCxnSpPr/>
      </xdr:nvCxnSpPr>
      <xdr:spPr>
        <a:xfrm flipV="1">
          <a:off x="3972117" y="505229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2593</xdr:row>
      <xdr:rowOff>26102</xdr:rowOff>
    </xdr:from>
    <xdr:ext cx="1699468" cy="504272"/>
    <xdr:pic>
      <xdr:nvPicPr>
        <xdr:cNvPr id="382" name="Imagen 381">
          <a:extLst>
            <a:ext uri="{FF2B5EF4-FFF2-40B4-BE49-F238E27FC236}">
              <a16:creationId xmlns:a16="http://schemas.microsoft.com/office/drawing/2014/main" id="{650048CF-221E-453F-B268-C41C29860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04946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2593</xdr:row>
      <xdr:rowOff>309563</xdr:rowOff>
    </xdr:from>
    <xdr:to>
      <xdr:col>8</xdr:col>
      <xdr:colOff>494110</xdr:colOff>
      <xdr:row>2593</xdr:row>
      <xdr:rowOff>317462</xdr:rowOff>
    </xdr:to>
    <xdr:cxnSp macro="">
      <xdr:nvCxnSpPr>
        <xdr:cNvPr id="383" name="Conector recto 382">
          <a:extLst>
            <a:ext uri="{FF2B5EF4-FFF2-40B4-BE49-F238E27FC236}">
              <a16:creationId xmlns:a16="http://schemas.microsoft.com/office/drawing/2014/main" id="{C849FC2D-B59C-4225-8458-FFBEDE410FA2}"/>
            </a:ext>
          </a:extLst>
        </xdr:cNvPr>
        <xdr:cNvCxnSpPr/>
      </xdr:nvCxnSpPr>
      <xdr:spPr>
        <a:xfrm flipV="1">
          <a:off x="3972117" y="505229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2593</xdr:row>
      <xdr:rowOff>26102</xdr:rowOff>
    </xdr:from>
    <xdr:ext cx="1699468" cy="504272"/>
    <xdr:pic>
      <xdr:nvPicPr>
        <xdr:cNvPr id="384" name="Imagen 383">
          <a:extLst>
            <a:ext uri="{FF2B5EF4-FFF2-40B4-BE49-F238E27FC236}">
              <a16:creationId xmlns:a16="http://schemas.microsoft.com/office/drawing/2014/main" id="{78B6B9C6-5CBD-445F-8E82-DD8AD7EB7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04946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2593</xdr:row>
      <xdr:rowOff>309563</xdr:rowOff>
    </xdr:from>
    <xdr:to>
      <xdr:col>8</xdr:col>
      <xdr:colOff>494110</xdr:colOff>
      <xdr:row>2593</xdr:row>
      <xdr:rowOff>317462</xdr:rowOff>
    </xdr:to>
    <xdr:cxnSp macro="">
      <xdr:nvCxnSpPr>
        <xdr:cNvPr id="385" name="Conector recto 384">
          <a:extLst>
            <a:ext uri="{FF2B5EF4-FFF2-40B4-BE49-F238E27FC236}">
              <a16:creationId xmlns:a16="http://schemas.microsoft.com/office/drawing/2014/main" id="{62B51A7E-5CE1-4163-9DFD-983EA5A8B490}"/>
            </a:ext>
          </a:extLst>
        </xdr:cNvPr>
        <xdr:cNvCxnSpPr/>
      </xdr:nvCxnSpPr>
      <xdr:spPr>
        <a:xfrm flipV="1">
          <a:off x="3972117" y="505229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2638</xdr:row>
      <xdr:rowOff>26102</xdr:rowOff>
    </xdr:from>
    <xdr:ext cx="1699468" cy="504272"/>
    <xdr:pic>
      <xdr:nvPicPr>
        <xdr:cNvPr id="386" name="Imagen 385">
          <a:extLst>
            <a:ext uri="{FF2B5EF4-FFF2-40B4-BE49-F238E27FC236}">
              <a16:creationId xmlns:a16="http://schemas.microsoft.com/office/drawing/2014/main" id="{2FCCF242-4FF6-4163-83F3-7E14063A2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13639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2638</xdr:row>
      <xdr:rowOff>309563</xdr:rowOff>
    </xdr:from>
    <xdr:to>
      <xdr:col>8</xdr:col>
      <xdr:colOff>494110</xdr:colOff>
      <xdr:row>2638</xdr:row>
      <xdr:rowOff>317462</xdr:rowOff>
    </xdr:to>
    <xdr:cxnSp macro="">
      <xdr:nvCxnSpPr>
        <xdr:cNvPr id="387" name="Conector recto 386">
          <a:extLst>
            <a:ext uri="{FF2B5EF4-FFF2-40B4-BE49-F238E27FC236}">
              <a16:creationId xmlns:a16="http://schemas.microsoft.com/office/drawing/2014/main" id="{ECA25B4C-2781-4668-8F22-59200B6062BB}"/>
            </a:ext>
          </a:extLst>
        </xdr:cNvPr>
        <xdr:cNvCxnSpPr/>
      </xdr:nvCxnSpPr>
      <xdr:spPr>
        <a:xfrm flipV="1">
          <a:off x="3972117" y="513922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2638</xdr:row>
      <xdr:rowOff>26102</xdr:rowOff>
    </xdr:from>
    <xdr:ext cx="1699468" cy="504272"/>
    <xdr:pic>
      <xdr:nvPicPr>
        <xdr:cNvPr id="388" name="Imagen 387">
          <a:extLst>
            <a:ext uri="{FF2B5EF4-FFF2-40B4-BE49-F238E27FC236}">
              <a16:creationId xmlns:a16="http://schemas.microsoft.com/office/drawing/2014/main" id="{19EC4945-B429-4905-BA80-19A2A89DA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13639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2638</xdr:row>
      <xdr:rowOff>309563</xdr:rowOff>
    </xdr:from>
    <xdr:to>
      <xdr:col>8</xdr:col>
      <xdr:colOff>494110</xdr:colOff>
      <xdr:row>2638</xdr:row>
      <xdr:rowOff>317462</xdr:rowOff>
    </xdr:to>
    <xdr:cxnSp macro="">
      <xdr:nvCxnSpPr>
        <xdr:cNvPr id="389" name="Conector recto 388">
          <a:extLst>
            <a:ext uri="{FF2B5EF4-FFF2-40B4-BE49-F238E27FC236}">
              <a16:creationId xmlns:a16="http://schemas.microsoft.com/office/drawing/2014/main" id="{47BBB164-CBA4-4575-A2A1-20E4EA7CE612}"/>
            </a:ext>
          </a:extLst>
        </xdr:cNvPr>
        <xdr:cNvCxnSpPr/>
      </xdr:nvCxnSpPr>
      <xdr:spPr>
        <a:xfrm flipV="1">
          <a:off x="3972117" y="513922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2638</xdr:row>
      <xdr:rowOff>26102</xdr:rowOff>
    </xdr:from>
    <xdr:ext cx="1699468" cy="504272"/>
    <xdr:pic>
      <xdr:nvPicPr>
        <xdr:cNvPr id="390" name="Imagen 389">
          <a:extLst>
            <a:ext uri="{FF2B5EF4-FFF2-40B4-BE49-F238E27FC236}">
              <a16:creationId xmlns:a16="http://schemas.microsoft.com/office/drawing/2014/main" id="{66285725-ED14-4E83-B831-5DD7665BD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13639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2638</xdr:row>
      <xdr:rowOff>309563</xdr:rowOff>
    </xdr:from>
    <xdr:to>
      <xdr:col>8</xdr:col>
      <xdr:colOff>494110</xdr:colOff>
      <xdr:row>2638</xdr:row>
      <xdr:rowOff>317462</xdr:rowOff>
    </xdr:to>
    <xdr:cxnSp macro="">
      <xdr:nvCxnSpPr>
        <xdr:cNvPr id="391" name="Conector recto 390">
          <a:extLst>
            <a:ext uri="{FF2B5EF4-FFF2-40B4-BE49-F238E27FC236}">
              <a16:creationId xmlns:a16="http://schemas.microsoft.com/office/drawing/2014/main" id="{94EE1B18-C2F1-4A99-9C6B-B9BD6FE03857}"/>
            </a:ext>
          </a:extLst>
        </xdr:cNvPr>
        <xdr:cNvCxnSpPr/>
      </xdr:nvCxnSpPr>
      <xdr:spPr>
        <a:xfrm flipV="1">
          <a:off x="3972117" y="513922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2638</xdr:row>
      <xdr:rowOff>26102</xdr:rowOff>
    </xdr:from>
    <xdr:ext cx="1699468" cy="504272"/>
    <xdr:pic>
      <xdr:nvPicPr>
        <xdr:cNvPr id="392" name="Imagen 391">
          <a:extLst>
            <a:ext uri="{FF2B5EF4-FFF2-40B4-BE49-F238E27FC236}">
              <a16:creationId xmlns:a16="http://schemas.microsoft.com/office/drawing/2014/main" id="{E7B97CBF-0EB7-4211-9F21-0B147F63C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13639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2638</xdr:row>
      <xdr:rowOff>309563</xdr:rowOff>
    </xdr:from>
    <xdr:to>
      <xdr:col>8</xdr:col>
      <xdr:colOff>494110</xdr:colOff>
      <xdr:row>2638</xdr:row>
      <xdr:rowOff>317462</xdr:rowOff>
    </xdr:to>
    <xdr:cxnSp macro="">
      <xdr:nvCxnSpPr>
        <xdr:cNvPr id="393" name="Conector recto 392">
          <a:extLst>
            <a:ext uri="{FF2B5EF4-FFF2-40B4-BE49-F238E27FC236}">
              <a16:creationId xmlns:a16="http://schemas.microsoft.com/office/drawing/2014/main" id="{EB68EAEF-41E1-4751-BD41-2157D8F1B4B2}"/>
            </a:ext>
          </a:extLst>
        </xdr:cNvPr>
        <xdr:cNvCxnSpPr/>
      </xdr:nvCxnSpPr>
      <xdr:spPr>
        <a:xfrm flipV="1">
          <a:off x="3972117" y="513922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2638</xdr:row>
      <xdr:rowOff>26102</xdr:rowOff>
    </xdr:from>
    <xdr:ext cx="1699468" cy="504272"/>
    <xdr:pic>
      <xdr:nvPicPr>
        <xdr:cNvPr id="394" name="Imagen 393">
          <a:extLst>
            <a:ext uri="{FF2B5EF4-FFF2-40B4-BE49-F238E27FC236}">
              <a16:creationId xmlns:a16="http://schemas.microsoft.com/office/drawing/2014/main" id="{8EB6CA95-0FA9-497A-A026-D1DF8B5F5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13639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2638</xdr:row>
      <xdr:rowOff>309563</xdr:rowOff>
    </xdr:from>
    <xdr:to>
      <xdr:col>8</xdr:col>
      <xdr:colOff>494110</xdr:colOff>
      <xdr:row>2638</xdr:row>
      <xdr:rowOff>317462</xdr:rowOff>
    </xdr:to>
    <xdr:cxnSp macro="">
      <xdr:nvCxnSpPr>
        <xdr:cNvPr id="395" name="Conector recto 394">
          <a:extLst>
            <a:ext uri="{FF2B5EF4-FFF2-40B4-BE49-F238E27FC236}">
              <a16:creationId xmlns:a16="http://schemas.microsoft.com/office/drawing/2014/main" id="{4872F09C-397B-43BC-BA3D-9EA98F6A2A6A}"/>
            </a:ext>
          </a:extLst>
        </xdr:cNvPr>
        <xdr:cNvCxnSpPr/>
      </xdr:nvCxnSpPr>
      <xdr:spPr>
        <a:xfrm flipV="1">
          <a:off x="3972117" y="513922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2638</xdr:row>
      <xdr:rowOff>26102</xdr:rowOff>
    </xdr:from>
    <xdr:ext cx="1699468" cy="504272"/>
    <xdr:pic>
      <xdr:nvPicPr>
        <xdr:cNvPr id="396" name="Imagen 395">
          <a:extLst>
            <a:ext uri="{FF2B5EF4-FFF2-40B4-BE49-F238E27FC236}">
              <a16:creationId xmlns:a16="http://schemas.microsoft.com/office/drawing/2014/main" id="{1C3C7635-C278-4FAE-8E08-C05CACADA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13639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2638</xdr:row>
      <xdr:rowOff>309563</xdr:rowOff>
    </xdr:from>
    <xdr:to>
      <xdr:col>8</xdr:col>
      <xdr:colOff>494110</xdr:colOff>
      <xdr:row>2638</xdr:row>
      <xdr:rowOff>317462</xdr:rowOff>
    </xdr:to>
    <xdr:cxnSp macro="">
      <xdr:nvCxnSpPr>
        <xdr:cNvPr id="397" name="Conector recto 396">
          <a:extLst>
            <a:ext uri="{FF2B5EF4-FFF2-40B4-BE49-F238E27FC236}">
              <a16:creationId xmlns:a16="http://schemas.microsoft.com/office/drawing/2014/main" id="{12CFF1C1-770F-4C11-A665-3A362C714B92}"/>
            </a:ext>
          </a:extLst>
        </xdr:cNvPr>
        <xdr:cNvCxnSpPr/>
      </xdr:nvCxnSpPr>
      <xdr:spPr>
        <a:xfrm flipV="1">
          <a:off x="3972117" y="513922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2638</xdr:row>
      <xdr:rowOff>26102</xdr:rowOff>
    </xdr:from>
    <xdr:ext cx="1699468" cy="504272"/>
    <xdr:pic>
      <xdr:nvPicPr>
        <xdr:cNvPr id="398" name="Imagen 397">
          <a:extLst>
            <a:ext uri="{FF2B5EF4-FFF2-40B4-BE49-F238E27FC236}">
              <a16:creationId xmlns:a16="http://schemas.microsoft.com/office/drawing/2014/main" id="{F9749F40-1A71-4266-A564-8B1BB68FD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13639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2638</xdr:row>
      <xdr:rowOff>309563</xdr:rowOff>
    </xdr:from>
    <xdr:to>
      <xdr:col>8</xdr:col>
      <xdr:colOff>494110</xdr:colOff>
      <xdr:row>2638</xdr:row>
      <xdr:rowOff>317462</xdr:rowOff>
    </xdr:to>
    <xdr:cxnSp macro="">
      <xdr:nvCxnSpPr>
        <xdr:cNvPr id="399" name="Conector recto 398">
          <a:extLst>
            <a:ext uri="{FF2B5EF4-FFF2-40B4-BE49-F238E27FC236}">
              <a16:creationId xmlns:a16="http://schemas.microsoft.com/office/drawing/2014/main" id="{1945B089-3B2C-4A00-93CE-E8DBC729DA75}"/>
            </a:ext>
          </a:extLst>
        </xdr:cNvPr>
        <xdr:cNvCxnSpPr/>
      </xdr:nvCxnSpPr>
      <xdr:spPr>
        <a:xfrm flipV="1">
          <a:off x="3972117" y="513922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2684</xdr:row>
      <xdr:rowOff>26102</xdr:rowOff>
    </xdr:from>
    <xdr:ext cx="1699468" cy="504272"/>
    <xdr:pic>
      <xdr:nvPicPr>
        <xdr:cNvPr id="400" name="Imagen 399">
          <a:extLst>
            <a:ext uri="{FF2B5EF4-FFF2-40B4-BE49-F238E27FC236}">
              <a16:creationId xmlns:a16="http://schemas.microsoft.com/office/drawing/2014/main" id="{EEBBE352-891F-45BE-A424-E7C32405A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22567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2684</xdr:row>
      <xdr:rowOff>309563</xdr:rowOff>
    </xdr:from>
    <xdr:to>
      <xdr:col>8</xdr:col>
      <xdr:colOff>494110</xdr:colOff>
      <xdr:row>2684</xdr:row>
      <xdr:rowOff>317462</xdr:rowOff>
    </xdr:to>
    <xdr:cxnSp macro="">
      <xdr:nvCxnSpPr>
        <xdr:cNvPr id="401" name="Conector recto 400">
          <a:extLst>
            <a:ext uri="{FF2B5EF4-FFF2-40B4-BE49-F238E27FC236}">
              <a16:creationId xmlns:a16="http://schemas.microsoft.com/office/drawing/2014/main" id="{C74D7665-3BFF-4C5F-9BDA-373C692A1D30}"/>
            </a:ext>
          </a:extLst>
        </xdr:cNvPr>
        <xdr:cNvCxnSpPr/>
      </xdr:nvCxnSpPr>
      <xdr:spPr>
        <a:xfrm flipV="1">
          <a:off x="3972117" y="522851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2684</xdr:row>
      <xdr:rowOff>26102</xdr:rowOff>
    </xdr:from>
    <xdr:ext cx="1699468" cy="504272"/>
    <xdr:pic>
      <xdr:nvPicPr>
        <xdr:cNvPr id="402" name="Imagen 401">
          <a:extLst>
            <a:ext uri="{FF2B5EF4-FFF2-40B4-BE49-F238E27FC236}">
              <a16:creationId xmlns:a16="http://schemas.microsoft.com/office/drawing/2014/main" id="{34FA20B2-3598-4BD6-83D6-9D03146B25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22567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2684</xdr:row>
      <xdr:rowOff>309563</xdr:rowOff>
    </xdr:from>
    <xdr:to>
      <xdr:col>8</xdr:col>
      <xdr:colOff>494110</xdr:colOff>
      <xdr:row>2684</xdr:row>
      <xdr:rowOff>317462</xdr:rowOff>
    </xdr:to>
    <xdr:cxnSp macro="">
      <xdr:nvCxnSpPr>
        <xdr:cNvPr id="403" name="Conector recto 402">
          <a:extLst>
            <a:ext uri="{FF2B5EF4-FFF2-40B4-BE49-F238E27FC236}">
              <a16:creationId xmlns:a16="http://schemas.microsoft.com/office/drawing/2014/main" id="{9B14E570-4375-43A5-A301-10581D5D8400}"/>
            </a:ext>
          </a:extLst>
        </xdr:cNvPr>
        <xdr:cNvCxnSpPr/>
      </xdr:nvCxnSpPr>
      <xdr:spPr>
        <a:xfrm flipV="1">
          <a:off x="3972117" y="522851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2684</xdr:row>
      <xdr:rowOff>26102</xdr:rowOff>
    </xdr:from>
    <xdr:ext cx="1699468" cy="504272"/>
    <xdr:pic>
      <xdr:nvPicPr>
        <xdr:cNvPr id="404" name="Imagen 403">
          <a:extLst>
            <a:ext uri="{FF2B5EF4-FFF2-40B4-BE49-F238E27FC236}">
              <a16:creationId xmlns:a16="http://schemas.microsoft.com/office/drawing/2014/main" id="{990E7FC7-B67C-4432-8AAD-2AD396FB9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22567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2684</xdr:row>
      <xdr:rowOff>309563</xdr:rowOff>
    </xdr:from>
    <xdr:to>
      <xdr:col>8</xdr:col>
      <xdr:colOff>494110</xdr:colOff>
      <xdr:row>2684</xdr:row>
      <xdr:rowOff>317462</xdr:rowOff>
    </xdr:to>
    <xdr:cxnSp macro="">
      <xdr:nvCxnSpPr>
        <xdr:cNvPr id="405" name="Conector recto 404">
          <a:extLst>
            <a:ext uri="{FF2B5EF4-FFF2-40B4-BE49-F238E27FC236}">
              <a16:creationId xmlns:a16="http://schemas.microsoft.com/office/drawing/2014/main" id="{A05952B1-C30C-4920-9180-C30EA7B71DA4}"/>
            </a:ext>
          </a:extLst>
        </xdr:cNvPr>
        <xdr:cNvCxnSpPr/>
      </xdr:nvCxnSpPr>
      <xdr:spPr>
        <a:xfrm flipV="1">
          <a:off x="3972117" y="522851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2684</xdr:row>
      <xdr:rowOff>26102</xdr:rowOff>
    </xdr:from>
    <xdr:ext cx="1699468" cy="504272"/>
    <xdr:pic>
      <xdr:nvPicPr>
        <xdr:cNvPr id="406" name="Imagen 405">
          <a:extLst>
            <a:ext uri="{FF2B5EF4-FFF2-40B4-BE49-F238E27FC236}">
              <a16:creationId xmlns:a16="http://schemas.microsoft.com/office/drawing/2014/main" id="{80571E19-FC3A-4065-B5DD-9EC258DB8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22567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2684</xdr:row>
      <xdr:rowOff>309563</xdr:rowOff>
    </xdr:from>
    <xdr:to>
      <xdr:col>8</xdr:col>
      <xdr:colOff>494110</xdr:colOff>
      <xdr:row>2684</xdr:row>
      <xdr:rowOff>317462</xdr:rowOff>
    </xdr:to>
    <xdr:cxnSp macro="">
      <xdr:nvCxnSpPr>
        <xdr:cNvPr id="407" name="Conector recto 406">
          <a:extLst>
            <a:ext uri="{FF2B5EF4-FFF2-40B4-BE49-F238E27FC236}">
              <a16:creationId xmlns:a16="http://schemas.microsoft.com/office/drawing/2014/main" id="{E8B4B794-7824-483F-9476-10BA7E501010}"/>
            </a:ext>
          </a:extLst>
        </xdr:cNvPr>
        <xdr:cNvCxnSpPr/>
      </xdr:nvCxnSpPr>
      <xdr:spPr>
        <a:xfrm flipV="1">
          <a:off x="3972117" y="522851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2684</xdr:row>
      <xdr:rowOff>26102</xdr:rowOff>
    </xdr:from>
    <xdr:ext cx="1699468" cy="504272"/>
    <xdr:pic>
      <xdr:nvPicPr>
        <xdr:cNvPr id="408" name="Imagen 407">
          <a:extLst>
            <a:ext uri="{FF2B5EF4-FFF2-40B4-BE49-F238E27FC236}">
              <a16:creationId xmlns:a16="http://schemas.microsoft.com/office/drawing/2014/main" id="{C8EC23A0-57EA-4648-9B9E-F460E84AB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22567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2684</xdr:row>
      <xdr:rowOff>309563</xdr:rowOff>
    </xdr:from>
    <xdr:to>
      <xdr:col>8</xdr:col>
      <xdr:colOff>494110</xdr:colOff>
      <xdr:row>2684</xdr:row>
      <xdr:rowOff>317462</xdr:rowOff>
    </xdr:to>
    <xdr:cxnSp macro="">
      <xdr:nvCxnSpPr>
        <xdr:cNvPr id="409" name="Conector recto 408">
          <a:extLst>
            <a:ext uri="{FF2B5EF4-FFF2-40B4-BE49-F238E27FC236}">
              <a16:creationId xmlns:a16="http://schemas.microsoft.com/office/drawing/2014/main" id="{492B8FB2-CE5E-4204-AB41-D49A99A4DA58}"/>
            </a:ext>
          </a:extLst>
        </xdr:cNvPr>
        <xdr:cNvCxnSpPr/>
      </xdr:nvCxnSpPr>
      <xdr:spPr>
        <a:xfrm flipV="1">
          <a:off x="3972117" y="522851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2684</xdr:row>
      <xdr:rowOff>26102</xdr:rowOff>
    </xdr:from>
    <xdr:ext cx="1699468" cy="504272"/>
    <xdr:pic>
      <xdr:nvPicPr>
        <xdr:cNvPr id="410" name="Imagen 409">
          <a:extLst>
            <a:ext uri="{FF2B5EF4-FFF2-40B4-BE49-F238E27FC236}">
              <a16:creationId xmlns:a16="http://schemas.microsoft.com/office/drawing/2014/main" id="{7B65D85E-CFC8-44E7-9AFC-ADFA2EE3D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22567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2684</xdr:row>
      <xdr:rowOff>309563</xdr:rowOff>
    </xdr:from>
    <xdr:to>
      <xdr:col>8</xdr:col>
      <xdr:colOff>494110</xdr:colOff>
      <xdr:row>2684</xdr:row>
      <xdr:rowOff>317462</xdr:rowOff>
    </xdr:to>
    <xdr:cxnSp macro="">
      <xdr:nvCxnSpPr>
        <xdr:cNvPr id="411" name="Conector recto 410">
          <a:extLst>
            <a:ext uri="{FF2B5EF4-FFF2-40B4-BE49-F238E27FC236}">
              <a16:creationId xmlns:a16="http://schemas.microsoft.com/office/drawing/2014/main" id="{6E0237F1-3E90-4473-BC5D-FC51B19CE207}"/>
            </a:ext>
          </a:extLst>
        </xdr:cNvPr>
        <xdr:cNvCxnSpPr/>
      </xdr:nvCxnSpPr>
      <xdr:spPr>
        <a:xfrm flipV="1">
          <a:off x="3972117" y="522851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2684</xdr:row>
      <xdr:rowOff>26102</xdr:rowOff>
    </xdr:from>
    <xdr:ext cx="1699468" cy="504272"/>
    <xdr:pic>
      <xdr:nvPicPr>
        <xdr:cNvPr id="412" name="Imagen 411">
          <a:extLst>
            <a:ext uri="{FF2B5EF4-FFF2-40B4-BE49-F238E27FC236}">
              <a16:creationId xmlns:a16="http://schemas.microsoft.com/office/drawing/2014/main" id="{D9182CF8-F21D-4FB3-AE44-3E729CB29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22567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2684</xdr:row>
      <xdr:rowOff>309563</xdr:rowOff>
    </xdr:from>
    <xdr:to>
      <xdr:col>8</xdr:col>
      <xdr:colOff>494110</xdr:colOff>
      <xdr:row>2684</xdr:row>
      <xdr:rowOff>317462</xdr:rowOff>
    </xdr:to>
    <xdr:cxnSp macro="">
      <xdr:nvCxnSpPr>
        <xdr:cNvPr id="413" name="Conector recto 412">
          <a:extLst>
            <a:ext uri="{FF2B5EF4-FFF2-40B4-BE49-F238E27FC236}">
              <a16:creationId xmlns:a16="http://schemas.microsoft.com/office/drawing/2014/main" id="{0371562D-60BA-439B-97D4-2849429FCB7D}"/>
            </a:ext>
          </a:extLst>
        </xdr:cNvPr>
        <xdr:cNvCxnSpPr/>
      </xdr:nvCxnSpPr>
      <xdr:spPr>
        <a:xfrm flipV="1">
          <a:off x="3972117" y="522851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2684</xdr:row>
      <xdr:rowOff>26102</xdr:rowOff>
    </xdr:from>
    <xdr:ext cx="1699468" cy="504272"/>
    <xdr:pic>
      <xdr:nvPicPr>
        <xdr:cNvPr id="414" name="Imagen 413">
          <a:extLst>
            <a:ext uri="{FF2B5EF4-FFF2-40B4-BE49-F238E27FC236}">
              <a16:creationId xmlns:a16="http://schemas.microsoft.com/office/drawing/2014/main" id="{32FAB27A-AB10-487F-8C5B-7E1F46D71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22567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2684</xdr:row>
      <xdr:rowOff>309563</xdr:rowOff>
    </xdr:from>
    <xdr:to>
      <xdr:col>8</xdr:col>
      <xdr:colOff>494110</xdr:colOff>
      <xdr:row>2684</xdr:row>
      <xdr:rowOff>317462</xdr:rowOff>
    </xdr:to>
    <xdr:cxnSp macro="">
      <xdr:nvCxnSpPr>
        <xdr:cNvPr id="415" name="Conector recto 414">
          <a:extLst>
            <a:ext uri="{FF2B5EF4-FFF2-40B4-BE49-F238E27FC236}">
              <a16:creationId xmlns:a16="http://schemas.microsoft.com/office/drawing/2014/main" id="{CD301465-0E86-4B22-9737-FB5D70EA6931}"/>
            </a:ext>
          </a:extLst>
        </xdr:cNvPr>
        <xdr:cNvCxnSpPr/>
      </xdr:nvCxnSpPr>
      <xdr:spPr>
        <a:xfrm flipV="1">
          <a:off x="3972117" y="522851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2729</xdr:row>
      <xdr:rowOff>26102</xdr:rowOff>
    </xdr:from>
    <xdr:ext cx="1699468" cy="504272"/>
    <xdr:pic>
      <xdr:nvPicPr>
        <xdr:cNvPr id="416" name="Imagen 415">
          <a:extLst>
            <a:ext uri="{FF2B5EF4-FFF2-40B4-BE49-F238E27FC236}">
              <a16:creationId xmlns:a16="http://schemas.microsoft.com/office/drawing/2014/main" id="{98792F4B-AEC2-41A9-B3CF-CA09D5F39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31451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2729</xdr:row>
      <xdr:rowOff>309563</xdr:rowOff>
    </xdr:from>
    <xdr:to>
      <xdr:col>8</xdr:col>
      <xdr:colOff>494110</xdr:colOff>
      <xdr:row>2729</xdr:row>
      <xdr:rowOff>317462</xdr:rowOff>
    </xdr:to>
    <xdr:cxnSp macro="">
      <xdr:nvCxnSpPr>
        <xdr:cNvPr id="417" name="Conector recto 416">
          <a:extLst>
            <a:ext uri="{FF2B5EF4-FFF2-40B4-BE49-F238E27FC236}">
              <a16:creationId xmlns:a16="http://schemas.microsoft.com/office/drawing/2014/main" id="{3650E935-034E-4EFD-B0DE-8C1279518F79}"/>
            </a:ext>
          </a:extLst>
        </xdr:cNvPr>
        <xdr:cNvCxnSpPr/>
      </xdr:nvCxnSpPr>
      <xdr:spPr>
        <a:xfrm flipV="1">
          <a:off x="3972117" y="531734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2729</xdr:row>
      <xdr:rowOff>26102</xdr:rowOff>
    </xdr:from>
    <xdr:ext cx="1699468" cy="504272"/>
    <xdr:pic>
      <xdr:nvPicPr>
        <xdr:cNvPr id="418" name="Imagen 417">
          <a:extLst>
            <a:ext uri="{FF2B5EF4-FFF2-40B4-BE49-F238E27FC236}">
              <a16:creationId xmlns:a16="http://schemas.microsoft.com/office/drawing/2014/main" id="{0E442B0A-9888-4764-A530-1405C005A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31451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2729</xdr:row>
      <xdr:rowOff>309563</xdr:rowOff>
    </xdr:from>
    <xdr:to>
      <xdr:col>8</xdr:col>
      <xdr:colOff>494110</xdr:colOff>
      <xdr:row>2729</xdr:row>
      <xdr:rowOff>317462</xdr:rowOff>
    </xdr:to>
    <xdr:cxnSp macro="">
      <xdr:nvCxnSpPr>
        <xdr:cNvPr id="419" name="Conector recto 418">
          <a:extLst>
            <a:ext uri="{FF2B5EF4-FFF2-40B4-BE49-F238E27FC236}">
              <a16:creationId xmlns:a16="http://schemas.microsoft.com/office/drawing/2014/main" id="{2BE72EA9-1151-4B51-B45E-A176EF7CB8F2}"/>
            </a:ext>
          </a:extLst>
        </xdr:cNvPr>
        <xdr:cNvCxnSpPr/>
      </xdr:nvCxnSpPr>
      <xdr:spPr>
        <a:xfrm flipV="1">
          <a:off x="3972117" y="531734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2729</xdr:row>
      <xdr:rowOff>26102</xdr:rowOff>
    </xdr:from>
    <xdr:ext cx="1699468" cy="504272"/>
    <xdr:pic>
      <xdr:nvPicPr>
        <xdr:cNvPr id="420" name="Imagen 419">
          <a:extLst>
            <a:ext uri="{FF2B5EF4-FFF2-40B4-BE49-F238E27FC236}">
              <a16:creationId xmlns:a16="http://schemas.microsoft.com/office/drawing/2014/main" id="{89F10D54-2BB3-4CBF-AB3D-2C4AB775F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31451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2729</xdr:row>
      <xdr:rowOff>309563</xdr:rowOff>
    </xdr:from>
    <xdr:to>
      <xdr:col>8</xdr:col>
      <xdr:colOff>494110</xdr:colOff>
      <xdr:row>2729</xdr:row>
      <xdr:rowOff>317462</xdr:rowOff>
    </xdr:to>
    <xdr:cxnSp macro="">
      <xdr:nvCxnSpPr>
        <xdr:cNvPr id="421" name="Conector recto 420">
          <a:extLst>
            <a:ext uri="{FF2B5EF4-FFF2-40B4-BE49-F238E27FC236}">
              <a16:creationId xmlns:a16="http://schemas.microsoft.com/office/drawing/2014/main" id="{D1D7C14A-C782-46A1-8701-C83164966A8A}"/>
            </a:ext>
          </a:extLst>
        </xdr:cNvPr>
        <xdr:cNvCxnSpPr/>
      </xdr:nvCxnSpPr>
      <xdr:spPr>
        <a:xfrm flipV="1">
          <a:off x="3972117" y="531734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2729</xdr:row>
      <xdr:rowOff>26102</xdr:rowOff>
    </xdr:from>
    <xdr:ext cx="1699468" cy="504272"/>
    <xdr:pic>
      <xdr:nvPicPr>
        <xdr:cNvPr id="422" name="Imagen 421">
          <a:extLst>
            <a:ext uri="{FF2B5EF4-FFF2-40B4-BE49-F238E27FC236}">
              <a16:creationId xmlns:a16="http://schemas.microsoft.com/office/drawing/2014/main" id="{1814F915-5985-4CA8-A250-7D837C81C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31451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2729</xdr:row>
      <xdr:rowOff>309563</xdr:rowOff>
    </xdr:from>
    <xdr:to>
      <xdr:col>8</xdr:col>
      <xdr:colOff>494110</xdr:colOff>
      <xdr:row>2729</xdr:row>
      <xdr:rowOff>317462</xdr:rowOff>
    </xdr:to>
    <xdr:cxnSp macro="">
      <xdr:nvCxnSpPr>
        <xdr:cNvPr id="423" name="Conector recto 422">
          <a:extLst>
            <a:ext uri="{FF2B5EF4-FFF2-40B4-BE49-F238E27FC236}">
              <a16:creationId xmlns:a16="http://schemas.microsoft.com/office/drawing/2014/main" id="{7D2F9C94-7C34-49EF-8FA6-7625C288672E}"/>
            </a:ext>
          </a:extLst>
        </xdr:cNvPr>
        <xdr:cNvCxnSpPr/>
      </xdr:nvCxnSpPr>
      <xdr:spPr>
        <a:xfrm flipV="1">
          <a:off x="3972117" y="531734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2729</xdr:row>
      <xdr:rowOff>26102</xdr:rowOff>
    </xdr:from>
    <xdr:ext cx="1699468" cy="504272"/>
    <xdr:pic>
      <xdr:nvPicPr>
        <xdr:cNvPr id="424" name="Imagen 423">
          <a:extLst>
            <a:ext uri="{FF2B5EF4-FFF2-40B4-BE49-F238E27FC236}">
              <a16:creationId xmlns:a16="http://schemas.microsoft.com/office/drawing/2014/main" id="{BA1A86D1-501E-42C3-AA46-C44A0F479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31451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2729</xdr:row>
      <xdr:rowOff>309563</xdr:rowOff>
    </xdr:from>
    <xdr:to>
      <xdr:col>8</xdr:col>
      <xdr:colOff>494110</xdr:colOff>
      <xdr:row>2729</xdr:row>
      <xdr:rowOff>317462</xdr:rowOff>
    </xdr:to>
    <xdr:cxnSp macro="">
      <xdr:nvCxnSpPr>
        <xdr:cNvPr id="425" name="Conector recto 424">
          <a:extLst>
            <a:ext uri="{FF2B5EF4-FFF2-40B4-BE49-F238E27FC236}">
              <a16:creationId xmlns:a16="http://schemas.microsoft.com/office/drawing/2014/main" id="{60441917-6627-4D55-A14F-CF07EBAC062A}"/>
            </a:ext>
          </a:extLst>
        </xdr:cNvPr>
        <xdr:cNvCxnSpPr/>
      </xdr:nvCxnSpPr>
      <xdr:spPr>
        <a:xfrm flipV="1">
          <a:off x="3972117" y="531734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2729</xdr:row>
      <xdr:rowOff>26102</xdr:rowOff>
    </xdr:from>
    <xdr:ext cx="1699468" cy="504272"/>
    <xdr:pic>
      <xdr:nvPicPr>
        <xdr:cNvPr id="426" name="Imagen 425">
          <a:extLst>
            <a:ext uri="{FF2B5EF4-FFF2-40B4-BE49-F238E27FC236}">
              <a16:creationId xmlns:a16="http://schemas.microsoft.com/office/drawing/2014/main" id="{13DF0D0B-3F81-4914-AAFA-DB1C52D52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31451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2729</xdr:row>
      <xdr:rowOff>309563</xdr:rowOff>
    </xdr:from>
    <xdr:to>
      <xdr:col>8</xdr:col>
      <xdr:colOff>494110</xdr:colOff>
      <xdr:row>2729</xdr:row>
      <xdr:rowOff>317462</xdr:rowOff>
    </xdr:to>
    <xdr:cxnSp macro="">
      <xdr:nvCxnSpPr>
        <xdr:cNvPr id="427" name="Conector recto 426">
          <a:extLst>
            <a:ext uri="{FF2B5EF4-FFF2-40B4-BE49-F238E27FC236}">
              <a16:creationId xmlns:a16="http://schemas.microsoft.com/office/drawing/2014/main" id="{E9D9D8F9-3378-4FCF-9D43-C2F76F429B16}"/>
            </a:ext>
          </a:extLst>
        </xdr:cNvPr>
        <xdr:cNvCxnSpPr/>
      </xdr:nvCxnSpPr>
      <xdr:spPr>
        <a:xfrm flipV="1">
          <a:off x="3972117" y="531734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2729</xdr:row>
      <xdr:rowOff>26102</xdr:rowOff>
    </xdr:from>
    <xdr:ext cx="1699468" cy="504272"/>
    <xdr:pic>
      <xdr:nvPicPr>
        <xdr:cNvPr id="428" name="Imagen 427">
          <a:extLst>
            <a:ext uri="{FF2B5EF4-FFF2-40B4-BE49-F238E27FC236}">
              <a16:creationId xmlns:a16="http://schemas.microsoft.com/office/drawing/2014/main" id="{94177AD9-AB81-4008-B14D-7A3F0E1A8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31451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2729</xdr:row>
      <xdr:rowOff>309563</xdr:rowOff>
    </xdr:from>
    <xdr:to>
      <xdr:col>8</xdr:col>
      <xdr:colOff>494110</xdr:colOff>
      <xdr:row>2729</xdr:row>
      <xdr:rowOff>317462</xdr:rowOff>
    </xdr:to>
    <xdr:cxnSp macro="">
      <xdr:nvCxnSpPr>
        <xdr:cNvPr id="429" name="Conector recto 428">
          <a:extLst>
            <a:ext uri="{FF2B5EF4-FFF2-40B4-BE49-F238E27FC236}">
              <a16:creationId xmlns:a16="http://schemas.microsoft.com/office/drawing/2014/main" id="{5A714461-679F-4815-B2F5-40F27DDFB9FB}"/>
            </a:ext>
          </a:extLst>
        </xdr:cNvPr>
        <xdr:cNvCxnSpPr/>
      </xdr:nvCxnSpPr>
      <xdr:spPr>
        <a:xfrm flipV="1">
          <a:off x="3972117" y="531734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2729</xdr:row>
      <xdr:rowOff>26102</xdr:rowOff>
    </xdr:from>
    <xdr:ext cx="1699468" cy="504272"/>
    <xdr:pic>
      <xdr:nvPicPr>
        <xdr:cNvPr id="430" name="Imagen 429">
          <a:extLst>
            <a:ext uri="{FF2B5EF4-FFF2-40B4-BE49-F238E27FC236}">
              <a16:creationId xmlns:a16="http://schemas.microsoft.com/office/drawing/2014/main" id="{03F2ECFF-6EC6-4527-ABFD-BE7DA8F49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31451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2729</xdr:row>
      <xdr:rowOff>309563</xdr:rowOff>
    </xdr:from>
    <xdr:to>
      <xdr:col>8</xdr:col>
      <xdr:colOff>494110</xdr:colOff>
      <xdr:row>2729</xdr:row>
      <xdr:rowOff>317462</xdr:rowOff>
    </xdr:to>
    <xdr:cxnSp macro="">
      <xdr:nvCxnSpPr>
        <xdr:cNvPr id="431" name="Conector recto 430">
          <a:extLst>
            <a:ext uri="{FF2B5EF4-FFF2-40B4-BE49-F238E27FC236}">
              <a16:creationId xmlns:a16="http://schemas.microsoft.com/office/drawing/2014/main" id="{70EEEFBF-ED3F-4D11-8FC9-960A61986D3A}"/>
            </a:ext>
          </a:extLst>
        </xdr:cNvPr>
        <xdr:cNvCxnSpPr/>
      </xdr:nvCxnSpPr>
      <xdr:spPr>
        <a:xfrm flipV="1">
          <a:off x="3972117" y="531734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2774</xdr:row>
      <xdr:rowOff>26102</xdr:rowOff>
    </xdr:from>
    <xdr:ext cx="1699468" cy="504272"/>
    <xdr:pic>
      <xdr:nvPicPr>
        <xdr:cNvPr id="432" name="Imagen 431">
          <a:extLst>
            <a:ext uri="{FF2B5EF4-FFF2-40B4-BE49-F238E27FC236}">
              <a16:creationId xmlns:a16="http://schemas.microsoft.com/office/drawing/2014/main" id="{3B746526-F39A-4C6C-BE27-7C85A5C7D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0303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2774</xdr:row>
      <xdr:rowOff>309563</xdr:rowOff>
    </xdr:from>
    <xdr:to>
      <xdr:col>8</xdr:col>
      <xdr:colOff>494110</xdr:colOff>
      <xdr:row>2774</xdr:row>
      <xdr:rowOff>317462</xdr:rowOff>
    </xdr:to>
    <xdr:cxnSp macro="">
      <xdr:nvCxnSpPr>
        <xdr:cNvPr id="433" name="Conector recto 432">
          <a:extLst>
            <a:ext uri="{FF2B5EF4-FFF2-40B4-BE49-F238E27FC236}">
              <a16:creationId xmlns:a16="http://schemas.microsoft.com/office/drawing/2014/main" id="{BA65845C-D528-44F3-9471-D853D4F6FEEA}"/>
            </a:ext>
          </a:extLst>
        </xdr:cNvPr>
        <xdr:cNvCxnSpPr/>
      </xdr:nvCxnSpPr>
      <xdr:spPr>
        <a:xfrm flipV="1">
          <a:off x="3972117" y="540586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2774</xdr:row>
      <xdr:rowOff>26102</xdr:rowOff>
    </xdr:from>
    <xdr:ext cx="1699468" cy="504272"/>
    <xdr:pic>
      <xdr:nvPicPr>
        <xdr:cNvPr id="434" name="Imagen 433">
          <a:extLst>
            <a:ext uri="{FF2B5EF4-FFF2-40B4-BE49-F238E27FC236}">
              <a16:creationId xmlns:a16="http://schemas.microsoft.com/office/drawing/2014/main" id="{B9E777B3-4448-4591-B284-FE4DFA3ECA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0303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2774</xdr:row>
      <xdr:rowOff>309563</xdr:rowOff>
    </xdr:from>
    <xdr:to>
      <xdr:col>8</xdr:col>
      <xdr:colOff>494110</xdr:colOff>
      <xdr:row>2774</xdr:row>
      <xdr:rowOff>317462</xdr:rowOff>
    </xdr:to>
    <xdr:cxnSp macro="">
      <xdr:nvCxnSpPr>
        <xdr:cNvPr id="435" name="Conector recto 434">
          <a:extLst>
            <a:ext uri="{FF2B5EF4-FFF2-40B4-BE49-F238E27FC236}">
              <a16:creationId xmlns:a16="http://schemas.microsoft.com/office/drawing/2014/main" id="{41614A51-597B-483E-B863-E05C0481ECD3}"/>
            </a:ext>
          </a:extLst>
        </xdr:cNvPr>
        <xdr:cNvCxnSpPr/>
      </xdr:nvCxnSpPr>
      <xdr:spPr>
        <a:xfrm flipV="1">
          <a:off x="3972117" y="540586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2774</xdr:row>
      <xdr:rowOff>26102</xdr:rowOff>
    </xdr:from>
    <xdr:ext cx="1699468" cy="504272"/>
    <xdr:pic>
      <xdr:nvPicPr>
        <xdr:cNvPr id="436" name="Imagen 435">
          <a:extLst>
            <a:ext uri="{FF2B5EF4-FFF2-40B4-BE49-F238E27FC236}">
              <a16:creationId xmlns:a16="http://schemas.microsoft.com/office/drawing/2014/main" id="{1011BF73-551D-4EA7-B281-9E926D3DB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0303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2774</xdr:row>
      <xdr:rowOff>309563</xdr:rowOff>
    </xdr:from>
    <xdr:to>
      <xdr:col>8</xdr:col>
      <xdr:colOff>494110</xdr:colOff>
      <xdr:row>2774</xdr:row>
      <xdr:rowOff>317462</xdr:rowOff>
    </xdr:to>
    <xdr:cxnSp macro="">
      <xdr:nvCxnSpPr>
        <xdr:cNvPr id="437" name="Conector recto 436">
          <a:extLst>
            <a:ext uri="{FF2B5EF4-FFF2-40B4-BE49-F238E27FC236}">
              <a16:creationId xmlns:a16="http://schemas.microsoft.com/office/drawing/2014/main" id="{71CD8935-8CD5-4B54-8B64-D84BB624D0EF}"/>
            </a:ext>
          </a:extLst>
        </xdr:cNvPr>
        <xdr:cNvCxnSpPr/>
      </xdr:nvCxnSpPr>
      <xdr:spPr>
        <a:xfrm flipV="1">
          <a:off x="3972117" y="540586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2774</xdr:row>
      <xdr:rowOff>26102</xdr:rowOff>
    </xdr:from>
    <xdr:ext cx="1699468" cy="504272"/>
    <xdr:pic>
      <xdr:nvPicPr>
        <xdr:cNvPr id="438" name="Imagen 437">
          <a:extLst>
            <a:ext uri="{FF2B5EF4-FFF2-40B4-BE49-F238E27FC236}">
              <a16:creationId xmlns:a16="http://schemas.microsoft.com/office/drawing/2014/main" id="{B9741BF0-E48C-4B22-8FD7-50AA251461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0303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2774</xdr:row>
      <xdr:rowOff>309563</xdr:rowOff>
    </xdr:from>
    <xdr:to>
      <xdr:col>8</xdr:col>
      <xdr:colOff>494110</xdr:colOff>
      <xdr:row>2774</xdr:row>
      <xdr:rowOff>317462</xdr:rowOff>
    </xdr:to>
    <xdr:cxnSp macro="">
      <xdr:nvCxnSpPr>
        <xdr:cNvPr id="439" name="Conector recto 438">
          <a:extLst>
            <a:ext uri="{FF2B5EF4-FFF2-40B4-BE49-F238E27FC236}">
              <a16:creationId xmlns:a16="http://schemas.microsoft.com/office/drawing/2014/main" id="{67B955FC-1F48-436D-9C14-00650F5CDC8F}"/>
            </a:ext>
          </a:extLst>
        </xdr:cNvPr>
        <xdr:cNvCxnSpPr/>
      </xdr:nvCxnSpPr>
      <xdr:spPr>
        <a:xfrm flipV="1">
          <a:off x="3972117" y="540586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2774</xdr:row>
      <xdr:rowOff>26102</xdr:rowOff>
    </xdr:from>
    <xdr:ext cx="1699468" cy="504272"/>
    <xdr:pic>
      <xdr:nvPicPr>
        <xdr:cNvPr id="440" name="Imagen 439">
          <a:extLst>
            <a:ext uri="{FF2B5EF4-FFF2-40B4-BE49-F238E27FC236}">
              <a16:creationId xmlns:a16="http://schemas.microsoft.com/office/drawing/2014/main" id="{96BA61D9-07F5-4EE9-AF73-5C6BC218F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0303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2774</xdr:row>
      <xdr:rowOff>309563</xdr:rowOff>
    </xdr:from>
    <xdr:to>
      <xdr:col>8</xdr:col>
      <xdr:colOff>494110</xdr:colOff>
      <xdr:row>2774</xdr:row>
      <xdr:rowOff>317462</xdr:rowOff>
    </xdr:to>
    <xdr:cxnSp macro="">
      <xdr:nvCxnSpPr>
        <xdr:cNvPr id="441" name="Conector recto 440">
          <a:extLst>
            <a:ext uri="{FF2B5EF4-FFF2-40B4-BE49-F238E27FC236}">
              <a16:creationId xmlns:a16="http://schemas.microsoft.com/office/drawing/2014/main" id="{1189CB6B-8B67-44EE-A6A6-9E396B12197C}"/>
            </a:ext>
          </a:extLst>
        </xdr:cNvPr>
        <xdr:cNvCxnSpPr/>
      </xdr:nvCxnSpPr>
      <xdr:spPr>
        <a:xfrm flipV="1">
          <a:off x="3972117" y="540586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2774</xdr:row>
      <xdr:rowOff>26102</xdr:rowOff>
    </xdr:from>
    <xdr:ext cx="1699468" cy="504272"/>
    <xdr:pic>
      <xdr:nvPicPr>
        <xdr:cNvPr id="442" name="Imagen 441">
          <a:extLst>
            <a:ext uri="{FF2B5EF4-FFF2-40B4-BE49-F238E27FC236}">
              <a16:creationId xmlns:a16="http://schemas.microsoft.com/office/drawing/2014/main" id="{2B09C2F7-2C08-4398-9951-595D38C26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0303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2774</xdr:row>
      <xdr:rowOff>309563</xdr:rowOff>
    </xdr:from>
    <xdr:to>
      <xdr:col>8</xdr:col>
      <xdr:colOff>494110</xdr:colOff>
      <xdr:row>2774</xdr:row>
      <xdr:rowOff>317462</xdr:rowOff>
    </xdr:to>
    <xdr:cxnSp macro="">
      <xdr:nvCxnSpPr>
        <xdr:cNvPr id="443" name="Conector recto 442">
          <a:extLst>
            <a:ext uri="{FF2B5EF4-FFF2-40B4-BE49-F238E27FC236}">
              <a16:creationId xmlns:a16="http://schemas.microsoft.com/office/drawing/2014/main" id="{9A6245A2-1936-4B86-B5AD-7F8DFCDF5821}"/>
            </a:ext>
          </a:extLst>
        </xdr:cNvPr>
        <xdr:cNvCxnSpPr/>
      </xdr:nvCxnSpPr>
      <xdr:spPr>
        <a:xfrm flipV="1">
          <a:off x="3972117" y="540586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2774</xdr:row>
      <xdr:rowOff>26102</xdr:rowOff>
    </xdr:from>
    <xdr:ext cx="1699468" cy="504272"/>
    <xdr:pic>
      <xdr:nvPicPr>
        <xdr:cNvPr id="444" name="Imagen 443">
          <a:extLst>
            <a:ext uri="{FF2B5EF4-FFF2-40B4-BE49-F238E27FC236}">
              <a16:creationId xmlns:a16="http://schemas.microsoft.com/office/drawing/2014/main" id="{4A543C6F-0293-4C5C-861C-32188346C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0303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2774</xdr:row>
      <xdr:rowOff>309563</xdr:rowOff>
    </xdr:from>
    <xdr:to>
      <xdr:col>8</xdr:col>
      <xdr:colOff>494110</xdr:colOff>
      <xdr:row>2774</xdr:row>
      <xdr:rowOff>317462</xdr:rowOff>
    </xdr:to>
    <xdr:cxnSp macro="">
      <xdr:nvCxnSpPr>
        <xdr:cNvPr id="445" name="Conector recto 444">
          <a:extLst>
            <a:ext uri="{FF2B5EF4-FFF2-40B4-BE49-F238E27FC236}">
              <a16:creationId xmlns:a16="http://schemas.microsoft.com/office/drawing/2014/main" id="{6883D202-792D-4572-B803-9428B63683C4}"/>
            </a:ext>
          </a:extLst>
        </xdr:cNvPr>
        <xdr:cNvCxnSpPr/>
      </xdr:nvCxnSpPr>
      <xdr:spPr>
        <a:xfrm flipV="1">
          <a:off x="3972117" y="540586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2774</xdr:row>
      <xdr:rowOff>26102</xdr:rowOff>
    </xdr:from>
    <xdr:ext cx="1699468" cy="504272"/>
    <xdr:pic>
      <xdr:nvPicPr>
        <xdr:cNvPr id="446" name="Imagen 445">
          <a:extLst>
            <a:ext uri="{FF2B5EF4-FFF2-40B4-BE49-F238E27FC236}">
              <a16:creationId xmlns:a16="http://schemas.microsoft.com/office/drawing/2014/main" id="{825E66F1-997D-4E88-9F14-A6515C3B70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0303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2774</xdr:row>
      <xdr:rowOff>309563</xdr:rowOff>
    </xdr:from>
    <xdr:to>
      <xdr:col>8</xdr:col>
      <xdr:colOff>494110</xdr:colOff>
      <xdr:row>2774</xdr:row>
      <xdr:rowOff>317462</xdr:rowOff>
    </xdr:to>
    <xdr:cxnSp macro="">
      <xdr:nvCxnSpPr>
        <xdr:cNvPr id="447" name="Conector recto 446">
          <a:extLst>
            <a:ext uri="{FF2B5EF4-FFF2-40B4-BE49-F238E27FC236}">
              <a16:creationId xmlns:a16="http://schemas.microsoft.com/office/drawing/2014/main" id="{94351B70-D9C6-4B8E-B87D-57DCCB4C0E49}"/>
            </a:ext>
          </a:extLst>
        </xdr:cNvPr>
        <xdr:cNvCxnSpPr/>
      </xdr:nvCxnSpPr>
      <xdr:spPr>
        <a:xfrm flipV="1">
          <a:off x="3972117" y="540586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2819</xdr:row>
      <xdr:rowOff>26102</xdr:rowOff>
    </xdr:from>
    <xdr:ext cx="1699468" cy="504272"/>
    <xdr:pic>
      <xdr:nvPicPr>
        <xdr:cNvPr id="448" name="Imagen 447">
          <a:extLst>
            <a:ext uri="{FF2B5EF4-FFF2-40B4-BE49-F238E27FC236}">
              <a16:creationId xmlns:a16="http://schemas.microsoft.com/office/drawing/2014/main" id="{D1590C72-051F-4E78-B239-AA178E1E3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9155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2819</xdr:row>
      <xdr:rowOff>309563</xdr:rowOff>
    </xdr:from>
    <xdr:to>
      <xdr:col>8</xdr:col>
      <xdr:colOff>494110</xdr:colOff>
      <xdr:row>2819</xdr:row>
      <xdr:rowOff>317462</xdr:rowOff>
    </xdr:to>
    <xdr:cxnSp macro="">
      <xdr:nvCxnSpPr>
        <xdr:cNvPr id="449" name="Conector recto 448">
          <a:extLst>
            <a:ext uri="{FF2B5EF4-FFF2-40B4-BE49-F238E27FC236}">
              <a16:creationId xmlns:a16="http://schemas.microsoft.com/office/drawing/2014/main" id="{0D3842C1-202C-4854-BAC1-1D201C238BC0}"/>
            </a:ext>
          </a:extLst>
        </xdr:cNvPr>
        <xdr:cNvCxnSpPr/>
      </xdr:nvCxnSpPr>
      <xdr:spPr>
        <a:xfrm flipV="1">
          <a:off x="3972117" y="549438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2819</xdr:row>
      <xdr:rowOff>26102</xdr:rowOff>
    </xdr:from>
    <xdr:ext cx="1699468" cy="504272"/>
    <xdr:pic>
      <xdr:nvPicPr>
        <xdr:cNvPr id="450" name="Imagen 449">
          <a:extLst>
            <a:ext uri="{FF2B5EF4-FFF2-40B4-BE49-F238E27FC236}">
              <a16:creationId xmlns:a16="http://schemas.microsoft.com/office/drawing/2014/main" id="{59B7214E-856A-4450-964E-B104146E3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9155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2819</xdr:row>
      <xdr:rowOff>309563</xdr:rowOff>
    </xdr:from>
    <xdr:to>
      <xdr:col>8</xdr:col>
      <xdr:colOff>494110</xdr:colOff>
      <xdr:row>2819</xdr:row>
      <xdr:rowOff>317462</xdr:rowOff>
    </xdr:to>
    <xdr:cxnSp macro="">
      <xdr:nvCxnSpPr>
        <xdr:cNvPr id="451" name="Conector recto 450">
          <a:extLst>
            <a:ext uri="{FF2B5EF4-FFF2-40B4-BE49-F238E27FC236}">
              <a16:creationId xmlns:a16="http://schemas.microsoft.com/office/drawing/2014/main" id="{DFF24245-6BC6-4C1A-8396-2ABF1FCF927A}"/>
            </a:ext>
          </a:extLst>
        </xdr:cNvPr>
        <xdr:cNvCxnSpPr/>
      </xdr:nvCxnSpPr>
      <xdr:spPr>
        <a:xfrm flipV="1">
          <a:off x="3972117" y="549438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2819</xdr:row>
      <xdr:rowOff>26102</xdr:rowOff>
    </xdr:from>
    <xdr:ext cx="1699468" cy="504272"/>
    <xdr:pic>
      <xdr:nvPicPr>
        <xdr:cNvPr id="452" name="Imagen 451">
          <a:extLst>
            <a:ext uri="{FF2B5EF4-FFF2-40B4-BE49-F238E27FC236}">
              <a16:creationId xmlns:a16="http://schemas.microsoft.com/office/drawing/2014/main" id="{CF48A144-15AB-4902-84DD-EC98A7151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9155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2819</xdr:row>
      <xdr:rowOff>309563</xdr:rowOff>
    </xdr:from>
    <xdr:to>
      <xdr:col>8</xdr:col>
      <xdr:colOff>494110</xdr:colOff>
      <xdr:row>2819</xdr:row>
      <xdr:rowOff>317462</xdr:rowOff>
    </xdr:to>
    <xdr:cxnSp macro="">
      <xdr:nvCxnSpPr>
        <xdr:cNvPr id="453" name="Conector recto 452">
          <a:extLst>
            <a:ext uri="{FF2B5EF4-FFF2-40B4-BE49-F238E27FC236}">
              <a16:creationId xmlns:a16="http://schemas.microsoft.com/office/drawing/2014/main" id="{52C36E76-5AB7-45B3-B445-CAA87F6AE69C}"/>
            </a:ext>
          </a:extLst>
        </xdr:cNvPr>
        <xdr:cNvCxnSpPr/>
      </xdr:nvCxnSpPr>
      <xdr:spPr>
        <a:xfrm flipV="1">
          <a:off x="3972117" y="549438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2819</xdr:row>
      <xdr:rowOff>26102</xdr:rowOff>
    </xdr:from>
    <xdr:ext cx="1699468" cy="504272"/>
    <xdr:pic>
      <xdr:nvPicPr>
        <xdr:cNvPr id="454" name="Imagen 453">
          <a:extLst>
            <a:ext uri="{FF2B5EF4-FFF2-40B4-BE49-F238E27FC236}">
              <a16:creationId xmlns:a16="http://schemas.microsoft.com/office/drawing/2014/main" id="{C12D8F1B-ABCC-444C-A9B5-5428143AE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9155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2819</xdr:row>
      <xdr:rowOff>309563</xdr:rowOff>
    </xdr:from>
    <xdr:to>
      <xdr:col>8</xdr:col>
      <xdr:colOff>494110</xdr:colOff>
      <xdr:row>2819</xdr:row>
      <xdr:rowOff>317462</xdr:rowOff>
    </xdr:to>
    <xdr:cxnSp macro="">
      <xdr:nvCxnSpPr>
        <xdr:cNvPr id="455" name="Conector recto 454">
          <a:extLst>
            <a:ext uri="{FF2B5EF4-FFF2-40B4-BE49-F238E27FC236}">
              <a16:creationId xmlns:a16="http://schemas.microsoft.com/office/drawing/2014/main" id="{2806DEC8-30BD-4F13-8F9E-F9770F13A2C1}"/>
            </a:ext>
          </a:extLst>
        </xdr:cNvPr>
        <xdr:cNvCxnSpPr/>
      </xdr:nvCxnSpPr>
      <xdr:spPr>
        <a:xfrm flipV="1">
          <a:off x="3972117" y="549438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2819</xdr:row>
      <xdr:rowOff>26102</xdr:rowOff>
    </xdr:from>
    <xdr:ext cx="1699468" cy="504272"/>
    <xdr:pic>
      <xdr:nvPicPr>
        <xdr:cNvPr id="456" name="Imagen 455">
          <a:extLst>
            <a:ext uri="{FF2B5EF4-FFF2-40B4-BE49-F238E27FC236}">
              <a16:creationId xmlns:a16="http://schemas.microsoft.com/office/drawing/2014/main" id="{C23E75DA-E4F5-41EB-B5E4-131ADBCE7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9155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2819</xdr:row>
      <xdr:rowOff>309563</xdr:rowOff>
    </xdr:from>
    <xdr:to>
      <xdr:col>8</xdr:col>
      <xdr:colOff>494110</xdr:colOff>
      <xdr:row>2819</xdr:row>
      <xdr:rowOff>317462</xdr:rowOff>
    </xdr:to>
    <xdr:cxnSp macro="">
      <xdr:nvCxnSpPr>
        <xdr:cNvPr id="457" name="Conector recto 456">
          <a:extLst>
            <a:ext uri="{FF2B5EF4-FFF2-40B4-BE49-F238E27FC236}">
              <a16:creationId xmlns:a16="http://schemas.microsoft.com/office/drawing/2014/main" id="{7CF682F4-0A48-49F4-B17F-4004D3CB6E20}"/>
            </a:ext>
          </a:extLst>
        </xdr:cNvPr>
        <xdr:cNvCxnSpPr/>
      </xdr:nvCxnSpPr>
      <xdr:spPr>
        <a:xfrm flipV="1">
          <a:off x="3972117" y="549438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2819</xdr:row>
      <xdr:rowOff>26102</xdr:rowOff>
    </xdr:from>
    <xdr:ext cx="1699468" cy="504272"/>
    <xdr:pic>
      <xdr:nvPicPr>
        <xdr:cNvPr id="458" name="Imagen 457">
          <a:extLst>
            <a:ext uri="{FF2B5EF4-FFF2-40B4-BE49-F238E27FC236}">
              <a16:creationId xmlns:a16="http://schemas.microsoft.com/office/drawing/2014/main" id="{7950139B-F6ED-428E-A987-99B0B3716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9155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2819</xdr:row>
      <xdr:rowOff>309563</xdr:rowOff>
    </xdr:from>
    <xdr:to>
      <xdr:col>8</xdr:col>
      <xdr:colOff>494110</xdr:colOff>
      <xdr:row>2819</xdr:row>
      <xdr:rowOff>317462</xdr:rowOff>
    </xdr:to>
    <xdr:cxnSp macro="">
      <xdr:nvCxnSpPr>
        <xdr:cNvPr id="459" name="Conector recto 458">
          <a:extLst>
            <a:ext uri="{FF2B5EF4-FFF2-40B4-BE49-F238E27FC236}">
              <a16:creationId xmlns:a16="http://schemas.microsoft.com/office/drawing/2014/main" id="{E086323F-1B6D-4F37-9BF5-574BB9461AEE}"/>
            </a:ext>
          </a:extLst>
        </xdr:cNvPr>
        <xdr:cNvCxnSpPr/>
      </xdr:nvCxnSpPr>
      <xdr:spPr>
        <a:xfrm flipV="1">
          <a:off x="3972117" y="549438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2819</xdr:row>
      <xdr:rowOff>26102</xdr:rowOff>
    </xdr:from>
    <xdr:ext cx="1699468" cy="504272"/>
    <xdr:pic>
      <xdr:nvPicPr>
        <xdr:cNvPr id="460" name="Imagen 459">
          <a:extLst>
            <a:ext uri="{FF2B5EF4-FFF2-40B4-BE49-F238E27FC236}">
              <a16:creationId xmlns:a16="http://schemas.microsoft.com/office/drawing/2014/main" id="{902F1ADF-DA9F-4767-A472-CC6C3C70D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9155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2819</xdr:row>
      <xdr:rowOff>309563</xdr:rowOff>
    </xdr:from>
    <xdr:to>
      <xdr:col>8</xdr:col>
      <xdr:colOff>494110</xdr:colOff>
      <xdr:row>2819</xdr:row>
      <xdr:rowOff>317462</xdr:rowOff>
    </xdr:to>
    <xdr:cxnSp macro="">
      <xdr:nvCxnSpPr>
        <xdr:cNvPr id="461" name="Conector recto 460">
          <a:extLst>
            <a:ext uri="{FF2B5EF4-FFF2-40B4-BE49-F238E27FC236}">
              <a16:creationId xmlns:a16="http://schemas.microsoft.com/office/drawing/2014/main" id="{F9498F47-BB22-40F1-800D-9D0F5D7DB44E}"/>
            </a:ext>
          </a:extLst>
        </xdr:cNvPr>
        <xdr:cNvCxnSpPr/>
      </xdr:nvCxnSpPr>
      <xdr:spPr>
        <a:xfrm flipV="1">
          <a:off x="3972117" y="549438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2819</xdr:row>
      <xdr:rowOff>26102</xdr:rowOff>
    </xdr:from>
    <xdr:ext cx="1699468" cy="504272"/>
    <xdr:pic>
      <xdr:nvPicPr>
        <xdr:cNvPr id="462" name="Imagen 461">
          <a:extLst>
            <a:ext uri="{FF2B5EF4-FFF2-40B4-BE49-F238E27FC236}">
              <a16:creationId xmlns:a16="http://schemas.microsoft.com/office/drawing/2014/main" id="{0AEEB23B-0EEC-4A34-98A8-C3316BB62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49155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2819</xdr:row>
      <xdr:rowOff>309563</xdr:rowOff>
    </xdr:from>
    <xdr:to>
      <xdr:col>8</xdr:col>
      <xdr:colOff>494110</xdr:colOff>
      <xdr:row>2819</xdr:row>
      <xdr:rowOff>317462</xdr:rowOff>
    </xdr:to>
    <xdr:cxnSp macro="">
      <xdr:nvCxnSpPr>
        <xdr:cNvPr id="463" name="Conector recto 462">
          <a:extLst>
            <a:ext uri="{FF2B5EF4-FFF2-40B4-BE49-F238E27FC236}">
              <a16:creationId xmlns:a16="http://schemas.microsoft.com/office/drawing/2014/main" id="{56E7ADE3-572F-41D4-B0C7-F0E4C64CD7E7}"/>
            </a:ext>
          </a:extLst>
        </xdr:cNvPr>
        <xdr:cNvCxnSpPr/>
      </xdr:nvCxnSpPr>
      <xdr:spPr>
        <a:xfrm flipV="1">
          <a:off x="3972117" y="549438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2864</xdr:row>
      <xdr:rowOff>26102</xdr:rowOff>
    </xdr:from>
    <xdr:ext cx="1699468" cy="504272"/>
    <xdr:pic>
      <xdr:nvPicPr>
        <xdr:cNvPr id="464" name="Imagen 463">
          <a:extLst>
            <a:ext uri="{FF2B5EF4-FFF2-40B4-BE49-F238E27FC236}">
              <a16:creationId xmlns:a16="http://schemas.microsoft.com/office/drawing/2014/main" id="{79A08982-6AA3-46A0-B7C7-C6F5145DE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58006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2864</xdr:row>
      <xdr:rowOff>309563</xdr:rowOff>
    </xdr:from>
    <xdr:to>
      <xdr:col>8</xdr:col>
      <xdr:colOff>494110</xdr:colOff>
      <xdr:row>2864</xdr:row>
      <xdr:rowOff>317462</xdr:rowOff>
    </xdr:to>
    <xdr:cxnSp macro="">
      <xdr:nvCxnSpPr>
        <xdr:cNvPr id="465" name="Conector recto 464">
          <a:extLst>
            <a:ext uri="{FF2B5EF4-FFF2-40B4-BE49-F238E27FC236}">
              <a16:creationId xmlns:a16="http://schemas.microsoft.com/office/drawing/2014/main" id="{1C938783-5FC4-49DA-9945-B201B0587AB2}"/>
            </a:ext>
          </a:extLst>
        </xdr:cNvPr>
        <xdr:cNvCxnSpPr/>
      </xdr:nvCxnSpPr>
      <xdr:spPr>
        <a:xfrm flipV="1">
          <a:off x="3972117" y="558290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2864</xdr:row>
      <xdr:rowOff>26102</xdr:rowOff>
    </xdr:from>
    <xdr:ext cx="1699468" cy="504272"/>
    <xdr:pic>
      <xdr:nvPicPr>
        <xdr:cNvPr id="466" name="Imagen 465">
          <a:extLst>
            <a:ext uri="{FF2B5EF4-FFF2-40B4-BE49-F238E27FC236}">
              <a16:creationId xmlns:a16="http://schemas.microsoft.com/office/drawing/2014/main" id="{99BF18C8-BCBE-496F-9FBE-A47279F59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58006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2864</xdr:row>
      <xdr:rowOff>309563</xdr:rowOff>
    </xdr:from>
    <xdr:to>
      <xdr:col>8</xdr:col>
      <xdr:colOff>494110</xdr:colOff>
      <xdr:row>2864</xdr:row>
      <xdr:rowOff>317462</xdr:rowOff>
    </xdr:to>
    <xdr:cxnSp macro="">
      <xdr:nvCxnSpPr>
        <xdr:cNvPr id="467" name="Conector recto 466">
          <a:extLst>
            <a:ext uri="{FF2B5EF4-FFF2-40B4-BE49-F238E27FC236}">
              <a16:creationId xmlns:a16="http://schemas.microsoft.com/office/drawing/2014/main" id="{A02EE40F-1368-4D68-A250-353EA85062F6}"/>
            </a:ext>
          </a:extLst>
        </xdr:cNvPr>
        <xdr:cNvCxnSpPr/>
      </xdr:nvCxnSpPr>
      <xdr:spPr>
        <a:xfrm flipV="1">
          <a:off x="3972117" y="558290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2864</xdr:row>
      <xdr:rowOff>26102</xdr:rowOff>
    </xdr:from>
    <xdr:ext cx="1699468" cy="504272"/>
    <xdr:pic>
      <xdr:nvPicPr>
        <xdr:cNvPr id="468" name="Imagen 467">
          <a:extLst>
            <a:ext uri="{FF2B5EF4-FFF2-40B4-BE49-F238E27FC236}">
              <a16:creationId xmlns:a16="http://schemas.microsoft.com/office/drawing/2014/main" id="{83346438-2979-43C7-A5AF-9A3D0AB6F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58006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2864</xdr:row>
      <xdr:rowOff>309563</xdr:rowOff>
    </xdr:from>
    <xdr:to>
      <xdr:col>8</xdr:col>
      <xdr:colOff>494110</xdr:colOff>
      <xdr:row>2864</xdr:row>
      <xdr:rowOff>317462</xdr:rowOff>
    </xdr:to>
    <xdr:cxnSp macro="">
      <xdr:nvCxnSpPr>
        <xdr:cNvPr id="469" name="Conector recto 468">
          <a:extLst>
            <a:ext uri="{FF2B5EF4-FFF2-40B4-BE49-F238E27FC236}">
              <a16:creationId xmlns:a16="http://schemas.microsoft.com/office/drawing/2014/main" id="{A52760D6-11F3-4F6D-862D-745A63F7F524}"/>
            </a:ext>
          </a:extLst>
        </xdr:cNvPr>
        <xdr:cNvCxnSpPr/>
      </xdr:nvCxnSpPr>
      <xdr:spPr>
        <a:xfrm flipV="1">
          <a:off x="3972117" y="558290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2864</xdr:row>
      <xdr:rowOff>26102</xdr:rowOff>
    </xdr:from>
    <xdr:ext cx="1699468" cy="504272"/>
    <xdr:pic>
      <xdr:nvPicPr>
        <xdr:cNvPr id="470" name="Imagen 469">
          <a:extLst>
            <a:ext uri="{FF2B5EF4-FFF2-40B4-BE49-F238E27FC236}">
              <a16:creationId xmlns:a16="http://schemas.microsoft.com/office/drawing/2014/main" id="{E16DE484-5AB3-406B-95AD-5E9E29D2F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58006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2864</xdr:row>
      <xdr:rowOff>309563</xdr:rowOff>
    </xdr:from>
    <xdr:to>
      <xdr:col>8</xdr:col>
      <xdr:colOff>494110</xdr:colOff>
      <xdr:row>2864</xdr:row>
      <xdr:rowOff>317462</xdr:rowOff>
    </xdr:to>
    <xdr:cxnSp macro="">
      <xdr:nvCxnSpPr>
        <xdr:cNvPr id="471" name="Conector recto 470">
          <a:extLst>
            <a:ext uri="{FF2B5EF4-FFF2-40B4-BE49-F238E27FC236}">
              <a16:creationId xmlns:a16="http://schemas.microsoft.com/office/drawing/2014/main" id="{36B71C9D-D689-4B6D-A1BA-BE9590CA0496}"/>
            </a:ext>
          </a:extLst>
        </xdr:cNvPr>
        <xdr:cNvCxnSpPr/>
      </xdr:nvCxnSpPr>
      <xdr:spPr>
        <a:xfrm flipV="1">
          <a:off x="3972117" y="558290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2864</xdr:row>
      <xdr:rowOff>26102</xdr:rowOff>
    </xdr:from>
    <xdr:ext cx="1699468" cy="504272"/>
    <xdr:pic>
      <xdr:nvPicPr>
        <xdr:cNvPr id="472" name="Imagen 471">
          <a:extLst>
            <a:ext uri="{FF2B5EF4-FFF2-40B4-BE49-F238E27FC236}">
              <a16:creationId xmlns:a16="http://schemas.microsoft.com/office/drawing/2014/main" id="{EE0E4E68-668D-4DAF-A568-FA75E48611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58006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2864</xdr:row>
      <xdr:rowOff>309563</xdr:rowOff>
    </xdr:from>
    <xdr:to>
      <xdr:col>8</xdr:col>
      <xdr:colOff>494110</xdr:colOff>
      <xdr:row>2864</xdr:row>
      <xdr:rowOff>317462</xdr:rowOff>
    </xdr:to>
    <xdr:cxnSp macro="">
      <xdr:nvCxnSpPr>
        <xdr:cNvPr id="473" name="Conector recto 472">
          <a:extLst>
            <a:ext uri="{FF2B5EF4-FFF2-40B4-BE49-F238E27FC236}">
              <a16:creationId xmlns:a16="http://schemas.microsoft.com/office/drawing/2014/main" id="{C508E505-B4D5-47C9-A386-E175D7DD482D}"/>
            </a:ext>
          </a:extLst>
        </xdr:cNvPr>
        <xdr:cNvCxnSpPr/>
      </xdr:nvCxnSpPr>
      <xdr:spPr>
        <a:xfrm flipV="1">
          <a:off x="3972117" y="558290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2864</xdr:row>
      <xdr:rowOff>26102</xdr:rowOff>
    </xdr:from>
    <xdr:ext cx="1699468" cy="504272"/>
    <xdr:pic>
      <xdr:nvPicPr>
        <xdr:cNvPr id="474" name="Imagen 473">
          <a:extLst>
            <a:ext uri="{FF2B5EF4-FFF2-40B4-BE49-F238E27FC236}">
              <a16:creationId xmlns:a16="http://schemas.microsoft.com/office/drawing/2014/main" id="{01D61D88-05E2-4675-9F72-009BFAA98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58006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2864</xdr:row>
      <xdr:rowOff>309563</xdr:rowOff>
    </xdr:from>
    <xdr:to>
      <xdr:col>8</xdr:col>
      <xdr:colOff>494110</xdr:colOff>
      <xdr:row>2864</xdr:row>
      <xdr:rowOff>317462</xdr:rowOff>
    </xdr:to>
    <xdr:cxnSp macro="">
      <xdr:nvCxnSpPr>
        <xdr:cNvPr id="475" name="Conector recto 474">
          <a:extLst>
            <a:ext uri="{FF2B5EF4-FFF2-40B4-BE49-F238E27FC236}">
              <a16:creationId xmlns:a16="http://schemas.microsoft.com/office/drawing/2014/main" id="{955C4F01-0C71-4E01-A6C4-74EAB87EDD27}"/>
            </a:ext>
          </a:extLst>
        </xdr:cNvPr>
        <xdr:cNvCxnSpPr/>
      </xdr:nvCxnSpPr>
      <xdr:spPr>
        <a:xfrm flipV="1">
          <a:off x="3972117" y="558290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2864</xdr:row>
      <xdr:rowOff>26102</xdr:rowOff>
    </xdr:from>
    <xdr:ext cx="1699468" cy="504272"/>
    <xdr:pic>
      <xdr:nvPicPr>
        <xdr:cNvPr id="476" name="Imagen 475">
          <a:extLst>
            <a:ext uri="{FF2B5EF4-FFF2-40B4-BE49-F238E27FC236}">
              <a16:creationId xmlns:a16="http://schemas.microsoft.com/office/drawing/2014/main" id="{F3D2C166-3A89-4912-B98A-D78669BB2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58006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2864</xdr:row>
      <xdr:rowOff>309563</xdr:rowOff>
    </xdr:from>
    <xdr:to>
      <xdr:col>8</xdr:col>
      <xdr:colOff>494110</xdr:colOff>
      <xdr:row>2864</xdr:row>
      <xdr:rowOff>317462</xdr:rowOff>
    </xdr:to>
    <xdr:cxnSp macro="">
      <xdr:nvCxnSpPr>
        <xdr:cNvPr id="477" name="Conector recto 476">
          <a:extLst>
            <a:ext uri="{FF2B5EF4-FFF2-40B4-BE49-F238E27FC236}">
              <a16:creationId xmlns:a16="http://schemas.microsoft.com/office/drawing/2014/main" id="{E23C4509-6FAC-4096-8999-BAF43589DDCB}"/>
            </a:ext>
          </a:extLst>
        </xdr:cNvPr>
        <xdr:cNvCxnSpPr/>
      </xdr:nvCxnSpPr>
      <xdr:spPr>
        <a:xfrm flipV="1">
          <a:off x="3972117" y="558290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2864</xdr:row>
      <xdr:rowOff>26102</xdr:rowOff>
    </xdr:from>
    <xdr:ext cx="1699468" cy="504272"/>
    <xdr:pic>
      <xdr:nvPicPr>
        <xdr:cNvPr id="478" name="Imagen 477">
          <a:extLst>
            <a:ext uri="{FF2B5EF4-FFF2-40B4-BE49-F238E27FC236}">
              <a16:creationId xmlns:a16="http://schemas.microsoft.com/office/drawing/2014/main" id="{C600BF4D-68FE-449F-B9C4-8E6A0790A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58006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2864</xdr:row>
      <xdr:rowOff>309563</xdr:rowOff>
    </xdr:from>
    <xdr:to>
      <xdr:col>8</xdr:col>
      <xdr:colOff>494110</xdr:colOff>
      <xdr:row>2864</xdr:row>
      <xdr:rowOff>317462</xdr:rowOff>
    </xdr:to>
    <xdr:cxnSp macro="">
      <xdr:nvCxnSpPr>
        <xdr:cNvPr id="479" name="Conector recto 478">
          <a:extLst>
            <a:ext uri="{FF2B5EF4-FFF2-40B4-BE49-F238E27FC236}">
              <a16:creationId xmlns:a16="http://schemas.microsoft.com/office/drawing/2014/main" id="{ECB1074D-68F6-4356-BE38-DA377B3D58B9}"/>
            </a:ext>
          </a:extLst>
        </xdr:cNvPr>
        <xdr:cNvCxnSpPr/>
      </xdr:nvCxnSpPr>
      <xdr:spPr>
        <a:xfrm flipV="1">
          <a:off x="3972117" y="558290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2909</xdr:row>
      <xdr:rowOff>26102</xdr:rowOff>
    </xdr:from>
    <xdr:ext cx="1699468" cy="504272"/>
    <xdr:pic>
      <xdr:nvPicPr>
        <xdr:cNvPr id="480" name="Imagen 479">
          <a:extLst>
            <a:ext uri="{FF2B5EF4-FFF2-40B4-BE49-F238E27FC236}">
              <a16:creationId xmlns:a16="http://schemas.microsoft.com/office/drawing/2014/main" id="{B5F1A4A4-3D80-48D8-89AB-CA9417C10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66858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2909</xdr:row>
      <xdr:rowOff>309563</xdr:rowOff>
    </xdr:from>
    <xdr:to>
      <xdr:col>8</xdr:col>
      <xdr:colOff>494110</xdr:colOff>
      <xdr:row>2909</xdr:row>
      <xdr:rowOff>317462</xdr:rowOff>
    </xdr:to>
    <xdr:cxnSp macro="">
      <xdr:nvCxnSpPr>
        <xdr:cNvPr id="481" name="Conector recto 480">
          <a:extLst>
            <a:ext uri="{FF2B5EF4-FFF2-40B4-BE49-F238E27FC236}">
              <a16:creationId xmlns:a16="http://schemas.microsoft.com/office/drawing/2014/main" id="{F55693F6-7A61-4DA9-B645-58103C435F28}"/>
            </a:ext>
          </a:extLst>
        </xdr:cNvPr>
        <xdr:cNvCxnSpPr/>
      </xdr:nvCxnSpPr>
      <xdr:spPr>
        <a:xfrm flipV="1">
          <a:off x="3972117" y="567142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2909</xdr:row>
      <xdr:rowOff>26102</xdr:rowOff>
    </xdr:from>
    <xdr:ext cx="1699468" cy="504272"/>
    <xdr:pic>
      <xdr:nvPicPr>
        <xdr:cNvPr id="482" name="Imagen 481">
          <a:extLst>
            <a:ext uri="{FF2B5EF4-FFF2-40B4-BE49-F238E27FC236}">
              <a16:creationId xmlns:a16="http://schemas.microsoft.com/office/drawing/2014/main" id="{1A5DA9DF-D568-41E2-88B6-CF0631628B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66858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2909</xdr:row>
      <xdr:rowOff>309563</xdr:rowOff>
    </xdr:from>
    <xdr:to>
      <xdr:col>8</xdr:col>
      <xdr:colOff>494110</xdr:colOff>
      <xdr:row>2909</xdr:row>
      <xdr:rowOff>317462</xdr:rowOff>
    </xdr:to>
    <xdr:cxnSp macro="">
      <xdr:nvCxnSpPr>
        <xdr:cNvPr id="483" name="Conector recto 482">
          <a:extLst>
            <a:ext uri="{FF2B5EF4-FFF2-40B4-BE49-F238E27FC236}">
              <a16:creationId xmlns:a16="http://schemas.microsoft.com/office/drawing/2014/main" id="{D3A8FFB0-49C0-44FE-806D-5F341E5736D4}"/>
            </a:ext>
          </a:extLst>
        </xdr:cNvPr>
        <xdr:cNvCxnSpPr/>
      </xdr:nvCxnSpPr>
      <xdr:spPr>
        <a:xfrm flipV="1">
          <a:off x="3972117" y="567142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2909</xdr:row>
      <xdr:rowOff>26102</xdr:rowOff>
    </xdr:from>
    <xdr:ext cx="1699468" cy="504272"/>
    <xdr:pic>
      <xdr:nvPicPr>
        <xdr:cNvPr id="484" name="Imagen 483">
          <a:extLst>
            <a:ext uri="{FF2B5EF4-FFF2-40B4-BE49-F238E27FC236}">
              <a16:creationId xmlns:a16="http://schemas.microsoft.com/office/drawing/2014/main" id="{80257589-6A1F-414E-B798-23E354A14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66858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2909</xdr:row>
      <xdr:rowOff>309563</xdr:rowOff>
    </xdr:from>
    <xdr:to>
      <xdr:col>8</xdr:col>
      <xdr:colOff>494110</xdr:colOff>
      <xdr:row>2909</xdr:row>
      <xdr:rowOff>317462</xdr:rowOff>
    </xdr:to>
    <xdr:cxnSp macro="">
      <xdr:nvCxnSpPr>
        <xdr:cNvPr id="485" name="Conector recto 484">
          <a:extLst>
            <a:ext uri="{FF2B5EF4-FFF2-40B4-BE49-F238E27FC236}">
              <a16:creationId xmlns:a16="http://schemas.microsoft.com/office/drawing/2014/main" id="{E9108A59-0173-4755-B8FC-390B9CAC6DA5}"/>
            </a:ext>
          </a:extLst>
        </xdr:cNvPr>
        <xdr:cNvCxnSpPr/>
      </xdr:nvCxnSpPr>
      <xdr:spPr>
        <a:xfrm flipV="1">
          <a:off x="3972117" y="567142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2909</xdr:row>
      <xdr:rowOff>26102</xdr:rowOff>
    </xdr:from>
    <xdr:ext cx="1699468" cy="504272"/>
    <xdr:pic>
      <xdr:nvPicPr>
        <xdr:cNvPr id="486" name="Imagen 485">
          <a:extLst>
            <a:ext uri="{FF2B5EF4-FFF2-40B4-BE49-F238E27FC236}">
              <a16:creationId xmlns:a16="http://schemas.microsoft.com/office/drawing/2014/main" id="{1182D3CB-0EC4-4C91-9F71-6B823EE6D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66858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2909</xdr:row>
      <xdr:rowOff>309563</xdr:rowOff>
    </xdr:from>
    <xdr:to>
      <xdr:col>8</xdr:col>
      <xdr:colOff>494110</xdr:colOff>
      <xdr:row>2909</xdr:row>
      <xdr:rowOff>317462</xdr:rowOff>
    </xdr:to>
    <xdr:cxnSp macro="">
      <xdr:nvCxnSpPr>
        <xdr:cNvPr id="487" name="Conector recto 486">
          <a:extLst>
            <a:ext uri="{FF2B5EF4-FFF2-40B4-BE49-F238E27FC236}">
              <a16:creationId xmlns:a16="http://schemas.microsoft.com/office/drawing/2014/main" id="{2977BBF8-EA18-4884-8D2E-D8B6E5B7031B}"/>
            </a:ext>
          </a:extLst>
        </xdr:cNvPr>
        <xdr:cNvCxnSpPr/>
      </xdr:nvCxnSpPr>
      <xdr:spPr>
        <a:xfrm flipV="1">
          <a:off x="3972117" y="567142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2909</xdr:row>
      <xdr:rowOff>26102</xdr:rowOff>
    </xdr:from>
    <xdr:ext cx="1699468" cy="504272"/>
    <xdr:pic>
      <xdr:nvPicPr>
        <xdr:cNvPr id="488" name="Imagen 487">
          <a:extLst>
            <a:ext uri="{FF2B5EF4-FFF2-40B4-BE49-F238E27FC236}">
              <a16:creationId xmlns:a16="http://schemas.microsoft.com/office/drawing/2014/main" id="{DA4B9B1A-B4E5-4B78-A44A-E2E2242EF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66858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2909</xdr:row>
      <xdr:rowOff>309563</xdr:rowOff>
    </xdr:from>
    <xdr:to>
      <xdr:col>8</xdr:col>
      <xdr:colOff>494110</xdr:colOff>
      <xdr:row>2909</xdr:row>
      <xdr:rowOff>317462</xdr:rowOff>
    </xdr:to>
    <xdr:cxnSp macro="">
      <xdr:nvCxnSpPr>
        <xdr:cNvPr id="489" name="Conector recto 488">
          <a:extLst>
            <a:ext uri="{FF2B5EF4-FFF2-40B4-BE49-F238E27FC236}">
              <a16:creationId xmlns:a16="http://schemas.microsoft.com/office/drawing/2014/main" id="{CC9237EC-F2F9-4679-A8BE-35ADCC8CE8A2}"/>
            </a:ext>
          </a:extLst>
        </xdr:cNvPr>
        <xdr:cNvCxnSpPr/>
      </xdr:nvCxnSpPr>
      <xdr:spPr>
        <a:xfrm flipV="1">
          <a:off x="3972117" y="567142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2909</xdr:row>
      <xdr:rowOff>26102</xdr:rowOff>
    </xdr:from>
    <xdr:ext cx="1699468" cy="504272"/>
    <xdr:pic>
      <xdr:nvPicPr>
        <xdr:cNvPr id="490" name="Imagen 489">
          <a:extLst>
            <a:ext uri="{FF2B5EF4-FFF2-40B4-BE49-F238E27FC236}">
              <a16:creationId xmlns:a16="http://schemas.microsoft.com/office/drawing/2014/main" id="{C65B233D-F367-4F53-A1A3-87A35449F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66858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2909</xdr:row>
      <xdr:rowOff>309563</xdr:rowOff>
    </xdr:from>
    <xdr:to>
      <xdr:col>8</xdr:col>
      <xdr:colOff>494110</xdr:colOff>
      <xdr:row>2909</xdr:row>
      <xdr:rowOff>317462</xdr:rowOff>
    </xdr:to>
    <xdr:cxnSp macro="">
      <xdr:nvCxnSpPr>
        <xdr:cNvPr id="491" name="Conector recto 490">
          <a:extLst>
            <a:ext uri="{FF2B5EF4-FFF2-40B4-BE49-F238E27FC236}">
              <a16:creationId xmlns:a16="http://schemas.microsoft.com/office/drawing/2014/main" id="{D1C3CCD2-2D40-428D-8C25-6EC47940EC9B}"/>
            </a:ext>
          </a:extLst>
        </xdr:cNvPr>
        <xdr:cNvCxnSpPr/>
      </xdr:nvCxnSpPr>
      <xdr:spPr>
        <a:xfrm flipV="1">
          <a:off x="3972117" y="567142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2909</xdr:row>
      <xdr:rowOff>26102</xdr:rowOff>
    </xdr:from>
    <xdr:ext cx="1699468" cy="504272"/>
    <xdr:pic>
      <xdr:nvPicPr>
        <xdr:cNvPr id="492" name="Imagen 491">
          <a:extLst>
            <a:ext uri="{FF2B5EF4-FFF2-40B4-BE49-F238E27FC236}">
              <a16:creationId xmlns:a16="http://schemas.microsoft.com/office/drawing/2014/main" id="{471E95B5-86ED-4D67-8085-7F65C8EF6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66858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2909</xdr:row>
      <xdr:rowOff>309563</xdr:rowOff>
    </xdr:from>
    <xdr:to>
      <xdr:col>8</xdr:col>
      <xdr:colOff>494110</xdr:colOff>
      <xdr:row>2909</xdr:row>
      <xdr:rowOff>317462</xdr:rowOff>
    </xdr:to>
    <xdr:cxnSp macro="">
      <xdr:nvCxnSpPr>
        <xdr:cNvPr id="493" name="Conector recto 492">
          <a:extLst>
            <a:ext uri="{FF2B5EF4-FFF2-40B4-BE49-F238E27FC236}">
              <a16:creationId xmlns:a16="http://schemas.microsoft.com/office/drawing/2014/main" id="{31807244-16FB-417D-8253-EB2227588156}"/>
            </a:ext>
          </a:extLst>
        </xdr:cNvPr>
        <xdr:cNvCxnSpPr/>
      </xdr:nvCxnSpPr>
      <xdr:spPr>
        <a:xfrm flipV="1">
          <a:off x="3972117" y="567142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2909</xdr:row>
      <xdr:rowOff>26102</xdr:rowOff>
    </xdr:from>
    <xdr:ext cx="1699468" cy="504272"/>
    <xdr:pic>
      <xdr:nvPicPr>
        <xdr:cNvPr id="494" name="Imagen 493">
          <a:extLst>
            <a:ext uri="{FF2B5EF4-FFF2-40B4-BE49-F238E27FC236}">
              <a16:creationId xmlns:a16="http://schemas.microsoft.com/office/drawing/2014/main" id="{FF50A03D-7C75-448B-BB40-E31F31893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66858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2909</xdr:row>
      <xdr:rowOff>309563</xdr:rowOff>
    </xdr:from>
    <xdr:to>
      <xdr:col>8</xdr:col>
      <xdr:colOff>494110</xdr:colOff>
      <xdr:row>2909</xdr:row>
      <xdr:rowOff>317462</xdr:rowOff>
    </xdr:to>
    <xdr:cxnSp macro="">
      <xdr:nvCxnSpPr>
        <xdr:cNvPr id="495" name="Conector recto 494">
          <a:extLst>
            <a:ext uri="{FF2B5EF4-FFF2-40B4-BE49-F238E27FC236}">
              <a16:creationId xmlns:a16="http://schemas.microsoft.com/office/drawing/2014/main" id="{F0E5FD6F-67A3-4BAB-BE1F-BA6B9616E3A2}"/>
            </a:ext>
          </a:extLst>
        </xdr:cNvPr>
        <xdr:cNvCxnSpPr/>
      </xdr:nvCxnSpPr>
      <xdr:spPr>
        <a:xfrm flipV="1">
          <a:off x="3972117" y="567142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2954</xdr:row>
      <xdr:rowOff>26102</xdr:rowOff>
    </xdr:from>
    <xdr:ext cx="1699468" cy="504272"/>
    <xdr:pic>
      <xdr:nvPicPr>
        <xdr:cNvPr id="496" name="Imagen 495">
          <a:extLst>
            <a:ext uri="{FF2B5EF4-FFF2-40B4-BE49-F238E27FC236}">
              <a16:creationId xmlns:a16="http://schemas.microsoft.com/office/drawing/2014/main" id="{5BE4B8F0-AC0D-4D0E-90C1-CC7A9D7A5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75710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2954</xdr:row>
      <xdr:rowOff>309563</xdr:rowOff>
    </xdr:from>
    <xdr:to>
      <xdr:col>8</xdr:col>
      <xdr:colOff>494110</xdr:colOff>
      <xdr:row>2954</xdr:row>
      <xdr:rowOff>317462</xdr:rowOff>
    </xdr:to>
    <xdr:cxnSp macro="">
      <xdr:nvCxnSpPr>
        <xdr:cNvPr id="497" name="Conector recto 496">
          <a:extLst>
            <a:ext uri="{FF2B5EF4-FFF2-40B4-BE49-F238E27FC236}">
              <a16:creationId xmlns:a16="http://schemas.microsoft.com/office/drawing/2014/main" id="{E7ED7A10-F816-40E2-946D-813B467C1A26}"/>
            </a:ext>
          </a:extLst>
        </xdr:cNvPr>
        <xdr:cNvCxnSpPr/>
      </xdr:nvCxnSpPr>
      <xdr:spPr>
        <a:xfrm flipV="1">
          <a:off x="3972117" y="575994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2954</xdr:row>
      <xdr:rowOff>26102</xdr:rowOff>
    </xdr:from>
    <xdr:ext cx="1699468" cy="504272"/>
    <xdr:pic>
      <xdr:nvPicPr>
        <xdr:cNvPr id="498" name="Imagen 497">
          <a:extLst>
            <a:ext uri="{FF2B5EF4-FFF2-40B4-BE49-F238E27FC236}">
              <a16:creationId xmlns:a16="http://schemas.microsoft.com/office/drawing/2014/main" id="{9A5E512A-E7DF-4ECB-BF8C-56B56A7C1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75710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2954</xdr:row>
      <xdr:rowOff>309563</xdr:rowOff>
    </xdr:from>
    <xdr:to>
      <xdr:col>8</xdr:col>
      <xdr:colOff>494110</xdr:colOff>
      <xdr:row>2954</xdr:row>
      <xdr:rowOff>317462</xdr:rowOff>
    </xdr:to>
    <xdr:cxnSp macro="">
      <xdr:nvCxnSpPr>
        <xdr:cNvPr id="499" name="Conector recto 498">
          <a:extLst>
            <a:ext uri="{FF2B5EF4-FFF2-40B4-BE49-F238E27FC236}">
              <a16:creationId xmlns:a16="http://schemas.microsoft.com/office/drawing/2014/main" id="{DF216AB1-7452-4320-A011-894FBD4AAA80}"/>
            </a:ext>
          </a:extLst>
        </xdr:cNvPr>
        <xdr:cNvCxnSpPr/>
      </xdr:nvCxnSpPr>
      <xdr:spPr>
        <a:xfrm flipV="1">
          <a:off x="3972117" y="575994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2954</xdr:row>
      <xdr:rowOff>26102</xdr:rowOff>
    </xdr:from>
    <xdr:ext cx="1699468" cy="504272"/>
    <xdr:pic>
      <xdr:nvPicPr>
        <xdr:cNvPr id="500" name="Imagen 499">
          <a:extLst>
            <a:ext uri="{FF2B5EF4-FFF2-40B4-BE49-F238E27FC236}">
              <a16:creationId xmlns:a16="http://schemas.microsoft.com/office/drawing/2014/main" id="{4CC92ADE-DD8C-4066-B4DC-92ECB6554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75710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2954</xdr:row>
      <xdr:rowOff>309563</xdr:rowOff>
    </xdr:from>
    <xdr:to>
      <xdr:col>8</xdr:col>
      <xdr:colOff>494110</xdr:colOff>
      <xdr:row>2954</xdr:row>
      <xdr:rowOff>317462</xdr:rowOff>
    </xdr:to>
    <xdr:cxnSp macro="">
      <xdr:nvCxnSpPr>
        <xdr:cNvPr id="501" name="Conector recto 500">
          <a:extLst>
            <a:ext uri="{FF2B5EF4-FFF2-40B4-BE49-F238E27FC236}">
              <a16:creationId xmlns:a16="http://schemas.microsoft.com/office/drawing/2014/main" id="{1FBD10A4-F7B9-4FD5-AF1B-4BC84B18EF4B}"/>
            </a:ext>
          </a:extLst>
        </xdr:cNvPr>
        <xdr:cNvCxnSpPr/>
      </xdr:nvCxnSpPr>
      <xdr:spPr>
        <a:xfrm flipV="1">
          <a:off x="3972117" y="575994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2954</xdr:row>
      <xdr:rowOff>26102</xdr:rowOff>
    </xdr:from>
    <xdr:ext cx="1699468" cy="504272"/>
    <xdr:pic>
      <xdr:nvPicPr>
        <xdr:cNvPr id="502" name="Imagen 501">
          <a:extLst>
            <a:ext uri="{FF2B5EF4-FFF2-40B4-BE49-F238E27FC236}">
              <a16:creationId xmlns:a16="http://schemas.microsoft.com/office/drawing/2014/main" id="{233A4BBA-2A02-4E0E-ACC5-2EB4387CF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75710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2954</xdr:row>
      <xdr:rowOff>309563</xdr:rowOff>
    </xdr:from>
    <xdr:to>
      <xdr:col>8</xdr:col>
      <xdr:colOff>494110</xdr:colOff>
      <xdr:row>2954</xdr:row>
      <xdr:rowOff>317462</xdr:rowOff>
    </xdr:to>
    <xdr:cxnSp macro="">
      <xdr:nvCxnSpPr>
        <xdr:cNvPr id="503" name="Conector recto 502">
          <a:extLst>
            <a:ext uri="{FF2B5EF4-FFF2-40B4-BE49-F238E27FC236}">
              <a16:creationId xmlns:a16="http://schemas.microsoft.com/office/drawing/2014/main" id="{138D689A-5D6A-4296-83F2-FE77DAB8AC62}"/>
            </a:ext>
          </a:extLst>
        </xdr:cNvPr>
        <xdr:cNvCxnSpPr/>
      </xdr:nvCxnSpPr>
      <xdr:spPr>
        <a:xfrm flipV="1">
          <a:off x="3972117" y="575994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2954</xdr:row>
      <xdr:rowOff>26102</xdr:rowOff>
    </xdr:from>
    <xdr:ext cx="1699468" cy="504272"/>
    <xdr:pic>
      <xdr:nvPicPr>
        <xdr:cNvPr id="504" name="Imagen 503">
          <a:extLst>
            <a:ext uri="{FF2B5EF4-FFF2-40B4-BE49-F238E27FC236}">
              <a16:creationId xmlns:a16="http://schemas.microsoft.com/office/drawing/2014/main" id="{9635D205-ECFE-4AF6-8932-E28945C50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75710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2954</xdr:row>
      <xdr:rowOff>309563</xdr:rowOff>
    </xdr:from>
    <xdr:to>
      <xdr:col>8</xdr:col>
      <xdr:colOff>494110</xdr:colOff>
      <xdr:row>2954</xdr:row>
      <xdr:rowOff>317462</xdr:rowOff>
    </xdr:to>
    <xdr:cxnSp macro="">
      <xdr:nvCxnSpPr>
        <xdr:cNvPr id="505" name="Conector recto 504">
          <a:extLst>
            <a:ext uri="{FF2B5EF4-FFF2-40B4-BE49-F238E27FC236}">
              <a16:creationId xmlns:a16="http://schemas.microsoft.com/office/drawing/2014/main" id="{17DC9CD6-D56B-4310-B480-A1BD167BB1E5}"/>
            </a:ext>
          </a:extLst>
        </xdr:cNvPr>
        <xdr:cNvCxnSpPr/>
      </xdr:nvCxnSpPr>
      <xdr:spPr>
        <a:xfrm flipV="1">
          <a:off x="3972117" y="575994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2954</xdr:row>
      <xdr:rowOff>26102</xdr:rowOff>
    </xdr:from>
    <xdr:ext cx="1699468" cy="504272"/>
    <xdr:pic>
      <xdr:nvPicPr>
        <xdr:cNvPr id="506" name="Imagen 505">
          <a:extLst>
            <a:ext uri="{FF2B5EF4-FFF2-40B4-BE49-F238E27FC236}">
              <a16:creationId xmlns:a16="http://schemas.microsoft.com/office/drawing/2014/main" id="{32BE8BE8-3C9F-403C-9141-E63CFE4C6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75710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2954</xdr:row>
      <xdr:rowOff>309563</xdr:rowOff>
    </xdr:from>
    <xdr:to>
      <xdr:col>8</xdr:col>
      <xdr:colOff>494110</xdr:colOff>
      <xdr:row>2954</xdr:row>
      <xdr:rowOff>317462</xdr:rowOff>
    </xdr:to>
    <xdr:cxnSp macro="">
      <xdr:nvCxnSpPr>
        <xdr:cNvPr id="507" name="Conector recto 506">
          <a:extLst>
            <a:ext uri="{FF2B5EF4-FFF2-40B4-BE49-F238E27FC236}">
              <a16:creationId xmlns:a16="http://schemas.microsoft.com/office/drawing/2014/main" id="{7A850A33-AEA5-498C-976D-53E82DB9AF29}"/>
            </a:ext>
          </a:extLst>
        </xdr:cNvPr>
        <xdr:cNvCxnSpPr/>
      </xdr:nvCxnSpPr>
      <xdr:spPr>
        <a:xfrm flipV="1">
          <a:off x="3972117" y="575994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2954</xdr:row>
      <xdr:rowOff>26102</xdr:rowOff>
    </xdr:from>
    <xdr:ext cx="1699468" cy="504272"/>
    <xdr:pic>
      <xdr:nvPicPr>
        <xdr:cNvPr id="508" name="Imagen 507">
          <a:extLst>
            <a:ext uri="{FF2B5EF4-FFF2-40B4-BE49-F238E27FC236}">
              <a16:creationId xmlns:a16="http://schemas.microsoft.com/office/drawing/2014/main" id="{C198DD8D-0078-47DA-9FB4-0661718D0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75710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2954</xdr:row>
      <xdr:rowOff>309563</xdr:rowOff>
    </xdr:from>
    <xdr:to>
      <xdr:col>8</xdr:col>
      <xdr:colOff>494110</xdr:colOff>
      <xdr:row>2954</xdr:row>
      <xdr:rowOff>317462</xdr:rowOff>
    </xdr:to>
    <xdr:cxnSp macro="">
      <xdr:nvCxnSpPr>
        <xdr:cNvPr id="509" name="Conector recto 508">
          <a:extLst>
            <a:ext uri="{FF2B5EF4-FFF2-40B4-BE49-F238E27FC236}">
              <a16:creationId xmlns:a16="http://schemas.microsoft.com/office/drawing/2014/main" id="{D4C7DB23-7B02-4815-8BDA-B427C008E22E}"/>
            </a:ext>
          </a:extLst>
        </xdr:cNvPr>
        <xdr:cNvCxnSpPr/>
      </xdr:nvCxnSpPr>
      <xdr:spPr>
        <a:xfrm flipV="1">
          <a:off x="3972117" y="575994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2954</xdr:row>
      <xdr:rowOff>26102</xdr:rowOff>
    </xdr:from>
    <xdr:ext cx="1699468" cy="504272"/>
    <xdr:pic>
      <xdr:nvPicPr>
        <xdr:cNvPr id="510" name="Imagen 509">
          <a:extLst>
            <a:ext uri="{FF2B5EF4-FFF2-40B4-BE49-F238E27FC236}">
              <a16:creationId xmlns:a16="http://schemas.microsoft.com/office/drawing/2014/main" id="{E7414079-7096-4EBD-AA4C-8F16F3768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75710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2954</xdr:row>
      <xdr:rowOff>309563</xdr:rowOff>
    </xdr:from>
    <xdr:to>
      <xdr:col>8</xdr:col>
      <xdr:colOff>494110</xdr:colOff>
      <xdr:row>2954</xdr:row>
      <xdr:rowOff>317462</xdr:rowOff>
    </xdr:to>
    <xdr:cxnSp macro="">
      <xdr:nvCxnSpPr>
        <xdr:cNvPr id="511" name="Conector recto 510">
          <a:extLst>
            <a:ext uri="{FF2B5EF4-FFF2-40B4-BE49-F238E27FC236}">
              <a16:creationId xmlns:a16="http://schemas.microsoft.com/office/drawing/2014/main" id="{088AAE11-75BC-43AD-BA97-E28A9EB879D7}"/>
            </a:ext>
          </a:extLst>
        </xdr:cNvPr>
        <xdr:cNvCxnSpPr/>
      </xdr:nvCxnSpPr>
      <xdr:spPr>
        <a:xfrm flipV="1">
          <a:off x="3972117" y="575994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2999</xdr:row>
      <xdr:rowOff>26102</xdr:rowOff>
    </xdr:from>
    <xdr:ext cx="1699468" cy="504272"/>
    <xdr:pic>
      <xdr:nvPicPr>
        <xdr:cNvPr id="512" name="Imagen 511">
          <a:extLst>
            <a:ext uri="{FF2B5EF4-FFF2-40B4-BE49-F238E27FC236}">
              <a16:creationId xmlns:a16="http://schemas.microsoft.com/office/drawing/2014/main" id="{69978F70-3BA3-4959-B2B2-004FE9B73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84619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2999</xdr:row>
      <xdr:rowOff>309563</xdr:rowOff>
    </xdr:from>
    <xdr:to>
      <xdr:col>8</xdr:col>
      <xdr:colOff>494110</xdr:colOff>
      <xdr:row>2999</xdr:row>
      <xdr:rowOff>317462</xdr:rowOff>
    </xdr:to>
    <xdr:cxnSp macro="">
      <xdr:nvCxnSpPr>
        <xdr:cNvPr id="513" name="Conector recto 512">
          <a:extLst>
            <a:ext uri="{FF2B5EF4-FFF2-40B4-BE49-F238E27FC236}">
              <a16:creationId xmlns:a16="http://schemas.microsoft.com/office/drawing/2014/main" id="{8E37CD35-9112-4FCB-A581-9FD591750F33}"/>
            </a:ext>
          </a:extLst>
        </xdr:cNvPr>
        <xdr:cNvCxnSpPr/>
      </xdr:nvCxnSpPr>
      <xdr:spPr>
        <a:xfrm flipV="1">
          <a:off x="3972117" y="584903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2999</xdr:row>
      <xdr:rowOff>26102</xdr:rowOff>
    </xdr:from>
    <xdr:ext cx="1699468" cy="504272"/>
    <xdr:pic>
      <xdr:nvPicPr>
        <xdr:cNvPr id="514" name="Imagen 513">
          <a:extLst>
            <a:ext uri="{FF2B5EF4-FFF2-40B4-BE49-F238E27FC236}">
              <a16:creationId xmlns:a16="http://schemas.microsoft.com/office/drawing/2014/main" id="{1FD2F1C1-59FF-471A-9703-0731A2E52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84619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2999</xdr:row>
      <xdr:rowOff>309563</xdr:rowOff>
    </xdr:from>
    <xdr:to>
      <xdr:col>8</xdr:col>
      <xdr:colOff>494110</xdr:colOff>
      <xdr:row>2999</xdr:row>
      <xdr:rowOff>317462</xdr:rowOff>
    </xdr:to>
    <xdr:cxnSp macro="">
      <xdr:nvCxnSpPr>
        <xdr:cNvPr id="515" name="Conector recto 514">
          <a:extLst>
            <a:ext uri="{FF2B5EF4-FFF2-40B4-BE49-F238E27FC236}">
              <a16:creationId xmlns:a16="http://schemas.microsoft.com/office/drawing/2014/main" id="{AAC0D641-A464-4B45-A09F-6C9CF767DC7C}"/>
            </a:ext>
          </a:extLst>
        </xdr:cNvPr>
        <xdr:cNvCxnSpPr/>
      </xdr:nvCxnSpPr>
      <xdr:spPr>
        <a:xfrm flipV="1">
          <a:off x="3972117" y="584903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2999</xdr:row>
      <xdr:rowOff>26102</xdr:rowOff>
    </xdr:from>
    <xdr:ext cx="1699468" cy="504272"/>
    <xdr:pic>
      <xdr:nvPicPr>
        <xdr:cNvPr id="516" name="Imagen 515">
          <a:extLst>
            <a:ext uri="{FF2B5EF4-FFF2-40B4-BE49-F238E27FC236}">
              <a16:creationId xmlns:a16="http://schemas.microsoft.com/office/drawing/2014/main" id="{484FEDDC-3086-42B0-A431-C6FEC79DB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84619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2999</xdr:row>
      <xdr:rowOff>309563</xdr:rowOff>
    </xdr:from>
    <xdr:to>
      <xdr:col>8</xdr:col>
      <xdr:colOff>494110</xdr:colOff>
      <xdr:row>2999</xdr:row>
      <xdr:rowOff>317462</xdr:rowOff>
    </xdr:to>
    <xdr:cxnSp macro="">
      <xdr:nvCxnSpPr>
        <xdr:cNvPr id="517" name="Conector recto 516">
          <a:extLst>
            <a:ext uri="{FF2B5EF4-FFF2-40B4-BE49-F238E27FC236}">
              <a16:creationId xmlns:a16="http://schemas.microsoft.com/office/drawing/2014/main" id="{1D7A702B-15B7-4777-849A-008B66891275}"/>
            </a:ext>
          </a:extLst>
        </xdr:cNvPr>
        <xdr:cNvCxnSpPr/>
      </xdr:nvCxnSpPr>
      <xdr:spPr>
        <a:xfrm flipV="1">
          <a:off x="3972117" y="584903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2999</xdr:row>
      <xdr:rowOff>26102</xdr:rowOff>
    </xdr:from>
    <xdr:ext cx="1699468" cy="504272"/>
    <xdr:pic>
      <xdr:nvPicPr>
        <xdr:cNvPr id="518" name="Imagen 517">
          <a:extLst>
            <a:ext uri="{FF2B5EF4-FFF2-40B4-BE49-F238E27FC236}">
              <a16:creationId xmlns:a16="http://schemas.microsoft.com/office/drawing/2014/main" id="{DF63AD22-63D2-40E9-86D8-A1FB66E73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84619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2999</xdr:row>
      <xdr:rowOff>309563</xdr:rowOff>
    </xdr:from>
    <xdr:to>
      <xdr:col>8</xdr:col>
      <xdr:colOff>494110</xdr:colOff>
      <xdr:row>2999</xdr:row>
      <xdr:rowOff>317462</xdr:rowOff>
    </xdr:to>
    <xdr:cxnSp macro="">
      <xdr:nvCxnSpPr>
        <xdr:cNvPr id="519" name="Conector recto 518">
          <a:extLst>
            <a:ext uri="{FF2B5EF4-FFF2-40B4-BE49-F238E27FC236}">
              <a16:creationId xmlns:a16="http://schemas.microsoft.com/office/drawing/2014/main" id="{94E83176-706C-4732-8135-0D995E05C293}"/>
            </a:ext>
          </a:extLst>
        </xdr:cNvPr>
        <xdr:cNvCxnSpPr/>
      </xdr:nvCxnSpPr>
      <xdr:spPr>
        <a:xfrm flipV="1">
          <a:off x="3972117" y="584903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2999</xdr:row>
      <xdr:rowOff>26102</xdr:rowOff>
    </xdr:from>
    <xdr:ext cx="1699468" cy="504272"/>
    <xdr:pic>
      <xdr:nvPicPr>
        <xdr:cNvPr id="520" name="Imagen 519">
          <a:extLst>
            <a:ext uri="{FF2B5EF4-FFF2-40B4-BE49-F238E27FC236}">
              <a16:creationId xmlns:a16="http://schemas.microsoft.com/office/drawing/2014/main" id="{830175B6-76D5-4D20-BBB9-F063BD7C1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84619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2999</xdr:row>
      <xdr:rowOff>309563</xdr:rowOff>
    </xdr:from>
    <xdr:to>
      <xdr:col>8</xdr:col>
      <xdr:colOff>494110</xdr:colOff>
      <xdr:row>2999</xdr:row>
      <xdr:rowOff>317462</xdr:rowOff>
    </xdr:to>
    <xdr:cxnSp macro="">
      <xdr:nvCxnSpPr>
        <xdr:cNvPr id="521" name="Conector recto 520">
          <a:extLst>
            <a:ext uri="{FF2B5EF4-FFF2-40B4-BE49-F238E27FC236}">
              <a16:creationId xmlns:a16="http://schemas.microsoft.com/office/drawing/2014/main" id="{548B00A5-0D9B-47E2-8C0D-31737C0986D2}"/>
            </a:ext>
          </a:extLst>
        </xdr:cNvPr>
        <xdr:cNvCxnSpPr/>
      </xdr:nvCxnSpPr>
      <xdr:spPr>
        <a:xfrm flipV="1">
          <a:off x="3972117" y="584903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2999</xdr:row>
      <xdr:rowOff>26102</xdr:rowOff>
    </xdr:from>
    <xdr:ext cx="1699468" cy="504272"/>
    <xdr:pic>
      <xdr:nvPicPr>
        <xdr:cNvPr id="522" name="Imagen 521">
          <a:extLst>
            <a:ext uri="{FF2B5EF4-FFF2-40B4-BE49-F238E27FC236}">
              <a16:creationId xmlns:a16="http://schemas.microsoft.com/office/drawing/2014/main" id="{8A7F42DA-29DC-464D-89C8-E21D69177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84619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2999</xdr:row>
      <xdr:rowOff>309563</xdr:rowOff>
    </xdr:from>
    <xdr:to>
      <xdr:col>8</xdr:col>
      <xdr:colOff>494110</xdr:colOff>
      <xdr:row>2999</xdr:row>
      <xdr:rowOff>317462</xdr:rowOff>
    </xdr:to>
    <xdr:cxnSp macro="">
      <xdr:nvCxnSpPr>
        <xdr:cNvPr id="523" name="Conector recto 522">
          <a:extLst>
            <a:ext uri="{FF2B5EF4-FFF2-40B4-BE49-F238E27FC236}">
              <a16:creationId xmlns:a16="http://schemas.microsoft.com/office/drawing/2014/main" id="{821274B9-ADE7-401A-B3FA-29B44E3ACB4D}"/>
            </a:ext>
          </a:extLst>
        </xdr:cNvPr>
        <xdr:cNvCxnSpPr/>
      </xdr:nvCxnSpPr>
      <xdr:spPr>
        <a:xfrm flipV="1">
          <a:off x="3972117" y="584903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2999</xdr:row>
      <xdr:rowOff>26102</xdr:rowOff>
    </xdr:from>
    <xdr:ext cx="1699468" cy="504272"/>
    <xdr:pic>
      <xdr:nvPicPr>
        <xdr:cNvPr id="524" name="Imagen 523">
          <a:extLst>
            <a:ext uri="{FF2B5EF4-FFF2-40B4-BE49-F238E27FC236}">
              <a16:creationId xmlns:a16="http://schemas.microsoft.com/office/drawing/2014/main" id="{20E95988-873C-4284-89DE-253D688E5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84619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2999</xdr:row>
      <xdr:rowOff>309563</xdr:rowOff>
    </xdr:from>
    <xdr:to>
      <xdr:col>8</xdr:col>
      <xdr:colOff>494110</xdr:colOff>
      <xdr:row>2999</xdr:row>
      <xdr:rowOff>317462</xdr:rowOff>
    </xdr:to>
    <xdr:cxnSp macro="">
      <xdr:nvCxnSpPr>
        <xdr:cNvPr id="525" name="Conector recto 524">
          <a:extLst>
            <a:ext uri="{FF2B5EF4-FFF2-40B4-BE49-F238E27FC236}">
              <a16:creationId xmlns:a16="http://schemas.microsoft.com/office/drawing/2014/main" id="{645800D1-8C87-4827-A268-1A25C587700B}"/>
            </a:ext>
          </a:extLst>
        </xdr:cNvPr>
        <xdr:cNvCxnSpPr/>
      </xdr:nvCxnSpPr>
      <xdr:spPr>
        <a:xfrm flipV="1">
          <a:off x="3972117" y="584903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2999</xdr:row>
      <xdr:rowOff>26102</xdr:rowOff>
    </xdr:from>
    <xdr:ext cx="1699468" cy="504272"/>
    <xdr:pic>
      <xdr:nvPicPr>
        <xdr:cNvPr id="526" name="Imagen 525">
          <a:extLst>
            <a:ext uri="{FF2B5EF4-FFF2-40B4-BE49-F238E27FC236}">
              <a16:creationId xmlns:a16="http://schemas.microsoft.com/office/drawing/2014/main" id="{C4516697-E88F-4AD9-9F11-DAFE5E46F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84619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2999</xdr:row>
      <xdr:rowOff>309563</xdr:rowOff>
    </xdr:from>
    <xdr:to>
      <xdr:col>8</xdr:col>
      <xdr:colOff>494110</xdr:colOff>
      <xdr:row>2999</xdr:row>
      <xdr:rowOff>317462</xdr:rowOff>
    </xdr:to>
    <xdr:cxnSp macro="">
      <xdr:nvCxnSpPr>
        <xdr:cNvPr id="527" name="Conector recto 526">
          <a:extLst>
            <a:ext uri="{FF2B5EF4-FFF2-40B4-BE49-F238E27FC236}">
              <a16:creationId xmlns:a16="http://schemas.microsoft.com/office/drawing/2014/main" id="{7BC49788-7EB1-4683-955F-5ADB5DB8ED48}"/>
            </a:ext>
          </a:extLst>
        </xdr:cNvPr>
        <xdr:cNvCxnSpPr/>
      </xdr:nvCxnSpPr>
      <xdr:spPr>
        <a:xfrm flipV="1">
          <a:off x="3972117" y="584903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3044</xdr:row>
      <xdr:rowOff>26102</xdr:rowOff>
    </xdr:from>
    <xdr:ext cx="1699468" cy="504272"/>
    <xdr:pic>
      <xdr:nvPicPr>
        <xdr:cNvPr id="528" name="Imagen 527">
          <a:extLst>
            <a:ext uri="{FF2B5EF4-FFF2-40B4-BE49-F238E27FC236}">
              <a16:creationId xmlns:a16="http://schemas.microsoft.com/office/drawing/2014/main" id="{7CD58E11-C5D1-4116-966C-50302B6ED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93471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3044</xdr:row>
      <xdr:rowOff>309563</xdr:rowOff>
    </xdr:from>
    <xdr:to>
      <xdr:col>8</xdr:col>
      <xdr:colOff>494110</xdr:colOff>
      <xdr:row>3044</xdr:row>
      <xdr:rowOff>317462</xdr:rowOff>
    </xdr:to>
    <xdr:cxnSp macro="">
      <xdr:nvCxnSpPr>
        <xdr:cNvPr id="529" name="Conector recto 528">
          <a:extLst>
            <a:ext uri="{FF2B5EF4-FFF2-40B4-BE49-F238E27FC236}">
              <a16:creationId xmlns:a16="http://schemas.microsoft.com/office/drawing/2014/main" id="{5CC21F2B-2426-455D-A59B-8843C04CFEB3}"/>
            </a:ext>
          </a:extLst>
        </xdr:cNvPr>
        <xdr:cNvCxnSpPr/>
      </xdr:nvCxnSpPr>
      <xdr:spPr>
        <a:xfrm flipV="1">
          <a:off x="3972117" y="593755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3044</xdr:row>
      <xdr:rowOff>26102</xdr:rowOff>
    </xdr:from>
    <xdr:ext cx="1699468" cy="504272"/>
    <xdr:pic>
      <xdr:nvPicPr>
        <xdr:cNvPr id="530" name="Imagen 529">
          <a:extLst>
            <a:ext uri="{FF2B5EF4-FFF2-40B4-BE49-F238E27FC236}">
              <a16:creationId xmlns:a16="http://schemas.microsoft.com/office/drawing/2014/main" id="{304A822D-683A-4A0D-82D9-DB9D0FB41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93471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3044</xdr:row>
      <xdr:rowOff>309563</xdr:rowOff>
    </xdr:from>
    <xdr:to>
      <xdr:col>8</xdr:col>
      <xdr:colOff>494110</xdr:colOff>
      <xdr:row>3044</xdr:row>
      <xdr:rowOff>317462</xdr:rowOff>
    </xdr:to>
    <xdr:cxnSp macro="">
      <xdr:nvCxnSpPr>
        <xdr:cNvPr id="531" name="Conector recto 530">
          <a:extLst>
            <a:ext uri="{FF2B5EF4-FFF2-40B4-BE49-F238E27FC236}">
              <a16:creationId xmlns:a16="http://schemas.microsoft.com/office/drawing/2014/main" id="{9FAE8EFF-F3BC-41C7-B6B5-70DA36F5C2F0}"/>
            </a:ext>
          </a:extLst>
        </xdr:cNvPr>
        <xdr:cNvCxnSpPr/>
      </xdr:nvCxnSpPr>
      <xdr:spPr>
        <a:xfrm flipV="1">
          <a:off x="3972117" y="593755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3044</xdr:row>
      <xdr:rowOff>26102</xdr:rowOff>
    </xdr:from>
    <xdr:ext cx="1699468" cy="504272"/>
    <xdr:pic>
      <xdr:nvPicPr>
        <xdr:cNvPr id="532" name="Imagen 531">
          <a:extLst>
            <a:ext uri="{FF2B5EF4-FFF2-40B4-BE49-F238E27FC236}">
              <a16:creationId xmlns:a16="http://schemas.microsoft.com/office/drawing/2014/main" id="{CFA77FD2-581C-49B9-A9C7-759230B70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93471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3044</xdr:row>
      <xdr:rowOff>309563</xdr:rowOff>
    </xdr:from>
    <xdr:to>
      <xdr:col>8</xdr:col>
      <xdr:colOff>494110</xdr:colOff>
      <xdr:row>3044</xdr:row>
      <xdr:rowOff>317462</xdr:rowOff>
    </xdr:to>
    <xdr:cxnSp macro="">
      <xdr:nvCxnSpPr>
        <xdr:cNvPr id="533" name="Conector recto 532">
          <a:extLst>
            <a:ext uri="{FF2B5EF4-FFF2-40B4-BE49-F238E27FC236}">
              <a16:creationId xmlns:a16="http://schemas.microsoft.com/office/drawing/2014/main" id="{63D8B5E0-44B9-4CC2-B1CD-248298A5ECAB}"/>
            </a:ext>
          </a:extLst>
        </xdr:cNvPr>
        <xdr:cNvCxnSpPr/>
      </xdr:nvCxnSpPr>
      <xdr:spPr>
        <a:xfrm flipV="1">
          <a:off x="3972117" y="593755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3044</xdr:row>
      <xdr:rowOff>26102</xdr:rowOff>
    </xdr:from>
    <xdr:ext cx="1699468" cy="504272"/>
    <xdr:pic>
      <xdr:nvPicPr>
        <xdr:cNvPr id="534" name="Imagen 533">
          <a:extLst>
            <a:ext uri="{FF2B5EF4-FFF2-40B4-BE49-F238E27FC236}">
              <a16:creationId xmlns:a16="http://schemas.microsoft.com/office/drawing/2014/main" id="{890D5F1A-2F27-4B08-8BE4-6BFDEDEEA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93471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3044</xdr:row>
      <xdr:rowOff>309563</xdr:rowOff>
    </xdr:from>
    <xdr:to>
      <xdr:col>8</xdr:col>
      <xdr:colOff>494110</xdr:colOff>
      <xdr:row>3044</xdr:row>
      <xdr:rowOff>317462</xdr:rowOff>
    </xdr:to>
    <xdr:cxnSp macro="">
      <xdr:nvCxnSpPr>
        <xdr:cNvPr id="535" name="Conector recto 534">
          <a:extLst>
            <a:ext uri="{FF2B5EF4-FFF2-40B4-BE49-F238E27FC236}">
              <a16:creationId xmlns:a16="http://schemas.microsoft.com/office/drawing/2014/main" id="{C36CD474-FFBF-4201-884E-5CE784FD821E}"/>
            </a:ext>
          </a:extLst>
        </xdr:cNvPr>
        <xdr:cNvCxnSpPr/>
      </xdr:nvCxnSpPr>
      <xdr:spPr>
        <a:xfrm flipV="1">
          <a:off x="3972117" y="593755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3044</xdr:row>
      <xdr:rowOff>26102</xdr:rowOff>
    </xdr:from>
    <xdr:ext cx="1699468" cy="504272"/>
    <xdr:pic>
      <xdr:nvPicPr>
        <xdr:cNvPr id="536" name="Imagen 535">
          <a:extLst>
            <a:ext uri="{FF2B5EF4-FFF2-40B4-BE49-F238E27FC236}">
              <a16:creationId xmlns:a16="http://schemas.microsoft.com/office/drawing/2014/main" id="{5D31A021-5961-4647-9B7C-822DF1D43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93471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3044</xdr:row>
      <xdr:rowOff>309563</xdr:rowOff>
    </xdr:from>
    <xdr:to>
      <xdr:col>8</xdr:col>
      <xdr:colOff>494110</xdr:colOff>
      <xdr:row>3044</xdr:row>
      <xdr:rowOff>317462</xdr:rowOff>
    </xdr:to>
    <xdr:cxnSp macro="">
      <xdr:nvCxnSpPr>
        <xdr:cNvPr id="537" name="Conector recto 536">
          <a:extLst>
            <a:ext uri="{FF2B5EF4-FFF2-40B4-BE49-F238E27FC236}">
              <a16:creationId xmlns:a16="http://schemas.microsoft.com/office/drawing/2014/main" id="{33A3FF42-DD95-4F10-A32B-27BE63B43171}"/>
            </a:ext>
          </a:extLst>
        </xdr:cNvPr>
        <xdr:cNvCxnSpPr/>
      </xdr:nvCxnSpPr>
      <xdr:spPr>
        <a:xfrm flipV="1">
          <a:off x="3972117" y="593755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3044</xdr:row>
      <xdr:rowOff>26102</xdr:rowOff>
    </xdr:from>
    <xdr:ext cx="1699468" cy="504272"/>
    <xdr:pic>
      <xdr:nvPicPr>
        <xdr:cNvPr id="538" name="Imagen 537">
          <a:extLst>
            <a:ext uri="{FF2B5EF4-FFF2-40B4-BE49-F238E27FC236}">
              <a16:creationId xmlns:a16="http://schemas.microsoft.com/office/drawing/2014/main" id="{E291EC0B-22FD-4DFF-95DE-036384F93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93471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3044</xdr:row>
      <xdr:rowOff>309563</xdr:rowOff>
    </xdr:from>
    <xdr:to>
      <xdr:col>8</xdr:col>
      <xdr:colOff>494110</xdr:colOff>
      <xdr:row>3044</xdr:row>
      <xdr:rowOff>317462</xdr:rowOff>
    </xdr:to>
    <xdr:cxnSp macro="">
      <xdr:nvCxnSpPr>
        <xdr:cNvPr id="539" name="Conector recto 538">
          <a:extLst>
            <a:ext uri="{FF2B5EF4-FFF2-40B4-BE49-F238E27FC236}">
              <a16:creationId xmlns:a16="http://schemas.microsoft.com/office/drawing/2014/main" id="{C35FE01D-2ABA-4114-AFC4-BC208BCA7882}"/>
            </a:ext>
          </a:extLst>
        </xdr:cNvPr>
        <xdr:cNvCxnSpPr/>
      </xdr:nvCxnSpPr>
      <xdr:spPr>
        <a:xfrm flipV="1">
          <a:off x="3972117" y="593755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3044</xdr:row>
      <xdr:rowOff>26102</xdr:rowOff>
    </xdr:from>
    <xdr:ext cx="1699468" cy="504272"/>
    <xdr:pic>
      <xdr:nvPicPr>
        <xdr:cNvPr id="540" name="Imagen 539">
          <a:extLst>
            <a:ext uri="{FF2B5EF4-FFF2-40B4-BE49-F238E27FC236}">
              <a16:creationId xmlns:a16="http://schemas.microsoft.com/office/drawing/2014/main" id="{0E6E1F37-9486-4408-81B0-FCAE8D30C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93471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3044</xdr:row>
      <xdr:rowOff>309563</xdr:rowOff>
    </xdr:from>
    <xdr:to>
      <xdr:col>8</xdr:col>
      <xdr:colOff>494110</xdr:colOff>
      <xdr:row>3044</xdr:row>
      <xdr:rowOff>317462</xdr:rowOff>
    </xdr:to>
    <xdr:cxnSp macro="">
      <xdr:nvCxnSpPr>
        <xdr:cNvPr id="541" name="Conector recto 540">
          <a:extLst>
            <a:ext uri="{FF2B5EF4-FFF2-40B4-BE49-F238E27FC236}">
              <a16:creationId xmlns:a16="http://schemas.microsoft.com/office/drawing/2014/main" id="{3B798403-D159-44BD-AD28-5CDCB26EE09E}"/>
            </a:ext>
          </a:extLst>
        </xdr:cNvPr>
        <xdr:cNvCxnSpPr/>
      </xdr:nvCxnSpPr>
      <xdr:spPr>
        <a:xfrm flipV="1">
          <a:off x="3972117" y="593755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3044</xdr:row>
      <xdr:rowOff>26102</xdr:rowOff>
    </xdr:from>
    <xdr:ext cx="1699468" cy="504272"/>
    <xdr:pic>
      <xdr:nvPicPr>
        <xdr:cNvPr id="542" name="Imagen 541">
          <a:extLst>
            <a:ext uri="{FF2B5EF4-FFF2-40B4-BE49-F238E27FC236}">
              <a16:creationId xmlns:a16="http://schemas.microsoft.com/office/drawing/2014/main" id="{FD8B665F-CFCB-47FF-B77D-BA6AECC0E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5934717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3044</xdr:row>
      <xdr:rowOff>309563</xdr:rowOff>
    </xdr:from>
    <xdr:to>
      <xdr:col>8</xdr:col>
      <xdr:colOff>494110</xdr:colOff>
      <xdr:row>3044</xdr:row>
      <xdr:rowOff>317462</xdr:rowOff>
    </xdr:to>
    <xdr:cxnSp macro="">
      <xdr:nvCxnSpPr>
        <xdr:cNvPr id="543" name="Conector recto 542">
          <a:extLst>
            <a:ext uri="{FF2B5EF4-FFF2-40B4-BE49-F238E27FC236}">
              <a16:creationId xmlns:a16="http://schemas.microsoft.com/office/drawing/2014/main" id="{B2097AC4-E163-4E15-B297-049181A25593}"/>
            </a:ext>
          </a:extLst>
        </xdr:cNvPr>
        <xdr:cNvCxnSpPr/>
      </xdr:nvCxnSpPr>
      <xdr:spPr>
        <a:xfrm flipV="1">
          <a:off x="3972117" y="5937551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3089</xdr:row>
      <xdr:rowOff>26102</xdr:rowOff>
    </xdr:from>
    <xdr:ext cx="1699468" cy="504272"/>
    <xdr:pic>
      <xdr:nvPicPr>
        <xdr:cNvPr id="544" name="Imagen 543">
          <a:extLst>
            <a:ext uri="{FF2B5EF4-FFF2-40B4-BE49-F238E27FC236}">
              <a16:creationId xmlns:a16="http://schemas.microsoft.com/office/drawing/2014/main" id="{4FC3BF98-98E7-4834-83ED-7202AB1B0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02323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3089</xdr:row>
      <xdr:rowOff>309563</xdr:rowOff>
    </xdr:from>
    <xdr:to>
      <xdr:col>8</xdr:col>
      <xdr:colOff>494110</xdr:colOff>
      <xdr:row>3089</xdr:row>
      <xdr:rowOff>317462</xdr:rowOff>
    </xdr:to>
    <xdr:cxnSp macro="">
      <xdr:nvCxnSpPr>
        <xdr:cNvPr id="545" name="Conector recto 544">
          <a:extLst>
            <a:ext uri="{FF2B5EF4-FFF2-40B4-BE49-F238E27FC236}">
              <a16:creationId xmlns:a16="http://schemas.microsoft.com/office/drawing/2014/main" id="{6EEB75C3-8838-4C8C-AD10-9596C5484C67}"/>
            </a:ext>
          </a:extLst>
        </xdr:cNvPr>
        <xdr:cNvCxnSpPr/>
      </xdr:nvCxnSpPr>
      <xdr:spPr>
        <a:xfrm flipV="1">
          <a:off x="3972117" y="602607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3089</xdr:row>
      <xdr:rowOff>26102</xdr:rowOff>
    </xdr:from>
    <xdr:ext cx="1699468" cy="504272"/>
    <xdr:pic>
      <xdr:nvPicPr>
        <xdr:cNvPr id="546" name="Imagen 545">
          <a:extLst>
            <a:ext uri="{FF2B5EF4-FFF2-40B4-BE49-F238E27FC236}">
              <a16:creationId xmlns:a16="http://schemas.microsoft.com/office/drawing/2014/main" id="{F0685179-8235-4856-AE36-1C1253B927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02323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3089</xdr:row>
      <xdr:rowOff>309563</xdr:rowOff>
    </xdr:from>
    <xdr:to>
      <xdr:col>8</xdr:col>
      <xdr:colOff>494110</xdr:colOff>
      <xdr:row>3089</xdr:row>
      <xdr:rowOff>317462</xdr:rowOff>
    </xdr:to>
    <xdr:cxnSp macro="">
      <xdr:nvCxnSpPr>
        <xdr:cNvPr id="547" name="Conector recto 546">
          <a:extLst>
            <a:ext uri="{FF2B5EF4-FFF2-40B4-BE49-F238E27FC236}">
              <a16:creationId xmlns:a16="http://schemas.microsoft.com/office/drawing/2014/main" id="{638B0C1D-634F-4F3B-AA12-453EEBCA961A}"/>
            </a:ext>
          </a:extLst>
        </xdr:cNvPr>
        <xdr:cNvCxnSpPr/>
      </xdr:nvCxnSpPr>
      <xdr:spPr>
        <a:xfrm flipV="1">
          <a:off x="3972117" y="602607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3089</xdr:row>
      <xdr:rowOff>26102</xdr:rowOff>
    </xdr:from>
    <xdr:ext cx="1699468" cy="504272"/>
    <xdr:pic>
      <xdr:nvPicPr>
        <xdr:cNvPr id="548" name="Imagen 547">
          <a:extLst>
            <a:ext uri="{FF2B5EF4-FFF2-40B4-BE49-F238E27FC236}">
              <a16:creationId xmlns:a16="http://schemas.microsoft.com/office/drawing/2014/main" id="{B4A0FE53-7F11-4157-9DB8-9D4C5CEC7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02323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3089</xdr:row>
      <xdr:rowOff>309563</xdr:rowOff>
    </xdr:from>
    <xdr:to>
      <xdr:col>8</xdr:col>
      <xdr:colOff>494110</xdr:colOff>
      <xdr:row>3089</xdr:row>
      <xdr:rowOff>317462</xdr:rowOff>
    </xdr:to>
    <xdr:cxnSp macro="">
      <xdr:nvCxnSpPr>
        <xdr:cNvPr id="549" name="Conector recto 548">
          <a:extLst>
            <a:ext uri="{FF2B5EF4-FFF2-40B4-BE49-F238E27FC236}">
              <a16:creationId xmlns:a16="http://schemas.microsoft.com/office/drawing/2014/main" id="{77542FE1-DCC4-43FD-96E2-BBEC6CBEB980}"/>
            </a:ext>
          </a:extLst>
        </xdr:cNvPr>
        <xdr:cNvCxnSpPr/>
      </xdr:nvCxnSpPr>
      <xdr:spPr>
        <a:xfrm flipV="1">
          <a:off x="3972117" y="602607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3089</xdr:row>
      <xdr:rowOff>26102</xdr:rowOff>
    </xdr:from>
    <xdr:ext cx="1699468" cy="504272"/>
    <xdr:pic>
      <xdr:nvPicPr>
        <xdr:cNvPr id="550" name="Imagen 549">
          <a:extLst>
            <a:ext uri="{FF2B5EF4-FFF2-40B4-BE49-F238E27FC236}">
              <a16:creationId xmlns:a16="http://schemas.microsoft.com/office/drawing/2014/main" id="{1A8F4117-2FDC-4302-9A1B-7C410246D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02323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3089</xdr:row>
      <xdr:rowOff>309563</xdr:rowOff>
    </xdr:from>
    <xdr:to>
      <xdr:col>8</xdr:col>
      <xdr:colOff>494110</xdr:colOff>
      <xdr:row>3089</xdr:row>
      <xdr:rowOff>317462</xdr:rowOff>
    </xdr:to>
    <xdr:cxnSp macro="">
      <xdr:nvCxnSpPr>
        <xdr:cNvPr id="551" name="Conector recto 550">
          <a:extLst>
            <a:ext uri="{FF2B5EF4-FFF2-40B4-BE49-F238E27FC236}">
              <a16:creationId xmlns:a16="http://schemas.microsoft.com/office/drawing/2014/main" id="{00C19D77-FE78-4173-AB76-35E18D56D829}"/>
            </a:ext>
          </a:extLst>
        </xdr:cNvPr>
        <xdr:cNvCxnSpPr/>
      </xdr:nvCxnSpPr>
      <xdr:spPr>
        <a:xfrm flipV="1">
          <a:off x="3972117" y="602607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3089</xdr:row>
      <xdr:rowOff>26102</xdr:rowOff>
    </xdr:from>
    <xdr:ext cx="1699468" cy="504272"/>
    <xdr:pic>
      <xdr:nvPicPr>
        <xdr:cNvPr id="552" name="Imagen 551">
          <a:extLst>
            <a:ext uri="{FF2B5EF4-FFF2-40B4-BE49-F238E27FC236}">
              <a16:creationId xmlns:a16="http://schemas.microsoft.com/office/drawing/2014/main" id="{34596450-9A77-403D-A436-98BCA4C4F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02323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3089</xdr:row>
      <xdr:rowOff>309563</xdr:rowOff>
    </xdr:from>
    <xdr:to>
      <xdr:col>8</xdr:col>
      <xdr:colOff>494110</xdr:colOff>
      <xdr:row>3089</xdr:row>
      <xdr:rowOff>317462</xdr:rowOff>
    </xdr:to>
    <xdr:cxnSp macro="">
      <xdr:nvCxnSpPr>
        <xdr:cNvPr id="553" name="Conector recto 552">
          <a:extLst>
            <a:ext uri="{FF2B5EF4-FFF2-40B4-BE49-F238E27FC236}">
              <a16:creationId xmlns:a16="http://schemas.microsoft.com/office/drawing/2014/main" id="{27B7136B-CA28-4A30-A6ED-031C547930EC}"/>
            </a:ext>
          </a:extLst>
        </xdr:cNvPr>
        <xdr:cNvCxnSpPr/>
      </xdr:nvCxnSpPr>
      <xdr:spPr>
        <a:xfrm flipV="1">
          <a:off x="3972117" y="602607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3089</xdr:row>
      <xdr:rowOff>26102</xdr:rowOff>
    </xdr:from>
    <xdr:ext cx="1699468" cy="504272"/>
    <xdr:pic>
      <xdr:nvPicPr>
        <xdr:cNvPr id="554" name="Imagen 553">
          <a:extLst>
            <a:ext uri="{FF2B5EF4-FFF2-40B4-BE49-F238E27FC236}">
              <a16:creationId xmlns:a16="http://schemas.microsoft.com/office/drawing/2014/main" id="{EFBF1432-E77A-4B48-948F-D721C287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02323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3089</xdr:row>
      <xdr:rowOff>309563</xdr:rowOff>
    </xdr:from>
    <xdr:to>
      <xdr:col>8</xdr:col>
      <xdr:colOff>494110</xdr:colOff>
      <xdr:row>3089</xdr:row>
      <xdr:rowOff>317462</xdr:rowOff>
    </xdr:to>
    <xdr:cxnSp macro="">
      <xdr:nvCxnSpPr>
        <xdr:cNvPr id="555" name="Conector recto 554">
          <a:extLst>
            <a:ext uri="{FF2B5EF4-FFF2-40B4-BE49-F238E27FC236}">
              <a16:creationId xmlns:a16="http://schemas.microsoft.com/office/drawing/2014/main" id="{A284544D-369A-45AE-8DEC-5EFC35ED9F4A}"/>
            </a:ext>
          </a:extLst>
        </xdr:cNvPr>
        <xdr:cNvCxnSpPr/>
      </xdr:nvCxnSpPr>
      <xdr:spPr>
        <a:xfrm flipV="1">
          <a:off x="3972117" y="602607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3089</xdr:row>
      <xdr:rowOff>26102</xdr:rowOff>
    </xdr:from>
    <xdr:ext cx="1699468" cy="504272"/>
    <xdr:pic>
      <xdr:nvPicPr>
        <xdr:cNvPr id="556" name="Imagen 555">
          <a:extLst>
            <a:ext uri="{FF2B5EF4-FFF2-40B4-BE49-F238E27FC236}">
              <a16:creationId xmlns:a16="http://schemas.microsoft.com/office/drawing/2014/main" id="{A4ED5CAA-D78F-4B4E-9EB4-1E89A78CE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02323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3089</xdr:row>
      <xdr:rowOff>309563</xdr:rowOff>
    </xdr:from>
    <xdr:to>
      <xdr:col>8</xdr:col>
      <xdr:colOff>494110</xdr:colOff>
      <xdr:row>3089</xdr:row>
      <xdr:rowOff>317462</xdr:rowOff>
    </xdr:to>
    <xdr:cxnSp macro="">
      <xdr:nvCxnSpPr>
        <xdr:cNvPr id="557" name="Conector recto 556">
          <a:extLst>
            <a:ext uri="{FF2B5EF4-FFF2-40B4-BE49-F238E27FC236}">
              <a16:creationId xmlns:a16="http://schemas.microsoft.com/office/drawing/2014/main" id="{13673DE0-8D2E-4750-8FC6-9887EDB633ED}"/>
            </a:ext>
          </a:extLst>
        </xdr:cNvPr>
        <xdr:cNvCxnSpPr/>
      </xdr:nvCxnSpPr>
      <xdr:spPr>
        <a:xfrm flipV="1">
          <a:off x="3972117" y="602607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3089</xdr:row>
      <xdr:rowOff>26102</xdr:rowOff>
    </xdr:from>
    <xdr:ext cx="1699468" cy="504272"/>
    <xdr:pic>
      <xdr:nvPicPr>
        <xdr:cNvPr id="558" name="Imagen 557">
          <a:extLst>
            <a:ext uri="{FF2B5EF4-FFF2-40B4-BE49-F238E27FC236}">
              <a16:creationId xmlns:a16="http://schemas.microsoft.com/office/drawing/2014/main" id="{94316946-5AB9-4D38-971B-F8381C668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023236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3089</xdr:row>
      <xdr:rowOff>309563</xdr:rowOff>
    </xdr:from>
    <xdr:to>
      <xdr:col>8</xdr:col>
      <xdr:colOff>494110</xdr:colOff>
      <xdr:row>3089</xdr:row>
      <xdr:rowOff>317462</xdr:rowOff>
    </xdr:to>
    <xdr:cxnSp macro="">
      <xdr:nvCxnSpPr>
        <xdr:cNvPr id="559" name="Conector recto 558">
          <a:extLst>
            <a:ext uri="{FF2B5EF4-FFF2-40B4-BE49-F238E27FC236}">
              <a16:creationId xmlns:a16="http://schemas.microsoft.com/office/drawing/2014/main" id="{B103FF2F-0125-4334-8924-F54C33D83946}"/>
            </a:ext>
          </a:extLst>
        </xdr:cNvPr>
        <xdr:cNvCxnSpPr/>
      </xdr:nvCxnSpPr>
      <xdr:spPr>
        <a:xfrm flipV="1">
          <a:off x="3972117" y="6026070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3134</xdr:row>
      <xdr:rowOff>26102</xdr:rowOff>
    </xdr:from>
    <xdr:ext cx="1699468" cy="504272"/>
    <xdr:pic>
      <xdr:nvPicPr>
        <xdr:cNvPr id="560" name="Imagen 559">
          <a:extLst>
            <a:ext uri="{FF2B5EF4-FFF2-40B4-BE49-F238E27FC236}">
              <a16:creationId xmlns:a16="http://schemas.microsoft.com/office/drawing/2014/main" id="{E2CF1151-8DE4-4691-8D18-D7CF369BB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11175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3134</xdr:row>
      <xdr:rowOff>309563</xdr:rowOff>
    </xdr:from>
    <xdr:to>
      <xdr:col>8</xdr:col>
      <xdr:colOff>494110</xdr:colOff>
      <xdr:row>3134</xdr:row>
      <xdr:rowOff>317462</xdr:rowOff>
    </xdr:to>
    <xdr:cxnSp macro="">
      <xdr:nvCxnSpPr>
        <xdr:cNvPr id="561" name="Conector recto 560">
          <a:extLst>
            <a:ext uri="{FF2B5EF4-FFF2-40B4-BE49-F238E27FC236}">
              <a16:creationId xmlns:a16="http://schemas.microsoft.com/office/drawing/2014/main" id="{81F55962-BCA0-4F4C-A382-E4601C0BCABA}"/>
            </a:ext>
          </a:extLst>
        </xdr:cNvPr>
        <xdr:cNvCxnSpPr/>
      </xdr:nvCxnSpPr>
      <xdr:spPr>
        <a:xfrm flipV="1">
          <a:off x="3972117" y="611458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3134</xdr:row>
      <xdr:rowOff>26102</xdr:rowOff>
    </xdr:from>
    <xdr:ext cx="1699468" cy="504272"/>
    <xdr:pic>
      <xdr:nvPicPr>
        <xdr:cNvPr id="562" name="Imagen 561">
          <a:extLst>
            <a:ext uri="{FF2B5EF4-FFF2-40B4-BE49-F238E27FC236}">
              <a16:creationId xmlns:a16="http://schemas.microsoft.com/office/drawing/2014/main" id="{F62C6C82-D485-49B5-AC33-BA56ECAFD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11175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3134</xdr:row>
      <xdr:rowOff>309563</xdr:rowOff>
    </xdr:from>
    <xdr:to>
      <xdr:col>8</xdr:col>
      <xdr:colOff>494110</xdr:colOff>
      <xdr:row>3134</xdr:row>
      <xdr:rowOff>317462</xdr:rowOff>
    </xdr:to>
    <xdr:cxnSp macro="">
      <xdr:nvCxnSpPr>
        <xdr:cNvPr id="563" name="Conector recto 562">
          <a:extLst>
            <a:ext uri="{FF2B5EF4-FFF2-40B4-BE49-F238E27FC236}">
              <a16:creationId xmlns:a16="http://schemas.microsoft.com/office/drawing/2014/main" id="{4600DE85-754E-42EF-AA46-D9D7BCEB0381}"/>
            </a:ext>
          </a:extLst>
        </xdr:cNvPr>
        <xdr:cNvCxnSpPr/>
      </xdr:nvCxnSpPr>
      <xdr:spPr>
        <a:xfrm flipV="1">
          <a:off x="3972117" y="611458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3134</xdr:row>
      <xdr:rowOff>26102</xdr:rowOff>
    </xdr:from>
    <xdr:ext cx="1699468" cy="504272"/>
    <xdr:pic>
      <xdr:nvPicPr>
        <xdr:cNvPr id="564" name="Imagen 563">
          <a:extLst>
            <a:ext uri="{FF2B5EF4-FFF2-40B4-BE49-F238E27FC236}">
              <a16:creationId xmlns:a16="http://schemas.microsoft.com/office/drawing/2014/main" id="{6E49401A-7B0E-43D8-8051-F601491A5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11175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3134</xdr:row>
      <xdr:rowOff>309563</xdr:rowOff>
    </xdr:from>
    <xdr:to>
      <xdr:col>8</xdr:col>
      <xdr:colOff>494110</xdr:colOff>
      <xdr:row>3134</xdr:row>
      <xdr:rowOff>317462</xdr:rowOff>
    </xdr:to>
    <xdr:cxnSp macro="">
      <xdr:nvCxnSpPr>
        <xdr:cNvPr id="565" name="Conector recto 564">
          <a:extLst>
            <a:ext uri="{FF2B5EF4-FFF2-40B4-BE49-F238E27FC236}">
              <a16:creationId xmlns:a16="http://schemas.microsoft.com/office/drawing/2014/main" id="{375D19C7-D7F9-4A25-8304-0C8FEE76C37E}"/>
            </a:ext>
          </a:extLst>
        </xdr:cNvPr>
        <xdr:cNvCxnSpPr/>
      </xdr:nvCxnSpPr>
      <xdr:spPr>
        <a:xfrm flipV="1">
          <a:off x="3972117" y="611458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3134</xdr:row>
      <xdr:rowOff>26102</xdr:rowOff>
    </xdr:from>
    <xdr:ext cx="1699468" cy="504272"/>
    <xdr:pic>
      <xdr:nvPicPr>
        <xdr:cNvPr id="566" name="Imagen 565">
          <a:extLst>
            <a:ext uri="{FF2B5EF4-FFF2-40B4-BE49-F238E27FC236}">
              <a16:creationId xmlns:a16="http://schemas.microsoft.com/office/drawing/2014/main" id="{37AD11C5-39F5-4596-BB4D-942364248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11175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3134</xdr:row>
      <xdr:rowOff>309563</xdr:rowOff>
    </xdr:from>
    <xdr:to>
      <xdr:col>8</xdr:col>
      <xdr:colOff>494110</xdr:colOff>
      <xdr:row>3134</xdr:row>
      <xdr:rowOff>317462</xdr:rowOff>
    </xdr:to>
    <xdr:cxnSp macro="">
      <xdr:nvCxnSpPr>
        <xdr:cNvPr id="567" name="Conector recto 566">
          <a:extLst>
            <a:ext uri="{FF2B5EF4-FFF2-40B4-BE49-F238E27FC236}">
              <a16:creationId xmlns:a16="http://schemas.microsoft.com/office/drawing/2014/main" id="{507E9226-44C3-4726-8D78-A08FD3CCEBCF}"/>
            </a:ext>
          </a:extLst>
        </xdr:cNvPr>
        <xdr:cNvCxnSpPr/>
      </xdr:nvCxnSpPr>
      <xdr:spPr>
        <a:xfrm flipV="1">
          <a:off x="3972117" y="611458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3134</xdr:row>
      <xdr:rowOff>26102</xdr:rowOff>
    </xdr:from>
    <xdr:ext cx="1699468" cy="504272"/>
    <xdr:pic>
      <xdr:nvPicPr>
        <xdr:cNvPr id="568" name="Imagen 567">
          <a:extLst>
            <a:ext uri="{FF2B5EF4-FFF2-40B4-BE49-F238E27FC236}">
              <a16:creationId xmlns:a16="http://schemas.microsoft.com/office/drawing/2014/main" id="{197F9F77-6CA2-414C-AF31-4343D034B7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11175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3134</xdr:row>
      <xdr:rowOff>309563</xdr:rowOff>
    </xdr:from>
    <xdr:to>
      <xdr:col>8</xdr:col>
      <xdr:colOff>494110</xdr:colOff>
      <xdr:row>3134</xdr:row>
      <xdr:rowOff>317462</xdr:rowOff>
    </xdr:to>
    <xdr:cxnSp macro="">
      <xdr:nvCxnSpPr>
        <xdr:cNvPr id="569" name="Conector recto 568">
          <a:extLst>
            <a:ext uri="{FF2B5EF4-FFF2-40B4-BE49-F238E27FC236}">
              <a16:creationId xmlns:a16="http://schemas.microsoft.com/office/drawing/2014/main" id="{C2E16D16-2CB2-4D7E-AE15-F4123FB79197}"/>
            </a:ext>
          </a:extLst>
        </xdr:cNvPr>
        <xdr:cNvCxnSpPr/>
      </xdr:nvCxnSpPr>
      <xdr:spPr>
        <a:xfrm flipV="1">
          <a:off x="3972117" y="611458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3134</xdr:row>
      <xdr:rowOff>26102</xdr:rowOff>
    </xdr:from>
    <xdr:ext cx="1699468" cy="504272"/>
    <xdr:pic>
      <xdr:nvPicPr>
        <xdr:cNvPr id="570" name="Imagen 569">
          <a:extLst>
            <a:ext uri="{FF2B5EF4-FFF2-40B4-BE49-F238E27FC236}">
              <a16:creationId xmlns:a16="http://schemas.microsoft.com/office/drawing/2014/main" id="{F0127B93-3DF4-4666-951D-4CA00886E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11175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3134</xdr:row>
      <xdr:rowOff>309563</xdr:rowOff>
    </xdr:from>
    <xdr:to>
      <xdr:col>8</xdr:col>
      <xdr:colOff>494110</xdr:colOff>
      <xdr:row>3134</xdr:row>
      <xdr:rowOff>317462</xdr:rowOff>
    </xdr:to>
    <xdr:cxnSp macro="">
      <xdr:nvCxnSpPr>
        <xdr:cNvPr id="571" name="Conector recto 570">
          <a:extLst>
            <a:ext uri="{FF2B5EF4-FFF2-40B4-BE49-F238E27FC236}">
              <a16:creationId xmlns:a16="http://schemas.microsoft.com/office/drawing/2014/main" id="{56C81FCE-6363-44B0-96F4-50FD83FE1849}"/>
            </a:ext>
          </a:extLst>
        </xdr:cNvPr>
        <xdr:cNvCxnSpPr/>
      </xdr:nvCxnSpPr>
      <xdr:spPr>
        <a:xfrm flipV="1">
          <a:off x="3972117" y="611458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3134</xdr:row>
      <xdr:rowOff>26102</xdr:rowOff>
    </xdr:from>
    <xdr:ext cx="1699468" cy="504272"/>
    <xdr:pic>
      <xdr:nvPicPr>
        <xdr:cNvPr id="572" name="Imagen 571">
          <a:extLst>
            <a:ext uri="{FF2B5EF4-FFF2-40B4-BE49-F238E27FC236}">
              <a16:creationId xmlns:a16="http://schemas.microsoft.com/office/drawing/2014/main" id="{F18B41EB-DBE9-40FE-9446-A886C4854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11175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3134</xdr:row>
      <xdr:rowOff>309563</xdr:rowOff>
    </xdr:from>
    <xdr:to>
      <xdr:col>8</xdr:col>
      <xdr:colOff>494110</xdr:colOff>
      <xdr:row>3134</xdr:row>
      <xdr:rowOff>317462</xdr:rowOff>
    </xdr:to>
    <xdr:cxnSp macro="">
      <xdr:nvCxnSpPr>
        <xdr:cNvPr id="573" name="Conector recto 572">
          <a:extLst>
            <a:ext uri="{FF2B5EF4-FFF2-40B4-BE49-F238E27FC236}">
              <a16:creationId xmlns:a16="http://schemas.microsoft.com/office/drawing/2014/main" id="{7952CA1D-04C4-4135-B14E-63CDF8900D18}"/>
            </a:ext>
          </a:extLst>
        </xdr:cNvPr>
        <xdr:cNvCxnSpPr/>
      </xdr:nvCxnSpPr>
      <xdr:spPr>
        <a:xfrm flipV="1">
          <a:off x="3972117" y="611458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3134</xdr:row>
      <xdr:rowOff>26102</xdr:rowOff>
    </xdr:from>
    <xdr:ext cx="1699468" cy="504272"/>
    <xdr:pic>
      <xdr:nvPicPr>
        <xdr:cNvPr id="574" name="Imagen 573">
          <a:extLst>
            <a:ext uri="{FF2B5EF4-FFF2-40B4-BE49-F238E27FC236}">
              <a16:creationId xmlns:a16="http://schemas.microsoft.com/office/drawing/2014/main" id="{0B28791E-1E10-484A-9B35-17FD36420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111755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3134</xdr:row>
      <xdr:rowOff>309563</xdr:rowOff>
    </xdr:from>
    <xdr:to>
      <xdr:col>8</xdr:col>
      <xdr:colOff>494110</xdr:colOff>
      <xdr:row>3134</xdr:row>
      <xdr:rowOff>317462</xdr:rowOff>
    </xdr:to>
    <xdr:cxnSp macro="">
      <xdr:nvCxnSpPr>
        <xdr:cNvPr id="575" name="Conector recto 574">
          <a:extLst>
            <a:ext uri="{FF2B5EF4-FFF2-40B4-BE49-F238E27FC236}">
              <a16:creationId xmlns:a16="http://schemas.microsoft.com/office/drawing/2014/main" id="{4ACC793B-93F1-4499-8F73-6DBD3A409287}"/>
            </a:ext>
          </a:extLst>
        </xdr:cNvPr>
        <xdr:cNvCxnSpPr/>
      </xdr:nvCxnSpPr>
      <xdr:spPr>
        <a:xfrm flipV="1">
          <a:off x="3972117" y="6114589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3179</xdr:row>
      <xdr:rowOff>26102</xdr:rowOff>
    </xdr:from>
    <xdr:ext cx="1699468" cy="504272"/>
    <xdr:pic>
      <xdr:nvPicPr>
        <xdr:cNvPr id="576" name="Imagen 575">
          <a:extLst>
            <a:ext uri="{FF2B5EF4-FFF2-40B4-BE49-F238E27FC236}">
              <a16:creationId xmlns:a16="http://schemas.microsoft.com/office/drawing/2014/main" id="{61F84F68-A62E-477C-A6BC-51C316601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00274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3179</xdr:row>
      <xdr:rowOff>309563</xdr:rowOff>
    </xdr:from>
    <xdr:to>
      <xdr:col>8</xdr:col>
      <xdr:colOff>494110</xdr:colOff>
      <xdr:row>3179</xdr:row>
      <xdr:rowOff>317462</xdr:rowOff>
    </xdr:to>
    <xdr:cxnSp macro="">
      <xdr:nvCxnSpPr>
        <xdr:cNvPr id="577" name="Conector recto 576">
          <a:extLst>
            <a:ext uri="{FF2B5EF4-FFF2-40B4-BE49-F238E27FC236}">
              <a16:creationId xmlns:a16="http://schemas.microsoft.com/office/drawing/2014/main" id="{E8F1D9E1-2F1A-42EE-920C-711DC7F2F752}"/>
            </a:ext>
          </a:extLst>
        </xdr:cNvPr>
        <xdr:cNvCxnSpPr/>
      </xdr:nvCxnSpPr>
      <xdr:spPr>
        <a:xfrm flipV="1">
          <a:off x="3972117" y="6203108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3179</xdr:row>
      <xdr:rowOff>26102</xdr:rowOff>
    </xdr:from>
    <xdr:ext cx="1699468" cy="504272"/>
    <xdr:pic>
      <xdr:nvPicPr>
        <xdr:cNvPr id="578" name="Imagen 577">
          <a:extLst>
            <a:ext uri="{FF2B5EF4-FFF2-40B4-BE49-F238E27FC236}">
              <a16:creationId xmlns:a16="http://schemas.microsoft.com/office/drawing/2014/main" id="{00DAE1A6-F761-47C0-8746-293FC3CDB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00274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3179</xdr:row>
      <xdr:rowOff>309563</xdr:rowOff>
    </xdr:from>
    <xdr:to>
      <xdr:col>8</xdr:col>
      <xdr:colOff>494110</xdr:colOff>
      <xdr:row>3179</xdr:row>
      <xdr:rowOff>317462</xdr:rowOff>
    </xdr:to>
    <xdr:cxnSp macro="">
      <xdr:nvCxnSpPr>
        <xdr:cNvPr id="579" name="Conector recto 578">
          <a:extLst>
            <a:ext uri="{FF2B5EF4-FFF2-40B4-BE49-F238E27FC236}">
              <a16:creationId xmlns:a16="http://schemas.microsoft.com/office/drawing/2014/main" id="{7CDC7542-3B31-4C81-909F-9218CC89B500}"/>
            </a:ext>
          </a:extLst>
        </xdr:cNvPr>
        <xdr:cNvCxnSpPr/>
      </xdr:nvCxnSpPr>
      <xdr:spPr>
        <a:xfrm flipV="1">
          <a:off x="3972117" y="6203108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3179</xdr:row>
      <xdr:rowOff>26102</xdr:rowOff>
    </xdr:from>
    <xdr:ext cx="1699468" cy="504272"/>
    <xdr:pic>
      <xdr:nvPicPr>
        <xdr:cNvPr id="580" name="Imagen 579">
          <a:extLst>
            <a:ext uri="{FF2B5EF4-FFF2-40B4-BE49-F238E27FC236}">
              <a16:creationId xmlns:a16="http://schemas.microsoft.com/office/drawing/2014/main" id="{BF9EBD11-D5CE-45ED-A36E-07047D4A3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00274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3179</xdr:row>
      <xdr:rowOff>309563</xdr:rowOff>
    </xdr:from>
    <xdr:to>
      <xdr:col>8</xdr:col>
      <xdr:colOff>494110</xdr:colOff>
      <xdr:row>3179</xdr:row>
      <xdr:rowOff>317462</xdr:rowOff>
    </xdr:to>
    <xdr:cxnSp macro="">
      <xdr:nvCxnSpPr>
        <xdr:cNvPr id="581" name="Conector recto 580">
          <a:extLst>
            <a:ext uri="{FF2B5EF4-FFF2-40B4-BE49-F238E27FC236}">
              <a16:creationId xmlns:a16="http://schemas.microsoft.com/office/drawing/2014/main" id="{3D594394-1836-4350-9C16-AF8B8F27A1BA}"/>
            </a:ext>
          </a:extLst>
        </xdr:cNvPr>
        <xdr:cNvCxnSpPr/>
      </xdr:nvCxnSpPr>
      <xdr:spPr>
        <a:xfrm flipV="1">
          <a:off x="3972117" y="6203108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3179</xdr:row>
      <xdr:rowOff>26102</xdr:rowOff>
    </xdr:from>
    <xdr:ext cx="1699468" cy="504272"/>
    <xdr:pic>
      <xdr:nvPicPr>
        <xdr:cNvPr id="582" name="Imagen 581">
          <a:extLst>
            <a:ext uri="{FF2B5EF4-FFF2-40B4-BE49-F238E27FC236}">
              <a16:creationId xmlns:a16="http://schemas.microsoft.com/office/drawing/2014/main" id="{6CA954EF-E837-4CE2-9BCF-DD08E5C21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00274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3179</xdr:row>
      <xdr:rowOff>309563</xdr:rowOff>
    </xdr:from>
    <xdr:to>
      <xdr:col>8</xdr:col>
      <xdr:colOff>494110</xdr:colOff>
      <xdr:row>3179</xdr:row>
      <xdr:rowOff>317462</xdr:rowOff>
    </xdr:to>
    <xdr:cxnSp macro="">
      <xdr:nvCxnSpPr>
        <xdr:cNvPr id="583" name="Conector recto 582">
          <a:extLst>
            <a:ext uri="{FF2B5EF4-FFF2-40B4-BE49-F238E27FC236}">
              <a16:creationId xmlns:a16="http://schemas.microsoft.com/office/drawing/2014/main" id="{CCF3CC6F-9B56-4CCC-B3EB-2F11A2488512}"/>
            </a:ext>
          </a:extLst>
        </xdr:cNvPr>
        <xdr:cNvCxnSpPr/>
      </xdr:nvCxnSpPr>
      <xdr:spPr>
        <a:xfrm flipV="1">
          <a:off x="3972117" y="6203108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3179</xdr:row>
      <xdr:rowOff>26102</xdr:rowOff>
    </xdr:from>
    <xdr:ext cx="1699468" cy="504272"/>
    <xdr:pic>
      <xdr:nvPicPr>
        <xdr:cNvPr id="584" name="Imagen 583">
          <a:extLst>
            <a:ext uri="{FF2B5EF4-FFF2-40B4-BE49-F238E27FC236}">
              <a16:creationId xmlns:a16="http://schemas.microsoft.com/office/drawing/2014/main" id="{5858F971-BF61-49DB-94D0-F5F7B63C6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00274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3179</xdr:row>
      <xdr:rowOff>309563</xdr:rowOff>
    </xdr:from>
    <xdr:to>
      <xdr:col>8</xdr:col>
      <xdr:colOff>494110</xdr:colOff>
      <xdr:row>3179</xdr:row>
      <xdr:rowOff>317462</xdr:rowOff>
    </xdr:to>
    <xdr:cxnSp macro="">
      <xdr:nvCxnSpPr>
        <xdr:cNvPr id="585" name="Conector recto 584">
          <a:extLst>
            <a:ext uri="{FF2B5EF4-FFF2-40B4-BE49-F238E27FC236}">
              <a16:creationId xmlns:a16="http://schemas.microsoft.com/office/drawing/2014/main" id="{E882A23B-8213-459E-86D4-434215641971}"/>
            </a:ext>
          </a:extLst>
        </xdr:cNvPr>
        <xdr:cNvCxnSpPr/>
      </xdr:nvCxnSpPr>
      <xdr:spPr>
        <a:xfrm flipV="1">
          <a:off x="3972117" y="6203108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3179</xdr:row>
      <xdr:rowOff>26102</xdr:rowOff>
    </xdr:from>
    <xdr:ext cx="1699468" cy="504272"/>
    <xdr:pic>
      <xdr:nvPicPr>
        <xdr:cNvPr id="586" name="Imagen 585">
          <a:extLst>
            <a:ext uri="{FF2B5EF4-FFF2-40B4-BE49-F238E27FC236}">
              <a16:creationId xmlns:a16="http://schemas.microsoft.com/office/drawing/2014/main" id="{E78D9967-55C1-4E98-8461-220BC65E7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00274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3179</xdr:row>
      <xdr:rowOff>309563</xdr:rowOff>
    </xdr:from>
    <xdr:to>
      <xdr:col>8</xdr:col>
      <xdr:colOff>494110</xdr:colOff>
      <xdr:row>3179</xdr:row>
      <xdr:rowOff>317462</xdr:rowOff>
    </xdr:to>
    <xdr:cxnSp macro="">
      <xdr:nvCxnSpPr>
        <xdr:cNvPr id="587" name="Conector recto 586">
          <a:extLst>
            <a:ext uri="{FF2B5EF4-FFF2-40B4-BE49-F238E27FC236}">
              <a16:creationId xmlns:a16="http://schemas.microsoft.com/office/drawing/2014/main" id="{E4060939-713A-4561-84F5-BA9B2203AF7E}"/>
            </a:ext>
          </a:extLst>
        </xdr:cNvPr>
        <xdr:cNvCxnSpPr/>
      </xdr:nvCxnSpPr>
      <xdr:spPr>
        <a:xfrm flipV="1">
          <a:off x="3972117" y="6203108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3179</xdr:row>
      <xdr:rowOff>26102</xdr:rowOff>
    </xdr:from>
    <xdr:ext cx="1699468" cy="504272"/>
    <xdr:pic>
      <xdr:nvPicPr>
        <xdr:cNvPr id="588" name="Imagen 587">
          <a:extLst>
            <a:ext uri="{FF2B5EF4-FFF2-40B4-BE49-F238E27FC236}">
              <a16:creationId xmlns:a16="http://schemas.microsoft.com/office/drawing/2014/main" id="{3AA9ACEC-8AE9-4E0E-B863-D09B87F60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00274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3179</xdr:row>
      <xdr:rowOff>309563</xdr:rowOff>
    </xdr:from>
    <xdr:to>
      <xdr:col>8</xdr:col>
      <xdr:colOff>494110</xdr:colOff>
      <xdr:row>3179</xdr:row>
      <xdr:rowOff>317462</xdr:rowOff>
    </xdr:to>
    <xdr:cxnSp macro="">
      <xdr:nvCxnSpPr>
        <xdr:cNvPr id="589" name="Conector recto 588">
          <a:extLst>
            <a:ext uri="{FF2B5EF4-FFF2-40B4-BE49-F238E27FC236}">
              <a16:creationId xmlns:a16="http://schemas.microsoft.com/office/drawing/2014/main" id="{88BF301B-95AF-4F85-9C9C-0025C70627E8}"/>
            </a:ext>
          </a:extLst>
        </xdr:cNvPr>
        <xdr:cNvCxnSpPr/>
      </xdr:nvCxnSpPr>
      <xdr:spPr>
        <a:xfrm flipV="1">
          <a:off x="3972117" y="6203108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3179</xdr:row>
      <xdr:rowOff>26102</xdr:rowOff>
    </xdr:from>
    <xdr:ext cx="1699468" cy="504272"/>
    <xdr:pic>
      <xdr:nvPicPr>
        <xdr:cNvPr id="590" name="Imagen 589">
          <a:extLst>
            <a:ext uri="{FF2B5EF4-FFF2-40B4-BE49-F238E27FC236}">
              <a16:creationId xmlns:a16="http://schemas.microsoft.com/office/drawing/2014/main" id="{0F5B8F03-39DE-4D66-A6B8-B120FC9C0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00274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3179</xdr:row>
      <xdr:rowOff>309563</xdr:rowOff>
    </xdr:from>
    <xdr:to>
      <xdr:col>8</xdr:col>
      <xdr:colOff>494110</xdr:colOff>
      <xdr:row>3179</xdr:row>
      <xdr:rowOff>317462</xdr:rowOff>
    </xdr:to>
    <xdr:cxnSp macro="">
      <xdr:nvCxnSpPr>
        <xdr:cNvPr id="591" name="Conector recto 590">
          <a:extLst>
            <a:ext uri="{FF2B5EF4-FFF2-40B4-BE49-F238E27FC236}">
              <a16:creationId xmlns:a16="http://schemas.microsoft.com/office/drawing/2014/main" id="{CD076918-AF98-4398-B1C5-3BD6EB8EB289}"/>
            </a:ext>
          </a:extLst>
        </xdr:cNvPr>
        <xdr:cNvCxnSpPr/>
      </xdr:nvCxnSpPr>
      <xdr:spPr>
        <a:xfrm flipV="1">
          <a:off x="3972117" y="6203108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3224</xdr:row>
      <xdr:rowOff>26102</xdr:rowOff>
    </xdr:from>
    <xdr:ext cx="1699468" cy="504272"/>
    <xdr:pic>
      <xdr:nvPicPr>
        <xdr:cNvPr id="592" name="Imagen 591">
          <a:extLst>
            <a:ext uri="{FF2B5EF4-FFF2-40B4-BE49-F238E27FC236}">
              <a16:creationId xmlns:a16="http://schemas.microsoft.com/office/drawing/2014/main" id="{7015B9F0-A75F-4F05-A4FC-6429BCBA4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88793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3224</xdr:row>
      <xdr:rowOff>309563</xdr:rowOff>
    </xdr:from>
    <xdr:to>
      <xdr:col>8</xdr:col>
      <xdr:colOff>494110</xdr:colOff>
      <xdr:row>3224</xdr:row>
      <xdr:rowOff>317462</xdr:rowOff>
    </xdr:to>
    <xdr:cxnSp macro="">
      <xdr:nvCxnSpPr>
        <xdr:cNvPr id="593" name="Conector recto 592">
          <a:extLst>
            <a:ext uri="{FF2B5EF4-FFF2-40B4-BE49-F238E27FC236}">
              <a16:creationId xmlns:a16="http://schemas.microsoft.com/office/drawing/2014/main" id="{C23E24F5-F755-4A34-B45C-5B6FA5C83605}"/>
            </a:ext>
          </a:extLst>
        </xdr:cNvPr>
        <xdr:cNvCxnSpPr/>
      </xdr:nvCxnSpPr>
      <xdr:spPr>
        <a:xfrm flipV="1">
          <a:off x="3972117" y="6291627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3224</xdr:row>
      <xdr:rowOff>26102</xdr:rowOff>
    </xdr:from>
    <xdr:ext cx="1699468" cy="504272"/>
    <xdr:pic>
      <xdr:nvPicPr>
        <xdr:cNvPr id="594" name="Imagen 593">
          <a:extLst>
            <a:ext uri="{FF2B5EF4-FFF2-40B4-BE49-F238E27FC236}">
              <a16:creationId xmlns:a16="http://schemas.microsoft.com/office/drawing/2014/main" id="{8A40B567-395E-426D-AA07-C19BC0B169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88793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3224</xdr:row>
      <xdr:rowOff>309563</xdr:rowOff>
    </xdr:from>
    <xdr:to>
      <xdr:col>8</xdr:col>
      <xdr:colOff>494110</xdr:colOff>
      <xdr:row>3224</xdr:row>
      <xdr:rowOff>317462</xdr:rowOff>
    </xdr:to>
    <xdr:cxnSp macro="">
      <xdr:nvCxnSpPr>
        <xdr:cNvPr id="595" name="Conector recto 594">
          <a:extLst>
            <a:ext uri="{FF2B5EF4-FFF2-40B4-BE49-F238E27FC236}">
              <a16:creationId xmlns:a16="http://schemas.microsoft.com/office/drawing/2014/main" id="{BB105638-F2E6-470D-8FDD-68E454FCE868}"/>
            </a:ext>
          </a:extLst>
        </xdr:cNvPr>
        <xdr:cNvCxnSpPr/>
      </xdr:nvCxnSpPr>
      <xdr:spPr>
        <a:xfrm flipV="1">
          <a:off x="3972117" y="6291627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3224</xdr:row>
      <xdr:rowOff>26102</xdr:rowOff>
    </xdr:from>
    <xdr:ext cx="1699468" cy="504272"/>
    <xdr:pic>
      <xdr:nvPicPr>
        <xdr:cNvPr id="596" name="Imagen 595">
          <a:extLst>
            <a:ext uri="{FF2B5EF4-FFF2-40B4-BE49-F238E27FC236}">
              <a16:creationId xmlns:a16="http://schemas.microsoft.com/office/drawing/2014/main" id="{B24E8EBC-72AC-4A0A-930A-01F15B272F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88793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3224</xdr:row>
      <xdr:rowOff>309563</xdr:rowOff>
    </xdr:from>
    <xdr:to>
      <xdr:col>8</xdr:col>
      <xdr:colOff>494110</xdr:colOff>
      <xdr:row>3224</xdr:row>
      <xdr:rowOff>317462</xdr:rowOff>
    </xdr:to>
    <xdr:cxnSp macro="">
      <xdr:nvCxnSpPr>
        <xdr:cNvPr id="597" name="Conector recto 596">
          <a:extLst>
            <a:ext uri="{FF2B5EF4-FFF2-40B4-BE49-F238E27FC236}">
              <a16:creationId xmlns:a16="http://schemas.microsoft.com/office/drawing/2014/main" id="{E97905DF-58E4-4C62-A645-B452D8BD67B7}"/>
            </a:ext>
          </a:extLst>
        </xdr:cNvPr>
        <xdr:cNvCxnSpPr/>
      </xdr:nvCxnSpPr>
      <xdr:spPr>
        <a:xfrm flipV="1">
          <a:off x="3972117" y="6291627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3224</xdr:row>
      <xdr:rowOff>26102</xdr:rowOff>
    </xdr:from>
    <xdr:ext cx="1699468" cy="504272"/>
    <xdr:pic>
      <xdr:nvPicPr>
        <xdr:cNvPr id="598" name="Imagen 597">
          <a:extLst>
            <a:ext uri="{FF2B5EF4-FFF2-40B4-BE49-F238E27FC236}">
              <a16:creationId xmlns:a16="http://schemas.microsoft.com/office/drawing/2014/main" id="{6BA8BAE2-B144-4E6F-92C3-256A738E5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88793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3224</xdr:row>
      <xdr:rowOff>309563</xdr:rowOff>
    </xdr:from>
    <xdr:to>
      <xdr:col>8</xdr:col>
      <xdr:colOff>494110</xdr:colOff>
      <xdr:row>3224</xdr:row>
      <xdr:rowOff>317462</xdr:rowOff>
    </xdr:to>
    <xdr:cxnSp macro="">
      <xdr:nvCxnSpPr>
        <xdr:cNvPr id="599" name="Conector recto 598">
          <a:extLst>
            <a:ext uri="{FF2B5EF4-FFF2-40B4-BE49-F238E27FC236}">
              <a16:creationId xmlns:a16="http://schemas.microsoft.com/office/drawing/2014/main" id="{0A24CEDF-2C71-4983-8C13-BD41A91F32DC}"/>
            </a:ext>
          </a:extLst>
        </xdr:cNvPr>
        <xdr:cNvCxnSpPr/>
      </xdr:nvCxnSpPr>
      <xdr:spPr>
        <a:xfrm flipV="1">
          <a:off x="3972117" y="6291627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3224</xdr:row>
      <xdr:rowOff>26102</xdr:rowOff>
    </xdr:from>
    <xdr:ext cx="1699468" cy="504272"/>
    <xdr:pic>
      <xdr:nvPicPr>
        <xdr:cNvPr id="600" name="Imagen 599">
          <a:extLst>
            <a:ext uri="{FF2B5EF4-FFF2-40B4-BE49-F238E27FC236}">
              <a16:creationId xmlns:a16="http://schemas.microsoft.com/office/drawing/2014/main" id="{51D493CD-47AC-47BA-AE7A-A9B43C161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88793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3224</xdr:row>
      <xdr:rowOff>309563</xdr:rowOff>
    </xdr:from>
    <xdr:to>
      <xdr:col>8</xdr:col>
      <xdr:colOff>494110</xdr:colOff>
      <xdr:row>3224</xdr:row>
      <xdr:rowOff>317462</xdr:rowOff>
    </xdr:to>
    <xdr:cxnSp macro="">
      <xdr:nvCxnSpPr>
        <xdr:cNvPr id="601" name="Conector recto 600">
          <a:extLst>
            <a:ext uri="{FF2B5EF4-FFF2-40B4-BE49-F238E27FC236}">
              <a16:creationId xmlns:a16="http://schemas.microsoft.com/office/drawing/2014/main" id="{EEB8DFC0-C430-4CB6-A68C-7D63AD32124A}"/>
            </a:ext>
          </a:extLst>
        </xdr:cNvPr>
        <xdr:cNvCxnSpPr/>
      </xdr:nvCxnSpPr>
      <xdr:spPr>
        <a:xfrm flipV="1">
          <a:off x="3972117" y="6291627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3224</xdr:row>
      <xdr:rowOff>26102</xdr:rowOff>
    </xdr:from>
    <xdr:ext cx="1699468" cy="504272"/>
    <xdr:pic>
      <xdr:nvPicPr>
        <xdr:cNvPr id="602" name="Imagen 601">
          <a:extLst>
            <a:ext uri="{FF2B5EF4-FFF2-40B4-BE49-F238E27FC236}">
              <a16:creationId xmlns:a16="http://schemas.microsoft.com/office/drawing/2014/main" id="{04348F44-79E4-420F-9786-09C266C7E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88793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3224</xdr:row>
      <xdr:rowOff>309563</xdr:rowOff>
    </xdr:from>
    <xdr:to>
      <xdr:col>8</xdr:col>
      <xdr:colOff>494110</xdr:colOff>
      <xdr:row>3224</xdr:row>
      <xdr:rowOff>317462</xdr:rowOff>
    </xdr:to>
    <xdr:cxnSp macro="">
      <xdr:nvCxnSpPr>
        <xdr:cNvPr id="603" name="Conector recto 602">
          <a:extLst>
            <a:ext uri="{FF2B5EF4-FFF2-40B4-BE49-F238E27FC236}">
              <a16:creationId xmlns:a16="http://schemas.microsoft.com/office/drawing/2014/main" id="{D284A9BB-3FC9-4FAB-8DB8-B34A6F9BE5DE}"/>
            </a:ext>
          </a:extLst>
        </xdr:cNvPr>
        <xdr:cNvCxnSpPr/>
      </xdr:nvCxnSpPr>
      <xdr:spPr>
        <a:xfrm flipV="1">
          <a:off x="3972117" y="6291627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3224</xdr:row>
      <xdr:rowOff>26102</xdr:rowOff>
    </xdr:from>
    <xdr:ext cx="1699468" cy="504272"/>
    <xdr:pic>
      <xdr:nvPicPr>
        <xdr:cNvPr id="604" name="Imagen 603">
          <a:extLst>
            <a:ext uri="{FF2B5EF4-FFF2-40B4-BE49-F238E27FC236}">
              <a16:creationId xmlns:a16="http://schemas.microsoft.com/office/drawing/2014/main" id="{DA3C9D28-4095-41D7-B85D-F99EAD9853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88793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3224</xdr:row>
      <xdr:rowOff>309563</xdr:rowOff>
    </xdr:from>
    <xdr:to>
      <xdr:col>8</xdr:col>
      <xdr:colOff>494110</xdr:colOff>
      <xdr:row>3224</xdr:row>
      <xdr:rowOff>317462</xdr:rowOff>
    </xdr:to>
    <xdr:cxnSp macro="">
      <xdr:nvCxnSpPr>
        <xdr:cNvPr id="605" name="Conector recto 604">
          <a:extLst>
            <a:ext uri="{FF2B5EF4-FFF2-40B4-BE49-F238E27FC236}">
              <a16:creationId xmlns:a16="http://schemas.microsoft.com/office/drawing/2014/main" id="{E5DEB9B0-238D-4B1A-B8CE-5E25238E8604}"/>
            </a:ext>
          </a:extLst>
        </xdr:cNvPr>
        <xdr:cNvCxnSpPr/>
      </xdr:nvCxnSpPr>
      <xdr:spPr>
        <a:xfrm flipV="1">
          <a:off x="3972117" y="6291627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3224</xdr:row>
      <xdr:rowOff>26102</xdr:rowOff>
    </xdr:from>
    <xdr:ext cx="1699468" cy="504272"/>
    <xdr:pic>
      <xdr:nvPicPr>
        <xdr:cNvPr id="606" name="Imagen 605">
          <a:extLst>
            <a:ext uri="{FF2B5EF4-FFF2-40B4-BE49-F238E27FC236}">
              <a16:creationId xmlns:a16="http://schemas.microsoft.com/office/drawing/2014/main" id="{024B0AA5-E9B4-44B0-A646-7819486722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288793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3224</xdr:row>
      <xdr:rowOff>309563</xdr:rowOff>
    </xdr:from>
    <xdr:to>
      <xdr:col>8</xdr:col>
      <xdr:colOff>494110</xdr:colOff>
      <xdr:row>3224</xdr:row>
      <xdr:rowOff>317462</xdr:rowOff>
    </xdr:to>
    <xdr:cxnSp macro="">
      <xdr:nvCxnSpPr>
        <xdr:cNvPr id="607" name="Conector recto 606">
          <a:extLst>
            <a:ext uri="{FF2B5EF4-FFF2-40B4-BE49-F238E27FC236}">
              <a16:creationId xmlns:a16="http://schemas.microsoft.com/office/drawing/2014/main" id="{A4DE8574-065D-4045-8BEA-D725EA8C9ADB}"/>
            </a:ext>
          </a:extLst>
        </xdr:cNvPr>
        <xdr:cNvCxnSpPr/>
      </xdr:nvCxnSpPr>
      <xdr:spPr>
        <a:xfrm flipV="1">
          <a:off x="3972117" y="6291627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3269</xdr:row>
      <xdr:rowOff>26102</xdr:rowOff>
    </xdr:from>
    <xdr:ext cx="1699468" cy="504272"/>
    <xdr:pic>
      <xdr:nvPicPr>
        <xdr:cNvPr id="608" name="Imagen 607">
          <a:extLst>
            <a:ext uri="{FF2B5EF4-FFF2-40B4-BE49-F238E27FC236}">
              <a16:creationId xmlns:a16="http://schemas.microsoft.com/office/drawing/2014/main" id="{F78DCE7F-CDDB-45EB-AEB0-43A9FAA4F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37731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3269</xdr:row>
      <xdr:rowOff>309563</xdr:rowOff>
    </xdr:from>
    <xdr:to>
      <xdr:col>8</xdr:col>
      <xdr:colOff>494110</xdr:colOff>
      <xdr:row>3269</xdr:row>
      <xdr:rowOff>317462</xdr:rowOff>
    </xdr:to>
    <xdr:cxnSp macro="">
      <xdr:nvCxnSpPr>
        <xdr:cNvPr id="609" name="Conector recto 608">
          <a:extLst>
            <a:ext uri="{FF2B5EF4-FFF2-40B4-BE49-F238E27FC236}">
              <a16:creationId xmlns:a16="http://schemas.microsoft.com/office/drawing/2014/main" id="{D571F41C-24BB-4364-85DD-4DBA4F1D2AC8}"/>
            </a:ext>
          </a:extLst>
        </xdr:cNvPr>
        <xdr:cNvCxnSpPr/>
      </xdr:nvCxnSpPr>
      <xdr:spPr>
        <a:xfrm flipV="1">
          <a:off x="3972117" y="638014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3269</xdr:row>
      <xdr:rowOff>26102</xdr:rowOff>
    </xdr:from>
    <xdr:ext cx="1699468" cy="504272"/>
    <xdr:pic>
      <xdr:nvPicPr>
        <xdr:cNvPr id="610" name="Imagen 609">
          <a:extLst>
            <a:ext uri="{FF2B5EF4-FFF2-40B4-BE49-F238E27FC236}">
              <a16:creationId xmlns:a16="http://schemas.microsoft.com/office/drawing/2014/main" id="{51298C6B-BBB3-4046-BA67-04264F4FF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37731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3269</xdr:row>
      <xdr:rowOff>309563</xdr:rowOff>
    </xdr:from>
    <xdr:to>
      <xdr:col>8</xdr:col>
      <xdr:colOff>494110</xdr:colOff>
      <xdr:row>3269</xdr:row>
      <xdr:rowOff>317462</xdr:rowOff>
    </xdr:to>
    <xdr:cxnSp macro="">
      <xdr:nvCxnSpPr>
        <xdr:cNvPr id="611" name="Conector recto 610">
          <a:extLst>
            <a:ext uri="{FF2B5EF4-FFF2-40B4-BE49-F238E27FC236}">
              <a16:creationId xmlns:a16="http://schemas.microsoft.com/office/drawing/2014/main" id="{50E6CA7A-78C3-4C14-94CC-C85F688FB500}"/>
            </a:ext>
          </a:extLst>
        </xdr:cNvPr>
        <xdr:cNvCxnSpPr/>
      </xdr:nvCxnSpPr>
      <xdr:spPr>
        <a:xfrm flipV="1">
          <a:off x="3972117" y="638014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3269</xdr:row>
      <xdr:rowOff>26102</xdr:rowOff>
    </xdr:from>
    <xdr:ext cx="1699468" cy="504272"/>
    <xdr:pic>
      <xdr:nvPicPr>
        <xdr:cNvPr id="612" name="Imagen 611">
          <a:extLst>
            <a:ext uri="{FF2B5EF4-FFF2-40B4-BE49-F238E27FC236}">
              <a16:creationId xmlns:a16="http://schemas.microsoft.com/office/drawing/2014/main" id="{6EE0830A-BBF8-4EF7-8D3C-E6F7D5F0E0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37731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3269</xdr:row>
      <xdr:rowOff>309563</xdr:rowOff>
    </xdr:from>
    <xdr:to>
      <xdr:col>8</xdr:col>
      <xdr:colOff>494110</xdr:colOff>
      <xdr:row>3269</xdr:row>
      <xdr:rowOff>317462</xdr:rowOff>
    </xdr:to>
    <xdr:cxnSp macro="">
      <xdr:nvCxnSpPr>
        <xdr:cNvPr id="613" name="Conector recto 612">
          <a:extLst>
            <a:ext uri="{FF2B5EF4-FFF2-40B4-BE49-F238E27FC236}">
              <a16:creationId xmlns:a16="http://schemas.microsoft.com/office/drawing/2014/main" id="{A767A34F-2CED-4ECC-A870-6E0CABF37360}"/>
            </a:ext>
          </a:extLst>
        </xdr:cNvPr>
        <xdr:cNvCxnSpPr/>
      </xdr:nvCxnSpPr>
      <xdr:spPr>
        <a:xfrm flipV="1">
          <a:off x="3972117" y="638014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3269</xdr:row>
      <xdr:rowOff>26102</xdr:rowOff>
    </xdr:from>
    <xdr:ext cx="1699468" cy="504272"/>
    <xdr:pic>
      <xdr:nvPicPr>
        <xdr:cNvPr id="614" name="Imagen 613">
          <a:extLst>
            <a:ext uri="{FF2B5EF4-FFF2-40B4-BE49-F238E27FC236}">
              <a16:creationId xmlns:a16="http://schemas.microsoft.com/office/drawing/2014/main" id="{33D8B277-F787-4FD9-B9CA-01C52C8F8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37731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3269</xdr:row>
      <xdr:rowOff>309563</xdr:rowOff>
    </xdr:from>
    <xdr:to>
      <xdr:col>8</xdr:col>
      <xdr:colOff>494110</xdr:colOff>
      <xdr:row>3269</xdr:row>
      <xdr:rowOff>317462</xdr:rowOff>
    </xdr:to>
    <xdr:cxnSp macro="">
      <xdr:nvCxnSpPr>
        <xdr:cNvPr id="615" name="Conector recto 614">
          <a:extLst>
            <a:ext uri="{FF2B5EF4-FFF2-40B4-BE49-F238E27FC236}">
              <a16:creationId xmlns:a16="http://schemas.microsoft.com/office/drawing/2014/main" id="{F69BF0D0-B153-438D-A65A-68614C71DDF3}"/>
            </a:ext>
          </a:extLst>
        </xdr:cNvPr>
        <xdr:cNvCxnSpPr/>
      </xdr:nvCxnSpPr>
      <xdr:spPr>
        <a:xfrm flipV="1">
          <a:off x="3972117" y="638014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3269</xdr:row>
      <xdr:rowOff>26102</xdr:rowOff>
    </xdr:from>
    <xdr:ext cx="1699468" cy="504272"/>
    <xdr:pic>
      <xdr:nvPicPr>
        <xdr:cNvPr id="616" name="Imagen 615">
          <a:extLst>
            <a:ext uri="{FF2B5EF4-FFF2-40B4-BE49-F238E27FC236}">
              <a16:creationId xmlns:a16="http://schemas.microsoft.com/office/drawing/2014/main" id="{F61AEB85-6833-4DD2-9741-58E213D0C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37731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3269</xdr:row>
      <xdr:rowOff>309563</xdr:rowOff>
    </xdr:from>
    <xdr:to>
      <xdr:col>8</xdr:col>
      <xdr:colOff>494110</xdr:colOff>
      <xdr:row>3269</xdr:row>
      <xdr:rowOff>317462</xdr:rowOff>
    </xdr:to>
    <xdr:cxnSp macro="">
      <xdr:nvCxnSpPr>
        <xdr:cNvPr id="617" name="Conector recto 616">
          <a:extLst>
            <a:ext uri="{FF2B5EF4-FFF2-40B4-BE49-F238E27FC236}">
              <a16:creationId xmlns:a16="http://schemas.microsoft.com/office/drawing/2014/main" id="{0310982B-AA15-4B9D-ABAD-9308844ED1F3}"/>
            </a:ext>
          </a:extLst>
        </xdr:cNvPr>
        <xdr:cNvCxnSpPr/>
      </xdr:nvCxnSpPr>
      <xdr:spPr>
        <a:xfrm flipV="1">
          <a:off x="3972117" y="638014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3269</xdr:row>
      <xdr:rowOff>26102</xdr:rowOff>
    </xdr:from>
    <xdr:ext cx="1699468" cy="504272"/>
    <xdr:pic>
      <xdr:nvPicPr>
        <xdr:cNvPr id="618" name="Imagen 617">
          <a:extLst>
            <a:ext uri="{FF2B5EF4-FFF2-40B4-BE49-F238E27FC236}">
              <a16:creationId xmlns:a16="http://schemas.microsoft.com/office/drawing/2014/main" id="{9CE13707-10D5-4356-8682-8B1C2C012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37731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3269</xdr:row>
      <xdr:rowOff>309563</xdr:rowOff>
    </xdr:from>
    <xdr:to>
      <xdr:col>8</xdr:col>
      <xdr:colOff>494110</xdr:colOff>
      <xdr:row>3269</xdr:row>
      <xdr:rowOff>317462</xdr:rowOff>
    </xdr:to>
    <xdr:cxnSp macro="">
      <xdr:nvCxnSpPr>
        <xdr:cNvPr id="619" name="Conector recto 618">
          <a:extLst>
            <a:ext uri="{FF2B5EF4-FFF2-40B4-BE49-F238E27FC236}">
              <a16:creationId xmlns:a16="http://schemas.microsoft.com/office/drawing/2014/main" id="{C8044703-3940-4EDC-AA48-F8BA9E85E3E5}"/>
            </a:ext>
          </a:extLst>
        </xdr:cNvPr>
        <xdr:cNvCxnSpPr/>
      </xdr:nvCxnSpPr>
      <xdr:spPr>
        <a:xfrm flipV="1">
          <a:off x="3972117" y="638014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3269</xdr:row>
      <xdr:rowOff>26102</xdr:rowOff>
    </xdr:from>
    <xdr:ext cx="1699468" cy="504272"/>
    <xdr:pic>
      <xdr:nvPicPr>
        <xdr:cNvPr id="620" name="Imagen 619">
          <a:extLst>
            <a:ext uri="{FF2B5EF4-FFF2-40B4-BE49-F238E27FC236}">
              <a16:creationId xmlns:a16="http://schemas.microsoft.com/office/drawing/2014/main" id="{7A5E1347-1ADC-49B6-8FDE-89692CD5A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37731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3269</xdr:row>
      <xdr:rowOff>309563</xdr:rowOff>
    </xdr:from>
    <xdr:to>
      <xdr:col>8</xdr:col>
      <xdr:colOff>494110</xdr:colOff>
      <xdr:row>3269</xdr:row>
      <xdr:rowOff>317462</xdr:rowOff>
    </xdr:to>
    <xdr:cxnSp macro="">
      <xdr:nvCxnSpPr>
        <xdr:cNvPr id="621" name="Conector recto 620">
          <a:extLst>
            <a:ext uri="{FF2B5EF4-FFF2-40B4-BE49-F238E27FC236}">
              <a16:creationId xmlns:a16="http://schemas.microsoft.com/office/drawing/2014/main" id="{BA869F55-B0BB-4333-B08C-F6969F9ACC77}"/>
            </a:ext>
          </a:extLst>
        </xdr:cNvPr>
        <xdr:cNvCxnSpPr/>
      </xdr:nvCxnSpPr>
      <xdr:spPr>
        <a:xfrm flipV="1">
          <a:off x="3972117" y="638014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3269</xdr:row>
      <xdr:rowOff>26102</xdr:rowOff>
    </xdr:from>
    <xdr:ext cx="1699468" cy="504272"/>
    <xdr:pic>
      <xdr:nvPicPr>
        <xdr:cNvPr id="622" name="Imagen 621">
          <a:extLst>
            <a:ext uri="{FF2B5EF4-FFF2-40B4-BE49-F238E27FC236}">
              <a16:creationId xmlns:a16="http://schemas.microsoft.com/office/drawing/2014/main" id="{CBC8E900-6D5F-4CE6-AA90-85A7E2DB0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377312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3269</xdr:row>
      <xdr:rowOff>309563</xdr:rowOff>
    </xdr:from>
    <xdr:to>
      <xdr:col>8</xdr:col>
      <xdr:colOff>494110</xdr:colOff>
      <xdr:row>3269</xdr:row>
      <xdr:rowOff>317462</xdr:rowOff>
    </xdr:to>
    <xdr:cxnSp macro="">
      <xdr:nvCxnSpPr>
        <xdr:cNvPr id="623" name="Conector recto 622">
          <a:extLst>
            <a:ext uri="{FF2B5EF4-FFF2-40B4-BE49-F238E27FC236}">
              <a16:creationId xmlns:a16="http://schemas.microsoft.com/office/drawing/2014/main" id="{3BAA4EE5-C4EF-49A8-96AA-9E58D69D9AE6}"/>
            </a:ext>
          </a:extLst>
        </xdr:cNvPr>
        <xdr:cNvCxnSpPr/>
      </xdr:nvCxnSpPr>
      <xdr:spPr>
        <a:xfrm flipV="1">
          <a:off x="3972117" y="6380146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3314</xdr:row>
      <xdr:rowOff>26102</xdr:rowOff>
    </xdr:from>
    <xdr:ext cx="1699468" cy="504272"/>
    <xdr:pic>
      <xdr:nvPicPr>
        <xdr:cNvPr id="624" name="Imagen 623">
          <a:extLst>
            <a:ext uri="{FF2B5EF4-FFF2-40B4-BE49-F238E27FC236}">
              <a16:creationId xmlns:a16="http://schemas.microsoft.com/office/drawing/2014/main" id="{34FE6E72-E5A1-4BE1-99EB-B14D78604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46583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3314</xdr:row>
      <xdr:rowOff>309563</xdr:rowOff>
    </xdr:from>
    <xdr:to>
      <xdr:col>8</xdr:col>
      <xdr:colOff>494110</xdr:colOff>
      <xdr:row>3314</xdr:row>
      <xdr:rowOff>317462</xdr:rowOff>
    </xdr:to>
    <xdr:cxnSp macro="">
      <xdr:nvCxnSpPr>
        <xdr:cNvPr id="625" name="Conector recto 624">
          <a:extLst>
            <a:ext uri="{FF2B5EF4-FFF2-40B4-BE49-F238E27FC236}">
              <a16:creationId xmlns:a16="http://schemas.microsoft.com/office/drawing/2014/main" id="{78F565F2-830F-4004-9C3B-7CBFDBF2C176}"/>
            </a:ext>
          </a:extLst>
        </xdr:cNvPr>
        <xdr:cNvCxnSpPr/>
      </xdr:nvCxnSpPr>
      <xdr:spPr>
        <a:xfrm flipV="1">
          <a:off x="3972117" y="646866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3314</xdr:row>
      <xdr:rowOff>26102</xdr:rowOff>
    </xdr:from>
    <xdr:ext cx="1699468" cy="504272"/>
    <xdr:pic>
      <xdr:nvPicPr>
        <xdr:cNvPr id="626" name="Imagen 625">
          <a:extLst>
            <a:ext uri="{FF2B5EF4-FFF2-40B4-BE49-F238E27FC236}">
              <a16:creationId xmlns:a16="http://schemas.microsoft.com/office/drawing/2014/main" id="{24180CD4-706E-4F3D-98E3-0F409E8D5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46583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3314</xdr:row>
      <xdr:rowOff>309563</xdr:rowOff>
    </xdr:from>
    <xdr:to>
      <xdr:col>8</xdr:col>
      <xdr:colOff>494110</xdr:colOff>
      <xdr:row>3314</xdr:row>
      <xdr:rowOff>317462</xdr:rowOff>
    </xdr:to>
    <xdr:cxnSp macro="">
      <xdr:nvCxnSpPr>
        <xdr:cNvPr id="627" name="Conector recto 626">
          <a:extLst>
            <a:ext uri="{FF2B5EF4-FFF2-40B4-BE49-F238E27FC236}">
              <a16:creationId xmlns:a16="http://schemas.microsoft.com/office/drawing/2014/main" id="{BFBBA356-2E20-461B-BAD6-445476EE3903}"/>
            </a:ext>
          </a:extLst>
        </xdr:cNvPr>
        <xdr:cNvCxnSpPr/>
      </xdr:nvCxnSpPr>
      <xdr:spPr>
        <a:xfrm flipV="1">
          <a:off x="3972117" y="646866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3314</xdr:row>
      <xdr:rowOff>26102</xdr:rowOff>
    </xdr:from>
    <xdr:ext cx="1699468" cy="504272"/>
    <xdr:pic>
      <xdr:nvPicPr>
        <xdr:cNvPr id="628" name="Imagen 627">
          <a:extLst>
            <a:ext uri="{FF2B5EF4-FFF2-40B4-BE49-F238E27FC236}">
              <a16:creationId xmlns:a16="http://schemas.microsoft.com/office/drawing/2014/main" id="{31E0DC03-7059-4318-9D9C-40F3BF5E7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46583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3314</xdr:row>
      <xdr:rowOff>309563</xdr:rowOff>
    </xdr:from>
    <xdr:to>
      <xdr:col>8</xdr:col>
      <xdr:colOff>494110</xdr:colOff>
      <xdr:row>3314</xdr:row>
      <xdr:rowOff>317462</xdr:rowOff>
    </xdr:to>
    <xdr:cxnSp macro="">
      <xdr:nvCxnSpPr>
        <xdr:cNvPr id="629" name="Conector recto 628">
          <a:extLst>
            <a:ext uri="{FF2B5EF4-FFF2-40B4-BE49-F238E27FC236}">
              <a16:creationId xmlns:a16="http://schemas.microsoft.com/office/drawing/2014/main" id="{54A7BA78-99E0-4F4E-AF8D-53436C932240}"/>
            </a:ext>
          </a:extLst>
        </xdr:cNvPr>
        <xdr:cNvCxnSpPr/>
      </xdr:nvCxnSpPr>
      <xdr:spPr>
        <a:xfrm flipV="1">
          <a:off x="3972117" y="646866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3314</xdr:row>
      <xdr:rowOff>26102</xdr:rowOff>
    </xdr:from>
    <xdr:ext cx="1699468" cy="504272"/>
    <xdr:pic>
      <xdr:nvPicPr>
        <xdr:cNvPr id="630" name="Imagen 629">
          <a:extLst>
            <a:ext uri="{FF2B5EF4-FFF2-40B4-BE49-F238E27FC236}">
              <a16:creationId xmlns:a16="http://schemas.microsoft.com/office/drawing/2014/main" id="{3A7F1FA8-77DE-4DD4-B552-93F7B38B2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46583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3314</xdr:row>
      <xdr:rowOff>309563</xdr:rowOff>
    </xdr:from>
    <xdr:to>
      <xdr:col>8</xdr:col>
      <xdr:colOff>494110</xdr:colOff>
      <xdr:row>3314</xdr:row>
      <xdr:rowOff>317462</xdr:rowOff>
    </xdr:to>
    <xdr:cxnSp macro="">
      <xdr:nvCxnSpPr>
        <xdr:cNvPr id="631" name="Conector recto 630">
          <a:extLst>
            <a:ext uri="{FF2B5EF4-FFF2-40B4-BE49-F238E27FC236}">
              <a16:creationId xmlns:a16="http://schemas.microsoft.com/office/drawing/2014/main" id="{B291B268-D5C5-48AB-B173-E9DCD54F941F}"/>
            </a:ext>
          </a:extLst>
        </xdr:cNvPr>
        <xdr:cNvCxnSpPr/>
      </xdr:nvCxnSpPr>
      <xdr:spPr>
        <a:xfrm flipV="1">
          <a:off x="3972117" y="646866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3314</xdr:row>
      <xdr:rowOff>26102</xdr:rowOff>
    </xdr:from>
    <xdr:ext cx="1699468" cy="504272"/>
    <xdr:pic>
      <xdr:nvPicPr>
        <xdr:cNvPr id="632" name="Imagen 631">
          <a:extLst>
            <a:ext uri="{FF2B5EF4-FFF2-40B4-BE49-F238E27FC236}">
              <a16:creationId xmlns:a16="http://schemas.microsoft.com/office/drawing/2014/main" id="{E8E19A26-D122-482D-8B35-F157F6017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46583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3314</xdr:row>
      <xdr:rowOff>309563</xdr:rowOff>
    </xdr:from>
    <xdr:to>
      <xdr:col>8</xdr:col>
      <xdr:colOff>494110</xdr:colOff>
      <xdr:row>3314</xdr:row>
      <xdr:rowOff>317462</xdr:rowOff>
    </xdr:to>
    <xdr:cxnSp macro="">
      <xdr:nvCxnSpPr>
        <xdr:cNvPr id="633" name="Conector recto 632">
          <a:extLst>
            <a:ext uri="{FF2B5EF4-FFF2-40B4-BE49-F238E27FC236}">
              <a16:creationId xmlns:a16="http://schemas.microsoft.com/office/drawing/2014/main" id="{B8B79DB6-8C89-430F-BE20-7CAC920A1450}"/>
            </a:ext>
          </a:extLst>
        </xdr:cNvPr>
        <xdr:cNvCxnSpPr/>
      </xdr:nvCxnSpPr>
      <xdr:spPr>
        <a:xfrm flipV="1">
          <a:off x="3972117" y="646866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3314</xdr:row>
      <xdr:rowOff>26102</xdr:rowOff>
    </xdr:from>
    <xdr:ext cx="1699468" cy="504272"/>
    <xdr:pic>
      <xdr:nvPicPr>
        <xdr:cNvPr id="634" name="Imagen 633">
          <a:extLst>
            <a:ext uri="{FF2B5EF4-FFF2-40B4-BE49-F238E27FC236}">
              <a16:creationId xmlns:a16="http://schemas.microsoft.com/office/drawing/2014/main" id="{3AB2679D-316A-4B67-9ECD-AB1961002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46583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3314</xdr:row>
      <xdr:rowOff>309563</xdr:rowOff>
    </xdr:from>
    <xdr:to>
      <xdr:col>8</xdr:col>
      <xdr:colOff>494110</xdr:colOff>
      <xdr:row>3314</xdr:row>
      <xdr:rowOff>317462</xdr:rowOff>
    </xdr:to>
    <xdr:cxnSp macro="">
      <xdr:nvCxnSpPr>
        <xdr:cNvPr id="635" name="Conector recto 634">
          <a:extLst>
            <a:ext uri="{FF2B5EF4-FFF2-40B4-BE49-F238E27FC236}">
              <a16:creationId xmlns:a16="http://schemas.microsoft.com/office/drawing/2014/main" id="{094B6320-61D1-41A2-B704-89E651EE8823}"/>
            </a:ext>
          </a:extLst>
        </xdr:cNvPr>
        <xdr:cNvCxnSpPr/>
      </xdr:nvCxnSpPr>
      <xdr:spPr>
        <a:xfrm flipV="1">
          <a:off x="3972117" y="646866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3314</xdr:row>
      <xdr:rowOff>26102</xdr:rowOff>
    </xdr:from>
    <xdr:ext cx="1699468" cy="504272"/>
    <xdr:pic>
      <xdr:nvPicPr>
        <xdr:cNvPr id="636" name="Imagen 635">
          <a:extLst>
            <a:ext uri="{FF2B5EF4-FFF2-40B4-BE49-F238E27FC236}">
              <a16:creationId xmlns:a16="http://schemas.microsoft.com/office/drawing/2014/main" id="{FBE8F5CC-0FE5-45B9-A06D-97DBAE98F8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46583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3314</xdr:row>
      <xdr:rowOff>309563</xdr:rowOff>
    </xdr:from>
    <xdr:to>
      <xdr:col>8</xdr:col>
      <xdr:colOff>494110</xdr:colOff>
      <xdr:row>3314</xdr:row>
      <xdr:rowOff>317462</xdr:rowOff>
    </xdr:to>
    <xdr:cxnSp macro="">
      <xdr:nvCxnSpPr>
        <xdr:cNvPr id="637" name="Conector recto 636">
          <a:extLst>
            <a:ext uri="{FF2B5EF4-FFF2-40B4-BE49-F238E27FC236}">
              <a16:creationId xmlns:a16="http://schemas.microsoft.com/office/drawing/2014/main" id="{3E28F4C6-F061-4ED0-A536-6C93809DE253}"/>
            </a:ext>
          </a:extLst>
        </xdr:cNvPr>
        <xdr:cNvCxnSpPr/>
      </xdr:nvCxnSpPr>
      <xdr:spPr>
        <a:xfrm flipV="1">
          <a:off x="3972117" y="646866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3314</xdr:row>
      <xdr:rowOff>26102</xdr:rowOff>
    </xdr:from>
    <xdr:ext cx="1699468" cy="504272"/>
    <xdr:pic>
      <xdr:nvPicPr>
        <xdr:cNvPr id="638" name="Imagen 637">
          <a:extLst>
            <a:ext uri="{FF2B5EF4-FFF2-40B4-BE49-F238E27FC236}">
              <a16:creationId xmlns:a16="http://schemas.microsoft.com/office/drawing/2014/main" id="{6140CED5-53A5-48A3-AB7F-372797226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465831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3314</xdr:row>
      <xdr:rowOff>309563</xdr:rowOff>
    </xdr:from>
    <xdr:to>
      <xdr:col>8</xdr:col>
      <xdr:colOff>494110</xdr:colOff>
      <xdr:row>3314</xdr:row>
      <xdr:rowOff>317462</xdr:rowOff>
    </xdr:to>
    <xdr:cxnSp macro="">
      <xdr:nvCxnSpPr>
        <xdr:cNvPr id="639" name="Conector recto 638">
          <a:extLst>
            <a:ext uri="{FF2B5EF4-FFF2-40B4-BE49-F238E27FC236}">
              <a16:creationId xmlns:a16="http://schemas.microsoft.com/office/drawing/2014/main" id="{DA9C8C1E-0EFD-4284-B700-C081521FAFFE}"/>
            </a:ext>
          </a:extLst>
        </xdr:cNvPr>
        <xdr:cNvCxnSpPr/>
      </xdr:nvCxnSpPr>
      <xdr:spPr>
        <a:xfrm flipV="1">
          <a:off x="3972117" y="6468665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3359</xdr:row>
      <xdr:rowOff>26102</xdr:rowOff>
    </xdr:from>
    <xdr:ext cx="1699468" cy="504272"/>
    <xdr:pic>
      <xdr:nvPicPr>
        <xdr:cNvPr id="640" name="Imagen 639">
          <a:extLst>
            <a:ext uri="{FF2B5EF4-FFF2-40B4-BE49-F238E27FC236}">
              <a16:creationId xmlns:a16="http://schemas.microsoft.com/office/drawing/2014/main" id="{38968F36-D285-4B16-9E92-829AAE832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55435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3359</xdr:row>
      <xdr:rowOff>309563</xdr:rowOff>
    </xdr:from>
    <xdr:to>
      <xdr:col>8</xdr:col>
      <xdr:colOff>494110</xdr:colOff>
      <xdr:row>3359</xdr:row>
      <xdr:rowOff>317462</xdr:rowOff>
    </xdr:to>
    <xdr:cxnSp macro="">
      <xdr:nvCxnSpPr>
        <xdr:cNvPr id="641" name="Conector recto 640">
          <a:extLst>
            <a:ext uri="{FF2B5EF4-FFF2-40B4-BE49-F238E27FC236}">
              <a16:creationId xmlns:a16="http://schemas.microsoft.com/office/drawing/2014/main" id="{FE8F1915-5E0B-4F7B-95AD-1B928AA7671E}"/>
            </a:ext>
          </a:extLst>
        </xdr:cNvPr>
        <xdr:cNvCxnSpPr/>
      </xdr:nvCxnSpPr>
      <xdr:spPr>
        <a:xfrm flipV="1">
          <a:off x="3972117" y="655718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3359</xdr:row>
      <xdr:rowOff>26102</xdr:rowOff>
    </xdr:from>
    <xdr:ext cx="1699468" cy="504272"/>
    <xdr:pic>
      <xdr:nvPicPr>
        <xdr:cNvPr id="642" name="Imagen 641">
          <a:extLst>
            <a:ext uri="{FF2B5EF4-FFF2-40B4-BE49-F238E27FC236}">
              <a16:creationId xmlns:a16="http://schemas.microsoft.com/office/drawing/2014/main" id="{FF280178-BF78-46BE-9EE6-A9EE1FAE01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55435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3359</xdr:row>
      <xdr:rowOff>309563</xdr:rowOff>
    </xdr:from>
    <xdr:to>
      <xdr:col>8</xdr:col>
      <xdr:colOff>494110</xdr:colOff>
      <xdr:row>3359</xdr:row>
      <xdr:rowOff>317462</xdr:rowOff>
    </xdr:to>
    <xdr:cxnSp macro="">
      <xdr:nvCxnSpPr>
        <xdr:cNvPr id="643" name="Conector recto 642">
          <a:extLst>
            <a:ext uri="{FF2B5EF4-FFF2-40B4-BE49-F238E27FC236}">
              <a16:creationId xmlns:a16="http://schemas.microsoft.com/office/drawing/2014/main" id="{B348B969-AEE3-4B23-BBB9-3B2E09DC0C7A}"/>
            </a:ext>
          </a:extLst>
        </xdr:cNvPr>
        <xdr:cNvCxnSpPr/>
      </xdr:nvCxnSpPr>
      <xdr:spPr>
        <a:xfrm flipV="1">
          <a:off x="3972117" y="655718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3359</xdr:row>
      <xdr:rowOff>26102</xdr:rowOff>
    </xdr:from>
    <xdr:ext cx="1699468" cy="504272"/>
    <xdr:pic>
      <xdr:nvPicPr>
        <xdr:cNvPr id="644" name="Imagen 643">
          <a:extLst>
            <a:ext uri="{FF2B5EF4-FFF2-40B4-BE49-F238E27FC236}">
              <a16:creationId xmlns:a16="http://schemas.microsoft.com/office/drawing/2014/main" id="{8B084A82-85CA-4555-A00E-ECFA7022A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55435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3359</xdr:row>
      <xdr:rowOff>309563</xdr:rowOff>
    </xdr:from>
    <xdr:to>
      <xdr:col>8</xdr:col>
      <xdr:colOff>494110</xdr:colOff>
      <xdr:row>3359</xdr:row>
      <xdr:rowOff>317462</xdr:rowOff>
    </xdr:to>
    <xdr:cxnSp macro="">
      <xdr:nvCxnSpPr>
        <xdr:cNvPr id="645" name="Conector recto 644">
          <a:extLst>
            <a:ext uri="{FF2B5EF4-FFF2-40B4-BE49-F238E27FC236}">
              <a16:creationId xmlns:a16="http://schemas.microsoft.com/office/drawing/2014/main" id="{C922E707-2D70-4E72-8449-73CF5788CC15}"/>
            </a:ext>
          </a:extLst>
        </xdr:cNvPr>
        <xdr:cNvCxnSpPr/>
      </xdr:nvCxnSpPr>
      <xdr:spPr>
        <a:xfrm flipV="1">
          <a:off x="3972117" y="655718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3359</xdr:row>
      <xdr:rowOff>26102</xdr:rowOff>
    </xdr:from>
    <xdr:ext cx="1699468" cy="504272"/>
    <xdr:pic>
      <xdr:nvPicPr>
        <xdr:cNvPr id="646" name="Imagen 645">
          <a:extLst>
            <a:ext uri="{FF2B5EF4-FFF2-40B4-BE49-F238E27FC236}">
              <a16:creationId xmlns:a16="http://schemas.microsoft.com/office/drawing/2014/main" id="{1C9C5838-D7D6-450E-AC17-F0D1E0E38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55435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3359</xdr:row>
      <xdr:rowOff>309563</xdr:rowOff>
    </xdr:from>
    <xdr:to>
      <xdr:col>8</xdr:col>
      <xdr:colOff>494110</xdr:colOff>
      <xdr:row>3359</xdr:row>
      <xdr:rowOff>317462</xdr:rowOff>
    </xdr:to>
    <xdr:cxnSp macro="">
      <xdr:nvCxnSpPr>
        <xdr:cNvPr id="647" name="Conector recto 646">
          <a:extLst>
            <a:ext uri="{FF2B5EF4-FFF2-40B4-BE49-F238E27FC236}">
              <a16:creationId xmlns:a16="http://schemas.microsoft.com/office/drawing/2014/main" id="{FFB686D9-92CD-4ACD-B17D-6798610B8840}"/>
            </a:ext>
          </a:extLst>
        </xdr:cNvPr>
        <xdr:cNvCxnSpPr/>
      </xdr:nvCxnSpPr>
      <xdr:spPr>
        <a:xfrm flipV="1">
          <a:off x="3972117" y="655718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3359</xdr:row>
      <xdr:rowOff>26102</xdr:rowOff>
    </xdr:from>
    <xdr:ext cx="1699468" cy="504272"/>
    <xdr:pic>
      <xdr:nvPicPr>
        <xdr:cNvPr id="648" name="Imagen 647">
          <a:extLst>
            <a:ext uri="{FF2B5EF4-FFF2-40B4-BE49-F238E27FC236}">
              <a16:creationId xmlns:a16="http://schemas.microsoft.com/office/drawing/2014/main" id="{447B92F8-F68C-4A6F-BC52-380370560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55435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3359</xdr:row>
      <xdr:rowOff>309563</xdr:rowOff>
    </xdr:from>
    <xdr:to>
      <xdr:col>8</xdr:col>
      <xdr:colOff>494110</xdr:colOff>
      <xdr:row>3359</xdr:row>
      <xdr:rowOff>317462</xdr:rowOff>
    </xdr:to>
    <xdr:cxnSp macro="">
      <xdr:nvCxnSpPr>
        <xdr:cNvPr id="649" name="Conector recto 648">
          <a:extLst>
            <a:ext uri="{FF2B5EF4-FFF2-40B4-BE49-F238E27FC236}">
              <a16:creationId xmlns:a16="http://schemas.microsoft.com/office/drawing/2014/main" id="{9060C0A8-F008-45E8-BD3A-20128DEDB059}"/>
            </a:ext>
          </a:extLst>
        </xdr:cNvPr>
        <xdr:cNvCxnSpPr/>
      </xdr:nvCxnSpPr>
      <xdr:spPr>
        <a:xfrm flipV="1">
          <a:off x="3972117" y="655718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3359</xdr:row>
      <xdr:rowOff>26102</xdr:rowOff>
    </xdr:from>
    <xdr:ext cx="1699468" cy="504272"/>
    <xdr:pic>
      <xdr:nvPicPr>
        <xdr:cNvPr id="650" name="Imagen 649">
          <a:extLst>
            <a:ext uri="{FF2B5EF4-FFF2-40B4-BE49-F238E27FC236}">
              <a16:creationId xmlns:a16="http://schemas.microsoft.com/office/drawing/2014/main" id="{AABBDEC1-6006-4B91-B34D-14242362F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55435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3359</xdr:row>
      <xdr:rowOff>309563</xdr:rowOff>
    </xdr:from>
    <xdr:to>
      <xdr:col>8</xdr:col>
      <xdr:colOff>494110</xdr:colOff>
      <xdr:row>3359</xdr:row>
      <xdr:rowOff>317462</xdr:rowOff>
    </xdr:to>
    <xdr:cxnSp macro="">
      <xdr:nvCxnSpPr>
        <xdr:cNvPr id="651" name="Conector recto 650">
          <a:extLst>
            <a:ext uri="{FF2B5EF4-FFF2-40B4-BE49-F238E27FC236}">
              <a16:creationId xmlns:a16="http://schemas.microsoft.com/office/drawing/2014/main" id="{C7DC39BF-0F26-444B-A32C-F92E1A0CD7B4}"/>
            </a:ext>
          </a:extLst>
        </xdr:cNvPr>
        <xdr:cNvCxnSpPr/>
      </xdr:nvCxnSpPr>
      <xdr:spPr>
        <a:xfrm flipV="1">
          <a:off x="3972117" y="655718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3359</xdr:row>
      <xdr:rowOff>26102</xdr:rowOff>
    </xdr:from>
    <xdr:ext cx="1699468" cy="504272"/>
    <xdr:pic>
      <xdr:nvPicPr>
        <xdr:cNvPr id="652" name="Imagen 651">
          <a:extLst>
            <a:ext uri="{FF2B5EF4-FFF2-40B4-BE49-F238E27FC236}">
              <a16:creationId xmlns:a16="http://schemas.microsoft.com/office/drawing/2014/main" id="{49BF2234-4BC8-44B7-9727-3FE966FFA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55435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3359</xdr:row>
      <xdr:rowOff>309563</xdr:rowOff>
    </xdr:from>
    <xdr:to>
      <xdr:col>8</xdr:col>
      <xdr:colOff>494110</xdr:colOff>
      <xdr:row>3359</xdr:row>
      <xdr:rowOff>317462</xdr:rowOff>
    </xdr:to>
    <xdr:cxnSp macro="">
      <xdr:nvCxnSpPr>
        <xdr:cNvPr id="653" name="Conector recto 652">
          <a:extLst>
            <a:ext uri="{FF2B5EF4-FFF2-40B4-BE49-F238E27FC236}">
              <a16:creationId xmlns:a16="http://schemas.microsoft.com/office/drawing/2014/main" id="{DC483367-448A-47CC-83D2-54D9C3EE631E}"/>
            </a:ext>
          </a:extLst>
        </xdr:cNvPr>
        <xdr:cNvCxnSpPr/>
      </xdr:nvCxnSpPr>
      <xdr:spPr>
        <a:xfrm flipV="1">
          <a:off x="3972117" y="655718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3359</xdr:row>
      <xdr:rowOff>26102</xdr:rowOff>
    </xdr:from>
    <xdr:ext cx="1699468" cy="504272"/>
    <xdr:pic>
      <xdr:nvPicPr>
        <xdr:cNvPr id="654" name="Imagen 653">
          <a:extLst>
            <a:ext uri="{FF2B5EF4-FFF2-40B4-BE49-F238E27FC236}">
              <a16:creationId xmlns:a16="http://schemas.microsoft.com/office/drawing/2014/main" id="{475C2F0F-F3F9-4079-9A1F-DD1102A48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554350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3359</xdr:row>
      <xdr:rowOff>309563</xdr:rowOff>
    </xdr:from>
    <xdr:to>
      <xdr:col>8</xdr:col>
      <xdr:colOff>494110</xdr:colOff>
      <xdr:row>3359</xdr:row>
      <xdr:rowOff>317462</xdr:rowOff>
    </xdr:to>
    <xdr:cxnSp macro="">
      <xdr:nvCxnSpPr>
        <xdr:cNvPr id="655" name="Conector recto 654">
          <a:extLst>
            <a:ext uri="{FF2B5EF4-FFF2-40B4-BE49-F238E27FC236}">
              <a16:creationId xmlns:a16="http://schemas.microsoft.com/office/drawing/2014/main" id="{60D80177-FA47-4577-832D-DCE6DE08FCA9}"/>
            </a:ext>
          </a:extLst>
        </xdr:cNvPr>
        <xdr:cNvCxnSpPr/>
      </xdr:nvCxnSpPr>
      <xdr:spPr>
        <a:xfrm flipV="1">
          <a:off x="3972117" y="6557184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3404</xdr:row>
      <xdr:rowOff>26102</xdr:rowOff>
    </xdr:from>
    <xdr:ext cx="1699468" cy="504272"/>
    <xdr:pic>
      <xdr:nvPicPr>
        <xdr:cNvPr id="656" name="Imagen 655">
          <a:extLst>
            <a:ext uri="{FF2B5EF4-FFF2-40B4-BE49-F238E27FC236}">
              <a16:creationId xmlns:a16="http://schemas.microsoft.com/office/drawing/2014/main" id="{65657EE8-4F26-4683-BEA1-27B244819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64286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3404</xdr:row>
      <xdr:rowOff>309563</xdr:rowOff>
    </xdr:from>
    <xdr:to>
      <xdr:col>8</xdr:col>
      <xdr:colOff>494110</xdr:colOff>
      <xdr:row>3404</xdr:row>
      <xdr:rowOff>317462</xdr:rowOff>
    </xdr:to>
    <xdr:cxnSp macro="">
      <xdr:nvCxnSpPr>
        <xdr:cNvPr id="657" name="Conector recto 656">
          <a:extLst>
            <a:ext uri="{FF2B5EF4-FFF2-40B4-BE49-F238E27FC236}">
              <a16:creationId xmlns:a16="http://schemas.microsoft.com/office/drawing/2014/main" id="{C77BF75A-8A4C-451A-B1D4-609B5D4153F0}"/>
            </a:ext>
          </a:extLst>
        </xdr:cNvPr>
        <xdr:cNvCxnSpPr/>
      </xdr:nvCxnSpPr>
      <xdr:spPr>
        <a:xfrm flipV="1">
          <a:off x="3972117" y="664570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3404</xdr:row>
      <xdr:rowOff>26102</xdr:rowOff>
    </xdr:from>
    <xdr:ext cx="1699468" cy="504272"/>
    <xdr:pic>
      <xdr:nvPicPr>
        <xdr:cNvPr id="658" name="Imagen 657">
          <a:extLst>
            <a:ext uri="{FF2B5EF4-FFF2-40B4-BE49-F238E27FC236}">
              <a16:creationId xmlns:a16="http://schemas.microsoft.com/office/drawing/2014/main" id="{45733C56-1D88-4E64-9524-2AB22288A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64286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3404</xdr:row>
      <xdr:rowOff>309563</xdr:rowOff>
    </xdr:from>
    <xdr:to>
      <xdr:col>8</xdr:col>
      <xdr:colOff>494110</xdr:colOff>
      <xdr:row>3404</xdr:row>
      <xdr:rowOff>317462</xdr:rowOff>
    </xdr:to>
    <xdr:cxnSp macro="">
      <xdr:nvCxnSpPr>
        <xdr:cNvPr id="659" name="Conector recto 658">
          <a:extLst>
            <a:ext uri="{FF2B5EF4-FFF2-40B4-BE49-F238E27FC236}">
              <a16:creationId xmlns:a16="http://schemas.microsoft.com/office/drawing/2014/main" id="{BE33ACEC-9E9A-4B8C-87FD-86D11BE1D7AB}"/>
            </a:ext>
          </a:extLst>
        </xdr:cNvPr>
        <xdr:cNvCxnSpPr/>
      </xdr:nvCxnSpPr>
      <xdr:spPr>
        <a:xfrm flipV="1">
          <a:off x="3972117" y="664570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3404</xdr:row>
      <xdr:rowOff>26102</xdr:rowOff>
    </xdr:from>
    <xdr:ext cx="1699468" cy="504272"/>
    <xdr:pic>
      <xdr:nvPicPr>
        <xdr:cNvPr id="660" name="Imagen 659">
          <a:extLst>
            <a:ext uri="{FF2B5EF4-FFF2-40B4-BE49-F238E27FC236}">
              <a16:creationId xmlns:a16="http://schemas.microsoft.com/office/drawing/2014/main" id="{C4824AF7-7E97-4143-8182-CC53A8355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64286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3404</xdr:row>
      <xdr:rowOff>309563</xdr:rowOff>
    </xdr:from>
    <xdr:to>
      <xdr:col>8</xdr:col>
      <xdr:colOff>494110</xdr:colOff>
      <xdr:row>3404</xdr:row>
      <xdr:rowOff>317462</xdr:rowOff>
    </xdr:to>
    <xdr:cxnSp macro="">
      <xdr:nvCxnSpPr>
        <xdr:cNvPr id="661" name="Conector recto 660">
          <a:extLst>
            <a:ext uri="{FF2B5EF4-FFF2-40B4-BE49-F238E27FC236}">
              <a16:creationId xmlns:a16="http://schemas.microsoft.com/office/drawing/2014/main" id="{36243E5B-6A24-49AB-923F-C1049ADB4175}"/>
            </a:ext>
          </a:extLst>
        </xdr:cNvPr>
        <xdr:cNvCxnSpPr/>
      </xdr:nvCxnSpPr>
      <xdr:spPr>
        <a:xfrm flipV="1">
          <a:off x="3972117" y="664570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3404</xdr:row>
      <xdr:rowOff>26102</xdr:rowOff>
    </xdr:from>
    <xdr:ext cx="1699468" cy="504272"/>
    <xdr:pic>
      <xdr:nvPicPr>
        <xdr:cNvPr id="662" name="Imagen 661">
          <a:extLst>
            <a:ext uri="{FF2B5EF4-FFF2-40B4-BE49-F238E27FC236}">
              <a16:creationId xmlns:a16="http://schemas.microsoft.com/office/drawing/2014/main" id="{96B5AC90-BD48-4B84-AE19-B444EC27A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64286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3404</xdr:row>
      <xdr:rowOff>309563</xdr:rowOff>
    </xdr:from>
    <xdr:to>
      <xdr:col>8</xdr:col>
      <xdr:colOff>494110</xdr:colOff>
      <xdr:row>3404</xdr:row>
      <xdr:rowOff>317462</xdr:rowOff>
    </xdr:to>
    <xdr:cxnSp macro="">
      <xdr:nvCxnSpPr>
        <xdr:cNvPr id="663" name="Conector recto 662">
          <a:extLst>
            <a:ext uri="{FF2B5EF4-FFF2-40B4-BE49-F238E27FC236}">
              <a16:creationId xmlns:a16="http://schemas.microsoft.com/office/drawing/2014/main" id="{7ED455C5-0990-4CE3-8ECD-7999CC9FDAA7}"/>
            </a:ext>
          </a:extLst>
        </xdr:cNvPr>
        <xdr:cNvCxnSpPr/>
      </xdr:nvCxnSpPr>
      <xdr:spPr>
        <a:xfrm flipV="1">
          <a:off x="3972117" y="664570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3404</xdr:row>
      <xdr:rowOff>26102</xdr:rowOff>
    </xdr:from>
    <xdr:ext cx="1699468" cy="504272"/>
    <xdr:pic>
      <xdr:nvPicPr>
        <xdr:cNvPr id="664" name="Imagen 663">
          <a:extLst>
            <a:ext uri="{FF2B5EF4-FFF2-40B4-BE49-F238E27FC236}">
              <a16:creationId xmlns:a16="http://schemas.microsoft.com/office/drawing/2014/main" id="{F890F560-3537-4FC9-B954-12188A79A1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64286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3404</xdr:row>
      <xdr:rowOff>309563</xdr:rowOff>
    </xdr:from>
    <xdr:to>
      <xdr:col>8</xdr:col>
      <xdr:colOff>494110</xdr:colOff>
      <xdr:row>3404</xdr:row>
      <xdr:rowOff>317462</xdr:rowOff>
    </xdr:to>
    <xdr:cxnSp macro="">
      <xdr:nvCxnSpPr>
        <xdr:cNvPr id="665" name="Conector recto 664">
          <a:extLst>
            <a:ext uri="{FF2B5EF4-FFF2-40B4-BE49-F238E27FC236}">
              <a16:creationId xmlns:a16="http://schemas.microsoft.com/office/drawing/2014/main" id="{AA6ED85A-89E6-48CA-AA91-4A9D6C504994}"/>
            </a:ext>
          </a:extLst>
        </xdr:cNvPr>
        <xdr:cNvCxnSpPr/>
      </xdr:nvCxnSpPr>
      <xdr:spPr>
        <a:xfrm flipV="1">
          <a:off x="3972117" y="664570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3404</xdr:row>
      <xdr:rowOff>26102</xdr:rowOff>
    </xdr:from>
    <xdr:ext cx="1699468" cy="504272"/>
    <xdr:pic>
      <xdr:nvPicPr>
        <xdr:cNvPr id="666" name="Imagen 665">
          <a:extLst>
            <a:ext uri="{FF2B5EF4-FFF2-40B4-BE49-F238E27FC236}">
              <a16:creationId xmlns:a16="http://schemas.microsoft.com/office/drawing/2014/main" id="{84A7AD81-90DE-44B7-A2F7-75E88FD19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64286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3404</xdr:row>
      <xdr:rowOff>309563</xdr:rowOff>
    </xdr:from>
    <xdr:to>
      <xdr:col>8</xdr:col>
      <xdr:colOff>494110</xdr:colOff>
      <xdr:row>3404</xdr:row>
      <xdr:rowOff>317462</xdr:rowOff>
    </xdr:to>
    <xdr:cxnSp macro="">
      <xdr:nvCxnSpPr>
        <xdr:cNvPr id="667" name="Conector recto 666">
          <a:extLst>
            <a:ext uri="{FF2B5EF4-FFF2-40B4-BE49-F238E27FC236}">
              <a16:creationId xmlns:a16="http://schemas.microsoft.com/office/drawing/2014/main" id="{0C559BC0-62F9-4B6C-B6C7-B1E92D34183C}"/>
            </a:ext>
          </a:extLst>
        </xdr:cNvPr>
        <xdr:cNvCxnSpPr/>
      </xdr:nvCxnSpPr>
      <xdr:spPr>
        <a:xfrm flipV="1">
          <a:off x="3972117" y="664570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3404</xdr:row>
      <xdr:rowOff>26102</xdr:rowOff>
    </xdr:from>
    <xdr:ext cx="1699468" cy="504272"/>
    <xdr:pic>
      <xdr:nvPicPr>
        <xdr:cNvPr id="668" name="Imagen 667">
          <a:extLst>
            <a:ext uri="{FF2B5EF4-FFF2-40B4-BE49-F238E27FC236}">
              <a16:creationId xmlns:a16="http://schemas.microsoft.com/office/drawing/2014/main" id="{FA5AA9E1-DE2A-436C-B356-CF2DBDA8F0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64286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3404</xdr:row>
      <xdr:rowOff>309563</xdr:rowOff>
    </xdr:from>
    <xdr:to>
      <xdr:col>8</xdr:col>
      <xdr:colOff>494110</xdr:colOff>
      <xdr:row>3404</xdr:row>
      <xdr:rowOff>317462</xdr:rowOff>
    </xdr:to>
    <xdr:cxnSp macro="">
      <xdr:nvCxnSpPr>
        <xdr:cNvPr id="669" name="Conector recto 668">
          <a:extLst>
            <a:ext uri="{FF2B5EF4-FFF2-40B4-BE49-F238E27FC236}">
              <a16:creationId xmlns:a16="http://schemas.microsoft.com/office/drawing/2014/main" id="{05722B0B-DCFF-42C7-B219-63FA55B6AF86}"/>
            </a:ext>
          </a:extLst>
        </xdr:cNvPr>
        <xdr:cNvCxnSpPr/>
      </xdr:nvCxnSpPr>
      <xdr:spPr>
        <a:xfrm flipV="1">
          <a:off x="3972117" y="664570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3404</xdr:row>
      <xdr:rowOff>26102</xdr:rowOff>
    </xdr:from>
    <xdr:ext cx="1699468" cy="504272"/>
    <xdr:pic>
      <xdr:nvPicPr>
        <xdr:cNvPr id="670" name="Imagen 669">
          <a:extLst>
            <a:ext uri="{FF2B5EF4-FFF2-40B4-BE49-F238E27FC236}">
              <a16:creationId xmlns:a16="http://schemas.microsoft.com/office/drawing/2014/main" id="{300618C4-A05A-4BFE-9480-7599C26FC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642869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3404</xdr:row>
      <xdr:rowOff>309563</xdr:rowOff>
    </xdr:from>
    <xdr:to>
      <xdr:col>8</xdr:col>
      <xdr:colOff>494110</xdr:colOff>
      <xdr:row>3404</xdr:row>
      <xdr:rowOff>317462</xdr:rowOff>
    </xdr:to>
    <xdr:cxnSp macro="">
      <xdr:nvCxnSpPr>
        <xdr:cNvPr id="671" name="Conector recto 670">
          <a:extLst>
            <a:ext uri="{FF2B5EF4-FFF2-40B4-BE49-F238E27FC236}">
              <a16:creationId xmlns:a16="http://schemas.microsoft.com/office/drawing/2014/main" id="{C1E52AA1-9EF5-4BA6-ADFF-1C401191F8C6}"/>
            </a:ext>
          </a:extLst>
        </xdr:cNvPr>
        <xdr:cNvCxnSpPr/>
      </xdr:nvCxnSpPr>
      <xdr:spPr>
        <a:xfrm flipV="1">
          <a:off x="3972117" y="6645703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3449</xdr:row>
      <xdr:rowOff>26102</xdr:rowOff>
    </xdr:from>
    <xdr:ext cx="1699468" cy="504272"/>
    <xdr:pic>
      <xdr:nvPicPr>
        <xdr:cNvPr id="672" name="Imagen 671">
          <a:extLst>
            <a:ext uri="{FF2B5EF4-FFF2-40B4-BE49-F238E27FC236}">
              <a16:creationId xmlns:a16="http://schemas.microsoft.com/office/drawing/2014/main" id="{7CB82B5E-3C5E-471E-9DF4-F975305AC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73138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3449</xdr:row>
      <xdr:rowOff>309563</xdr:rowOff>
    </xdr:from>
    <xdr:to>
      <xdr:col>8</xdr:col>
      <xdr:colOff>494110</xdr:colOff>
      <xdr:row>3449</xdr:row>
      <xdr:rowOff>317462</xdr:rowOff>
    </xdr:to>
    <xdr:cxnSp macro="">
      <xdr:nvCxnSpPr>
        <xdr:cNvPr id="673" name="Conector recto 672">
          <a:extLst>
            <a:ext uri="{FF2B5EF4-FFF2-40B4-BE49-F238E27FC236}">
              <a16:creationId xmlns:a16="http://schemas.microsoft.com/office/drawing/2014/main" id="{17E43B26-82BE-41AD-ADE9-E2D59CF17637}"/>
            </a:ext>
          </a:extLst>
        </xdr:cNvPr>
        <xdr:cNvCxnSpPr/>
      </xdr:nvCxnSpPr>
      <xdr:spPr>
        <a:xfrm flipV="1">
          <a:off x="3972117" y="673422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3449</xdr:row>
      <xdr:rowOff>26102</xdr:rowOff>
    </xdr:from>
    <xdr:ext cx="1699468" cy="504272"/>
    <xdr:pic>
      <xdr:nvPicPr>
        <xdr:cNvPr id="674" name="Imagen 673">
          <a:extLst>
            <a:ext uri="{FF2B5EF4-FFF2-40B4-BE49-F238E27FC236}">
              <a16:creationId xmlns:a16="http://schemas.microsoft.com/office/drawing/2014/main" id="{0141EED2-E522-4DD1-8E30-9D81DB1B14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73138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3449</xdr:row>
      <xdr:rowOff>309563</xdr:rowOff>
    </xdr:from>
    <xdr:to>
      <xdr:col>8</xdr:col>
      <xdr:colOff>494110</xdr:colOff>
      <xdr:row>3449</xdr:row>
      <xdr:rowOff>317462</xdr:rowOff>
    </xdr:to>
    <xdr:cxnSp macro="">
      <xdr:nvCxnSpPr>
        <xdr:cNvPr id="675" name="Conector recto 674">
          <a:extLst>
            <a:ext uri="{FF2B5EF4-FFF2-40B4-BE49-F238E27FC236}">
              <a16:creationId xmlns:a16="http://schemas.microsoft.com/office/drawing/2014/main" id="{45E749A5-A302-4493-81BC-6316CDFDBC05}"/>
            </a:ext>
          </a:extLst>
        </xdr:cNvPr>
        <xdr:cNvCxnSpPr/>
      </xdr:nvCxnSpPr>
      <xdr:spPr>
        <a:xfrm flipV="1">
          <a:off x="3972117" y="673422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3449</xdr:row>
      <xdr:rowOff>26102</xdr:rowOff>
    </xdr:from>
    <xdr:ext cx="1699468" cy="504272"/>
    <xdr:pic>
      <xdr:nvPicPr>
        <xdr:cNvPr id="676" name="Imagen 675">
          <a:extLst>
            <a:ext uri="{FF2B5EF4-FFF2-40B4-BE49-F238E27FC236}">
              <a16:creationId xmlns:a16="http://schemas.microsoft.com/office/drawing/2014/main" id="{11326849-E6F2-4CA8-A743-7FFB93B32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73138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3449</xdr:row>
      <xdr:rowOff>309563</xdr:rowOff>
    </xdr:from>
    <xdr:to>
      <xdr:col>8</xdr:col>
      <xdr:colOff>494110</xdr:colOff>
      <xdr:row>3449</xdr:row>
      <xdr:rowOff>317462</xdr:rowOff>
    </xdr:to>
    <xdr:cxnSp macro="">
      <xdr:nvCxnSpPr>
        <xdr:cNvPr id="677" name="Conector recto 676">
          <a:extLst>
            <a:ext uri="{FF2B5EF4-FFF2-40B4-BE49-F238E27FC236}">
              <a16:creationId xmlns:a16="http://schemas.microsoft.com/office/drawing/2014/main" id="{FA5C301B-CCD4-4D51-BE5C-42EA7BF164E2}"/>
            </a:ext>
          </a:extLst>
        </xdr:cNvPr>
        <xdr:cNvCxnSpPr/>
      </xdr:nvCxnSpPr>
      <xdr:spPr>
        <a:xfrm flipV="1">
          <a:off x="3972117" y="673422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3449</xdr:row>
      <xdr:rowOff>26102</xdr:rowOff>
    </xdr:from>
    <xdr:ext cx="1699468" cy="504272"/>
    <xdr:pic>
      <xdr:nvPicPr>
        <xdr:cNvPr id="678" name="Imagen 677">
          <a:extLst>
            <a:ext uri="{FF2B5EF4-FFF2-40B4-BE49-F238E27FC236}">
              <a16:creationId xmlns:a16="http://schemas.microsoft.com/office/drawing/2014/main" id="{8BDDD8F5-4D9C-4AF8-874B-E204C5712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73138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3449</xdr:row>
      <xdr:rowOff>309563</xdr:rowOff>
    </xdr:from>
    <xdr:to>
      <xdr:col>8</xdr:col>
      <xdr:colOff>494110</xdr:colOff>
      <xdr:row>3449</xdr:row>
      <xdr:rowOff>317462</xdr:rowOff>
    </xdr:to>
    <xdr:cxnSp macro="">
      <xdr:nvCxnSpPr>
        <xdr:cNvPr id="679" name="Conector recto 678">
          <a:extLst>
            <a:ext uri="{FF2B5EF4-FFF2-40B4-BE49-F238E27FC236}">
              <a16:creationId xmlns:a16="http://schemas.microsoft.com/office/drawing/2014/main" id="{4232DF54-EA43-4CAC-8862-172525D8976E}"/>
            </a:ext>
          </a:extLst>
        </xdr:cNvPr>
        <xdr:cNvCxnSpPr/>
      </xdr:nvCxnSpPr>
      <xdr:spPr>
        <a:xfrm flipV="1">
          <a:off x="3972117" y="673422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3449</xdr:row>
      <xdr:rowOff>26102</xdr:rowOff>
    </xdr:from>
    <xdr:ext cx="1699468" cy="504272"/>
    <xdr:pic>
      <xdr:nvPicPr>
        <xdr:cNvPr id="680" name="Imagen 679">
          <a:extLst>
            <a:ext uri="{FF2B5EF4-FFF2-40B4-BE49-F238E27FC236}">
              <a16:creationId xmlns:a16="http://schemas.microsoft.com/office/drawing/2014/main" id="{83E3D45D-59B6-459C-8DB8-D1D275766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73138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3449</xdr:row>
      <xdr:rowOff>309563</xdr:rowOff>
    </xdr:from>
    <xdr:to>
      <xdr:col>8</xdr:col>
      <xdr:colOff>494110</xdr:colOff>
      <xdr:row>3449</xdr:row>
      <xdr:rowOff>317462</xdr:rowOff>
    </xdr:to>
    <xdr:cxnSp macro="">
      <xdr:nvCxnSpPr>
        <xdr:cNvPr id="681" name="Conector recto 680">
          <a:extLst>
            <a:ext uri="{FF2B5EF4-FFF2-40B4-BE49-F238E27FC236}">
              <a16:creationId xmlns:a16="http://schemas.microsoft.com/office/drawing/2014/main" id="{514AB6BE-D07E-4145-BC81-EB3230B1593A}"/>
            </a:ext>
          </a:extLst>
        </xdr:cNvPr>
        <xdr:cNvCxnSpPr/>
      </xdr:nvCxnSpPr>
      <xdr:spPr>
        <a:xfrm flipV="1">
          <a:off x="3972117" y="673422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3449</xdr:row>
      <xdr:rowOff>26102</xdr:rowOff>
    </xdr:from>
    <xdr:ext cx="1699468" cy="504272"/>
    <xdr:pic>
      <xdr:nvPicPr>
        <xdr:cNvPr id="682" name="Imagen 681">
          <a:extLst>
            <a:ext uri="{FF2B5EF4-FFF2-40B4-BE49-F238E27FC236}">
              <a16:creationId xmlns:a16="http://schemas.microsoft.com/office/drawing/2014/main" id="{FFA7585B-55A0-4509-8B7F-2B3921A7A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73138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3449</xdr:row>
      <xdr:rowOff>309563</xdr:rowOff>
    </xdr:from>
    <xdr:to>
      <xdr:col>8</xdr:col>
      <xdr:colOff>494110</xdr:colOff>
      <xdr:row>3449</xdr:row>
      <xdr:rowOff>317462</xdr:rowOff>
    </xdr:to>
    <xdr:cxnSp macro="">
      <xdr:nvCxnSpPr>
        <xdr:cNvPr id="683" name="Conector recto 682">
          <a:extLst>
            <a:ext uri="{FF2B5EF4-FFF2-40B4-BE49-F238E27FC236}">
              <a16:creationId xmlns:a16="http://schemas.microsoft.com/office/drawing/2014/main" id="{6F0A1BF7-7232-4FBE-94C4-4F5E16CB6638}"/>
            </a:ext>
          </a:extLst>
        </xdr:cNvPr>
        <xdr:cNvCxnSpPr/>
      </xdr:nvCxnSpPr>
      <xdr:spPr>
        <a:xfrm flipV="1">
          <a:off x="3972117" y="673422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3449</xdr:row>
      <xdr:rowOff>26102</xdr:rowOff>
    </xdr:from>
    <xdr:ext cx="1699468" cy="504272"/>
    <xdr:pic>
      <xdr:nvPicPr>
        <xdr:cNvPr id="684" name="Imagen 683">
          <a:extLst>
            <a:ext uri="{FF2B5EF4-FFF2-40B4-BE49-F238E27FC236}">
              <a16:creationId xmlns:a16="http://schemas.microsoft.com/office/drawing/2014/main" id="{8BEDAD0F-5250-488B-9F9C-62AED846D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73138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3449</xdr:row>
      <xdr:rowOff>309563</xdr:rowOff>
    </xdr:from>
    <xdr:to>
      <xdr:col>8</xdr:col>
      <xdr:colOff>494110</xdr:colOff>
      <xdr:row>3449</xdr:row>
      <xdr:rowOff>317462</xdr:rowOff>
    </xdr:to>
    <xdr:cxnSp macro="">
      <xdr:nvCxnSpPr>
        <xdr:cNvPr id="685" name="Conector recto 684">
          <a:extLst>
            <a:ext uri="{FF2B5EF4-FFF2-40B4-BE49-F238E27FC236}">
              <a16:creationId xmlns:a16="http://schemas.microsoft.com/office/drawing/2014/main" id="{1AD81BDA-455F-461E-B12A-2FFA7B9742B1}"/>
            </a:ext>
          </a:extLst>
        </xdr:cNvPr>
        <xdr:cNvCxnSpPr/>
      </xdr:nvCxnSpPr>
      <xdr:spPr>
        <a:xfrm flipV="1">
          <a:off x="3972117" y="673422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3449</xdr:row>
      <xdr:rowOff>26102</xdr:rowOff>
    </xdr:from>
    <xdr:ext cx="1699468" cy="504272"/>
    <xdr:pic>
      <xdr:nvPicPr>
        <xdr:cNvPr id="686" name="Imagen 685">
          <a:extLst>
            <a:ext uri="{FF2B5EF4-FFF2-40B4-BE49-F238E27FC236}">
              <a16:creationId xmlns:a16="http://schemas.microsoft.com/office/drawing/2014/main" id="{261DBDFD-C3FB-4F35-99B8-FE5EDFD4F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7313880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3449</xdr:row>
      <xdr:rowOff>309563</xdr:rowOff>
    </xdr:from>
    <xdr:to>
      <xdr:col>8</xdr:col>
      <xdr:colOff>494110</xdr:colOff>
      <xdr:row>3449</xdr:row>
      <xdr:rowOff>317462</xdr:rowOff>
    </xdr:to>
    <xdr:cxnSp macro="">
      <xdr:nvCxnSpPr>
        <xdr:cNvPr id="687" name="Conector recto 686">
          <a:extLst>
            <a:ext uri="{FF2B5EF4-FFF2-40B4-BE49-F238E27FC236}">
              <a16:creationId xmlns:a16="http://schemas.microsoft.com/office/drawing/2014/main" id="{D036BFCE-24AD-43CF-B0F6-243912BE1FFB}"/>
            </a:ext>
          </a:extLst>
        </xdr:cNvPr>
        <xdr:cNvCxnSpPr/>
      </xdr:nvCxnSpPr>
      <xdr:spPr>
        <a:xfrm flipV="1">
          <a:off x="3972117" y="67342226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3494</xdr:row>
      <xdr:rowOff>26102</xdr:rowOff>
    </xdr:from>
    <xdr:ext cx="1699468" cy="504272"/>
    <xdr:pic>
      <xdr:nvPicPr>
        <xdr:cNvPr id="688" name="Imagen 687">
          <a:extLst>
            <a:ext uri="{FF2B5EF4-FFF2-40B4-BE49-F238E27FC236}">
              <a16:creationId xmlns:a16="http://schemas.microsoft.com/office/drawing/2014/main" id="{B3DC617A-145F-479F-90B8-2265BCC3C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82085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3494</xdr:row>
      <xdr:rowOff>309563</xdr:rowOff>
    </xdr:from>
    <xdr:to>
      <xdr:col>8</xdr:col>
      <xdr:colOff>494110</xdr:colOff>
      <xdr:row>3494</xdr:row>
      <xdr:rowOff>317462</xdr:rowOff>
    </xdr:to>
    <xdr:cxnSp macro="">
      <xdr:nvCxnSpPr>
        <xdr:cNvPr id="689" name="Conector recto 688">
          <a:extLst>
            <a:ext uri="{FF2B5EF4-FFF2-40B4-BE49-F238E27FC236}">
              <a16:creationId xmlns:a16="http://schemas.microsoft.com/office/drawing/2014/main" id="{888C0D00-6D21-4110-9D61-5522BC4B39D2}"/>
            </a:ext>
          </a:extLst>
        </xdr:cNvPr>
        <xdr:cNvCxnSpPr/>
      </xdr:nvCxnSpPr>
      <xdr:spPr>
        <a:xfrm flipV="1">
          <a:off x="3972117" y="682369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3494</xdr:row>
      <xdr:rowOff>26102</xdr:rowOff>
    </xdr:from>
    <xdr:ext cx="1699468" cy="504272"/>
    <xdr:pic>
      <xdr:nvPicPr>
        <xdr:cNvPr id="690" name="Imagen 689">
          <a:extLst>
            <a:ext uri="{FF2B5EF4-FFF2-40B4-BE49-F238E27FC236}">
              <a16:creationId xmlns:a16="http://schemas.microsoft.com/office/drawing/2014/main" id="{24884CB8-9623-4824-9623-AAE030FA3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82085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3494</xdr:row>
      <xdr:rowOff>309563</xdr:rowOff>
    </xdr:from>
    <xdr:to>
      <xdr:col>8</xdr:col>
      <xdr:colOff>494110</xdr:colOff>
      <xdr:row>3494</xdr:row>
      <xdr:rowOff>317462</xdr:rowOff>
    </xdr:to>
    <xdr:cxnSp macro="">
      <xdr:nvCxnSpPr>
        <xdr:cNvPr id="691" name="Conector recto 690">
          <a:extLst>
            <a:ext uri="{FF2B5EF4-FFF2-40B4-BE49-F238E27FC236}">
              <a16:creationId xmlns:a16="http://schemas.microsoft.com/office/drawing/2014/main" id="{2EB8A56E-2181-430E-B41C-4C1CB7E787E6}"/>
            </a:ext>
          </a:extLst>
        </xdr:cNvPr>
        <xdr:cNvCxnSpPr/>
      </xdr:nvCxnSpPr>
      <xdr:spPr>
        <a:xfrm flipV="1">
          <a:off x="3972117" y="682369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3494</xdr:row>
      <xdr:rowOff>26102</xdr:rowOff>
    </xdr:from>
    <xdr:ext cx="1699468" cy="504272"/>
    <xdr:pic>
      <xdr:nvPicPr>
        <xdr:cNvPr id="692" name="Imagen 691">
          <a:extLst>
            <a:ext uri="{FF2B5EF4-FFF2-40B4-BE49-F238E27FC236}">
              <a16:creationId xmlns:a16="http://schemas.microsoft.com/office/drawing/2014/main" id="{4DAF5BE9-06B7-48EE-81F7-A76340C7B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82085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3494</xdr:row>
      <xdr:rowOff>309563</xdr:rowOff>
    </xdr:from>
    <xdr:to>
      <xdr:col>8</xdr:col>
      <xdr:colOff>494110</xdr:colOff>
      <xdr:row>3494</xdr:row>
      <xdr:rowOff>317462</xdr:rowOff>
    </xdr:to>
    <xdr:cxnSp macro="">
      <xdr:nvCxnSpPr>
        <xdr:cNvPr id="693" name="Conector recto 692">
          <a:extLst>
            <a:ext uri="{FF2B5EF4-FFF2-40B4-BE49-F238E27FC236}">
              <a16:creationId xmlns:a16="http://schemas.microsoft.com/office/drawing/2014/main" id="{7B5AE0DB-AF35-442A-B52A-2878B8FF5738}"/>
            </a:ext>
          </a:extLst>
        </xdr:cNvPr>
        <xdr:cNvCxnSpPr/>
      </xdr:nvCxnSpPr>
      <xdr:spPr>
        <a:xfrm flipV="1">
          <a:off x="3972117" y="682369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3494</xdr:row>
      <xdr:rowOff>26102</xdr:rowOff>
    </xdr:from>
    <xdr:ext cx="1699468" cy="504272"/>
    <xdr:pic>
      <xdr:nvPicPr>
        <xdr:cNvPr id="694" name="Imagen 693">
          <a:extLst>
            <a:ext uri="{FF2B5EF4-FFF2-40B4-BE49-F238E27FC236}">
              <a16:creationId xmlns:a16="http://schemas.microsoft.com/office/drawing/2014/main" id="{871BB1CB-37B5-4DE0-B545-208A71738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82085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3494</xdr:row>
      <xdr:rowOff>309563</xdr:rowOff>
    </xdr:from>
    <xdr:to>
      <xdr:col>8</xdr:col>
      <xdr:colOff>494110</xdr:colOff>
      <xdr:row>3494</xdr:row>
      <xdr:rowOff>317462</xdr:rowOff>
    </xdr:to>
    <xdr:cxnSp macro="">
      <xdr:nvCxnSpPr>
        <xdr:cNvPr id="695" name="Conector recto 694">
          <a:extLst>
            <a:ext uri="{FF2B5EF4-FFF2-40B4-BE49-F238E27FC236}">
              <a16:creationId xmlns:a16="http://schemas.microsoft.com/office/drawing/2014/main" id="{ACBAC6A8-CDE5-44AC-9E18-49E0A809FB4B}"/>
            </a:ext>
          </a:extLst>
        </xdr:cNvPr>
        <xdr:cNvCxnSpPr/>
      </xdr:nvCxnSpPr>
      <xdr:spPr>
        <a:xfrm flipV="1">
          <a:off x="3972117" y="682369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3494</xdr:row>
      <xdr:rowOff>26102</xdr:rowOff>
    </xdr:from>
    <xdr:ext cx="1699468" cy="504272"/>
    <xdr:pic>
      <xdr:nvPicPr>
        <xdr:cNvPr id="696" name="Imagen 695">
          <a:extLst>
            <a:ext uri="{FF2B5EF4-FFF2-40B4-BE49-F238E27FC236}">
              <a16:creationId xmlns:a16="http://schemas.microsoft.com/office/drawing/2014/main" id="{D8BF5137-BF80-443E-B1B6-5174FA03D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82085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3494</xdr:row>
      <xdr:rowOff>309563</xdr:rowOff>
    </xdr:from>
    <xdr:to>
      <xdr:col>8</xdr:col>
      <xdr:colOff>494110</xdr:colOff>
      <xdr:row>3494</xdr:row>
      <xdr:rowOff>317462</xdr:rowOff>
    </xdr:to>
    <xdr:cxnSp macro="">
      <xdr:nvCxnSpPr>
        <xdr:cNvPr id="697" name="Conector recto 696">
          <a:extLst>
            <a:ext uri="{FF2B5EF4-FFF2-40B4-BE49-F238E27FC236}">
              <a16:creationId xmlns:a16="http://schemas.microsoft.com/office/drawing/2014/main" id="{27C34985-40DF-4BA1-95BE-1296BB998983}"/>
            </a:ext>
          </a:extLst>
        </xdr:cNvPr>
        <xdr:cNvCxnSpPr/>
      </xdr:nvCxnSpPr>
      <xdr:spPr>
        <a:xfrm flipV="1">
          <a:off x="3972117" y="682369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3494</xdr:row>
      <xdr:rowOff>26102</xdr:rowOff>
    </xdr:from>
    <xdr:ext cx="1699468" cy="504272"/>
    <xdr:pic>
      <xdr:nvPicPr>
        <xdr:cNvPr id="698" name="Imagen 697">
          <a:extLst>
            <a:ext uri="{FF2B5EF4-FFF2-40B4-BE49-F238E27FC236}">
              <a16:creationId xmlns:a16="http://schemas.microsoft.com/office/drawing/2014/main" id="{C4337B8E-3CE9-4907-8257-7B2271312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82085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3494</xdr:row>
      <xdr:rowOff>309563</xdr:rowOff>
    </xdr:from>
    <xdr:to>
      <xdr:col>8</xdr:col>
      <xdr:colOff>494110</xdr:colOff>
      <xdr:row>3494</xdr:row>
      <xdr:rowOff>317462</xdr:rowOff>
    </xdr:to>
    <xdr:cxnSp macro="">
      <xdr:nvCxnSpPr>
        <xdr:cNvPr id="699" name="Conector recto 698">
          <a:extLst>
            <a:ext uri="{FF2B5EF4-FFF2-40B4-BE49-F238E27FC236}">
              <a16:creationId xmlns:a16="http://schemas.microsoft.com/office/drawing/2014/main" id="{B8421EE9-479B-48BE-A1B9-72826CC6282F}"/>
            </a:ext>
          </a:extLst>
        </xdr:cNvPr>
        <xdr:cNvCxnSpPr/>
      </xdr:nvCxnSpPr>
      <xdr:spPr>
        <a:xfrm flipV="1">
          <a:off x="3972117" y="682369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3494</xdr:row>
      <xdr:rowOff>26102</xdr:rowOff>
    </xdr:from>
    <xdr:ext cx="1699468" cy="504272"/>
    <xdr:pic>
      <xdr:nvPicPr>
        <xdr:cNvPr id="700" name="Imagen 699">
          <a:extLst>
            <a:ext uri="{FF2B5EF4-FFF2-40B4-BE49-F238E27FC236}">
              <a16:creationId xmlns:a16="http://schemas.microsoft.com/office/drawing/2014/main" id="{E88762AF-A7F7-4471-8FA0-42D4AB6F1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82085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3494</xdr:row>
      <xdr:rowOff>309563</xdr:rowOff>
    </xdr:from>
    <xdr:to>
      <xdr:col>8</xdr:col>
      <xdr:colOff>494110</xdr:colOff>
      <xdr:row>3494</xdr:row>
      <xdr:rowOff>317462</xdr:rowOff>
    </xdr:to>
    <xdr:cxnSp macro="">
      <xdr:nvCxnSpPr>
        <xdr:cNvPr id="701" name="Conector recto 700">
          <a:extLst>
            <a:ext uri="{FF2B5EF4-FFF2-40B4-BE49-F238E27FC236}">
              <a16:creationId xmlns:a16="http://schemas.microsoft.com/office/drawing/2014/main" id="{D73BED3F-F11B-4736-BB57-EF1D412CCD41}"/>
            </a:ext>
          </a:extLst>
        </xdr:cNvPr>
        <xdr:cNvCxnSpPr/>
      </xdr:nvCxnSpPr>
      <xdr:spPr>
        <a:xfrm flipV="1">
          <a:off x="3972117" y="682369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3494</xdr:row>
      <xdr:rowOff>26102</xdr:rowOff>
    </xdr:from>
    <xdr:ext cx="1699468" cy="504272"/>
    <xdr:pic>
      <xdr:nvPicPr>
        <xdr:cNvPr id="702" name="Imagen 701">
          <a:extLst>
            <a:ext uri="{FF2B5EF4-FFF2-40B4-BE49-F238E27FC236}">
              <a16:creationId xmlns:a16="http://schemas.microsoft.com/office/drawing/2014/main" id="{5BB047B7-8624-426D-8FF8-4D90AEAEC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82085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3494</xdr:row>
      <xdr:rowOff>309563</xdr:rowOff>
    </xdr:from>
    <xdr:to>
      <xdr:col>8</xdr:col>
      <xdr:colOff>494110</xdr:colOff>
      <xdr:row>3494</xdr:row>
      <xdr:rowOff>317462</xdr:rowOff>
    </xdr:to>
    <xdr:cxnSp macro="">
      <xdr:nvCxnSpPr>
        <xdr:cNvPr id="703" name="Conector recto 702">
          <a:extLst>
            <a:ext uri="{FF2B5EF4-FFF2-40B4-BE49-F238E27FC236}">
              <a16:creationId xmlns:a16="http://schemas.microsoft.com/office/drawing/2014/main" id="{8E1E3633-417D-46A2-AB0D-37BFA28BA084}"/>
            </a:ext>
          </a:extLst>
        </xdr:cNvPr>
        <xdr:cNvCxnSpPr/>
      </xdr:nvCxnSpPr>
      <xdr:spPr>
        <a:xfrm flipV="1">
          <a:off x="3972117" y="682369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3539</xdr:row>
      <xdr:rowOff>26102</xdr:rowOff>
    </xdr:from>
    <xdr:ext cx="1699468" cy="504272"/>
    <xdr:pic>
      <xdr:nvPicPr>
        <xdr:cNvPr id="704" name="Imagen 703">
          <a:extLst>
            <a:ext uri="{FF2B5EF4-FFF2-40B4-BE49-F238E27FC236}">
              <a16:creationId xmlns:a16="http://schemas.microsoft.com/office/drawing/2014/main" id="{117BDF2D-81EB-42AC-931B-9103C7AAD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0937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3539</xdr:row>
      <xdr:rowOff>309563</xdr:rowOff>
    </xdr:from>
    <xdr:to>
      <xdr:col>8</xdr:col>
      <xdr:colOff>494110</xdr:colOff>
      <xdr:row>3539</xdr:row>
      <xdr:rowOff>317462</xdr:rowOff>
    </xdr:to>
    <xdr:cxnSp macro="">
      <xdr:nvCxnSpPr>
        <xdr:cNvPr id="705" name="Conector recto 704">
          <a:extLst>
            <a:ext uri="{FF2B5EF4-FFF2-40B4-BE49-F238E27FC236}">
              <a16:creationId xmlns:a16="http://schemas.microsoft.com/office/drawing/2014/main" id="{3795F61F-D5FD-4527-9E96-3A1085C3FCAE}"/>
            </a:ext>
          </a:extLst>
        </xdr:cNvPr>
        <xdr:cNvCxnSpPr/>
      </xdr:nvCxnSpPr>
      <xdr:spPr>
        <a:xfrm flipV="1">
          <a:off x="3972117" y="691221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3539</xdr:row>
      <xdr:rowOff>26102</xdr:rowOff>
    </xdr:from>
    <xdr:ext cx="1699468" cy="504272"/>
    <xdr:pic>
      <xdr:nvPicPr>
        <xdr:cNvPr id="706" name="Imagen 705">
          <a:extLst>
            <a:ext uri="{FF2B5EF4-FFF2-40B4-BE49-F238E27FC236}">
              <a16:creationId xmlns:a16="http://schemas.microsoft.com/office/drawing/2014/main" id="{37CB5C68-14BF-4585-BC14-AB70EBE52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0937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3539</xdr:row>
      <xdr:rowOff>309563</xdr:rowOff>
    </xdr:from>
    <xdr:to>
      <xdr:col>8</xdr:col>
      <xdr:colOff>494110</xdr:colOff>
      <xdr:row>3539</xdr:row>
      <xdr:rowOff>317462</xdr:rowOff>
    </xdr:to>
    <xdr:cxnSp macro="">
      <xdr:nvCxnSpPr>
        <xdr:cNvPr id="707" name="Conector recto 706">
          <a:extLst>
            <a:ext uri="{FF2B5EF4-FFF2-40B4-BE49-F238E27FC236}">
              <a16:creationId xmlns:a16="http://schemas.microsoft.com/office/drawing/2014/main" id="{D368484B-2618-489B-968E-AAC06CA67D27}"/>
            </a:ext>
          </a:extLst>
        </xdr:cNvPr>
        <xdr:cNvCxnSpPr/>
      </xdr:nvCxnSpPr>
      <xdr:spPr>
        <a:xfrm flipV="1">
          <a:off x="3972117" y="691221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3539</xdr:row>
      <xdr:rowOff>26102</xdr:rowOff>
    </xdr:from>
    <xdr:ext cx="1699468" cy="504272"/>
    <xdr:pic>
      <xdr:nvPicPr>
        <xdr:cNvPr id="708" name="Imagen 707">
          <a:extLst>
            <a:ext uri="{FF2B5EF4-FFF2-40B4-BE49-F238E27FC236}">
              <a16:creationId xmlns:a16="http://schemas.microsoft.com/office/drawing/2014/main" id="{8D91D153-A399-42A1-9393-3C0E599CB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0937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3539</xdr:row>
      <xdr:rowOff>309563</xdr:rowOff>
    </xdr:from>
    <xdr:to>
      <xdr:col>8</xdr:col>
      <xdr:colOff>494110</xdr:colOff>
      <xdr:row>3539</xdr:row>
      <xdr:rowOff>317462</xdr:rowOff>
    </xdr:to>
    <xdr:cxnSp macro="">
      <xdr:nvCxnSpPr>
        <xdr:cNvPr id="709" name="Conector recto 708">
          <a:extLst>
            <a:ext uri="{FF2B5EF4-FFF2-40B4-BE49-F238E27FC236}">
              <a16:creationId xmlns:a16="http://schemas.microsoft.com/office/drawing/2014/main" id="{E90998D6-A251-4237-B22E-FA05247DCC81}"/>
            </a:ext>
          </a:extLst>
        </xdr:cNvPr>
        <xdr:cNvCxnSpPr/>
      </xdr:nvCxnSpPr>
      <xdr:spPr>
        <a:xfrm flipV="1">
          <a:off x="3972117" y="691221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3539</xdr:row>
      <xdr:rowOff>26102</xdr:rowOff>
    </xdr:from>
    <xdr:ext cx="1699468" cy="504272"/>
    <xdr:pic>
      <xdr:nvPicPr>
        <xdr:cNvPr id="710" name="Imagen 709">
          <a:extLst>
            <a:ext uri="{FF2B5EF4-FFF2-40B4-BE49-F238E27FC236}">
              <a16:creationId xmlns:a16="http://schemas.microsoft.com/office/drawing/2014/main" id="{E4B03325-DD23-437B-B72A-3F6179754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0937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3539</xdr:row>
      <xdr:rowOff>309563</xdr:rowOff>
    </xdr:from>
    <xdr:to>
      <xdr:col>8</xdr:col>
      <xdr:colOff>494110</xdr:colOff>
      <xdr:row>3539</xdr:row>
      <xdr:rowOff>317462</xdr:rowOff>
    </xdr:to>
    <xdr:cxnSp macro="">
      <xdr:nvCxnSpPr>
        <xdr:cNvPr id="711" name="Conector recto 710">
          <a:extLst>
            <a:ext uri="{FF2B5EF4-FFF2-40B4-BE49-F238E27FC236}">
              <a16:creationId xmlns:a16="http://schemas.microsoft.com/office/drawing/2014/main" id="{D61762F5-CC96-4A19-B5D8-ED64DB084D61}"/>
            </a:ext>
          </a:extLst>
        </xdr:cNvPr>
        <xdr:cNvCxnSpPr/>
      </xdr:nvCxnSpPr>
      <xdr:spPr>
        <a:xfrm flipV="1">
          <a:off x="3972117" y="691221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3539</xdr:row>
      <xdr:rowOff>26102</xdr:rowOff>
    </xdr:from>
    <xdr:ext cx="1699468" cy="504272"/>
    <xdr:pic>
      <xdr:nvPicPr>
        <xdr:cNvPr id="712" name="Imagen 711">
          <a:extLst>
            <a:ext uri="{FF2B5EF4-FFF2-40B4-BE49-F238E27FC236}">
              <a16:creationId xmlns:a16="http://schemas.microsoft.com/office/drawing/2014/main" id="{DB5A037D-0832-4279-A0B7-B7CF73C5C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0937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3539</xdr:row>
      <xdr:rowOff>309563</xdr:rowOff>
    </xdr:from>
    <xdr:to>
      <xdr:col>8</xdr:col>
      <xdr:colOff>494110</xdr:colOff>
      <xdr:row>3539</xdr:row>
      <xdr:rowOff>317462</xdr:rowOff>
    </xdr:to>
    <xdr:cxnSp macro="">
      <xdr:nvCxnSpPr>
        <xdr:cNvPr id="713" name="Conector recto 712">
          <a:extLst>
            <a:ext uri="{FF2B5EF4-FFF2-40B4-BE49-F238E27FC236}">
              <a16:creationId xmlns:a16="http://schemas.microsoft.com/office/drawing/2014/main" id="{C2068932-E666-4496-B37D-927203B5E646}"/>
            </a:ext>
          </a:extLst>
        </xdr:cNvPr>
        <xdr:cNvCxnSpPr/>
      </xdr:nvCxnSpPr>
      <xdr:spPr>
        <a:xfrm flipV="1">
          <a:off x="3972117" y="691221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3539</xdr:row>
      <xdr:rowOff>26102</xdr:rowOff>
    </xdr:from>
    <xdr:ext cx="1699468" cy="504272"/>
    <xdr:pic>
      <xdr:nvPicPr>
        <xdr:cNvPr id="714" name="Imagen 713">
          <a:extLst>
            <a:ext uri="{FF2B5EF4-FFF2-40B4-BE49-F238E27FC236}">
              <a16:creationId xmlns:a16="http://schemas.microsoft.com/office/drawing/2014/main" id="{D958A536-7E0A-4A5D-A540-9157005DB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0937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3539</xdr:row>
      <xdr:rowOff>309563</xdr:rowOff>
    </xdr:from>
    <xdr:to>
      <xdr:col>8</xdr:col>
      <xdr:colOff>494110</xdr:colOff>
      <xdr:row>3539</xdr:row>
      <xdr:rowOff>317462</xdr:rowOff>
    </xdr:to>
    <xdr:cxnSp macro="">
      <xdr:nvCxnSpPr>
        <xdr:cNvPr id="715" name="Conector recto 714">
          <a:extLst>
            <a:ext uri="{FF2B5EF4-FFF2-40B4-BE49-F238E27FC236}">
              <a16:creationId xmlns:a16="http://schemas.microsoft.com/office/drawing/2014/main" id="{132A5E5D-A3B5-45A1-99C1-278BD9D81EC9}"/>
            </a:ext>
          </a:extLst>
        </xdr:cNvPr>
        <xdr:cNvCxnSpPr/>
      </xdr:nvCxnSpPr>
      <xdr:spPr>
        <a:xfrm flipV="1">
          <a:off x="3972117" y="691221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3539</xdr:row>
      <xdr:rowOff>26102</xdr:rowOff>
    </xdr:from>
    <xdr:ext cx="1699468" cy="504272"/>
    <xdr:pic>
      <xdr:nvPicPr>
        <xdr:cNvPr id="716" name="Imagen 715">
          <a:extLst>
            <a:ext uri="{FF2B5EF4-FFF2-40B4-BE49-F238E27FC236}">
              <a16:creationId xmlns:a16="http://schemas.microsoft.com/office/drawing/2014/main" id="{FDC704B6-6FA0-48B2-B3F7-82CCCDE3F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0937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3539</xdr:row>
      <xdr:rowOff>309563</xdr:rowOff>
    </xdr:from>
    <xdr:to>
      <xdr:col>8</xdr:col>
      <xdr:colOff>494110</xdr:colOff>
      <xdr:row>3539</xdr:row>
      <xdr:rowOff>317462</xdr:rowOff>
    </xdr:to>
    <xdr:cxnSp macro="">
      <xdr:nvCxnSpPr>
        <xdr:cNvPr id="717" name="Conector recto 716">
          <a:extLst>
            <a:ext uri="{FF2B5EF4-FFF2-40B4-BE49-F238E27FC236}">
              <a16:creationId xmlns:a16="http://schemas.microsoft.com/office/drawing/2014/main" id="{B076EE3A-DB30-4052-BF18-4EB1C9AAB636}"/>
            </a:ext>
          </a:extLst>
        </xdr:cNvPr>
        <xdr:cNvCxnSpPr/>
      </xdr:nvCxnSpPr>
      <xdr:spPr>
        <a:xfrm flipV="1">
          <a:off x="3972117" y="691221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3539</xdr:row>
      <xdr:rowOff>26102</xdr:rowOff>
    </xdr:from>
    <xdr:ext cx="1699468" cy="504272"/>
    <xdr:pic>
      <xdr:nvPicPr>
        <xdr:cNvPr id="718" name="Imagen 717">
          <a:extLst>
            <a:ext uri="{FF2B5EF4-FFF2-40B4-BE49-F238E27FC236}">
              <a16:creationId xmlns:a16="http://schemas.microsoft.com/office/drawing/2014/main" id="{D13009B0-D7C2-49E7-AD29-A0BBB1D82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0937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3539</xdr:row>
      <xdr:rowOff>309563</xdr:rowOff>
    </xdr:from>
    <xdr:to>
      <xdr:col>8</xdr:col>
      <xdr:colOff>494110</xdr:colOff>
      <xdr:row>3539</xdr:row>
      <xdr:rowOff>317462</xdr:rowOff>
    </xdr:to>
    <xdr:cxnSp macro="">
      <xdr:nvCxnSpPr>
        <xdr:cNvPr id="719" name="Conector recto 718">
          <a:extLst>
            <a:ext uri="{FF2B5EF4-FFF2-40B4-BE49-F238E27FC236}">
              <a16:creationId xmlns:a16="http://schemas.microsoft.com/office/drawing/2014/main" id="{7A7A48C2-8A1A-4916-8D66-0AE1279B6B7F}"/>
            </a:ext>
          </a:extLst>
        </xdr:cNvPr>
        <xdr:cNvCxnSpPr/>
      </xdr:nvCxnSpPr>
      <xdr:spPr>
        <a:xfrm flipV="1">
          <a:off x="3972117" y="691221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3584</xdr:row>
      <xdr:rowOff>26102</xdr:rowOff>
    </xdr:from>
    <xdr:ext cx="1699468" cy="504272"/>
    <xdr:pic>
      <xdr:nvPicPr>
        <xdr:cNvPr id="720" name="Imagen 719">
          <a:extLst>
            <a:ext uri="{FF2B5EF4-FFF2-40B4-BE49-F238E27FC236}">
              <a16:creationId xmlns:a16="http://schemas.microsoft.com/office/drawing/2014/main" id="{157E2215-530D-4DFF-824C-AEE3F89B4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9789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3584</xdr:row>
      <xdr:rowOff>309563</xdr:rowOff>
    </xdr:from>
    <xdr:to>
      <xdr:col>8</xdr:col>
      <xdr:colOff>494110</xdr:colOff>
      <xdr:row>3584</xdr:row>
      <xdr:rowOff>317462</xdr:rowOff>
    </xdr:to>
    <xdr:cxnSp macro="">
      <xdr:nvCxnSpPr>
        <xdr:cNvPr id="721" name="Conector recto 720">
          <a:extLst>
            <a:ext uri="{FF2B5EF4-FFF2-40B4-BE49-F238E27FC236}">
              <a16:creationId xmlns:a16="http://schemas.microsoft.com/office/drawing/2014/main" id="{F30EE49F-7C52-464B-90C6-FABEC1C01611}"/>
            </a:ext>
          </a:extLst>
        </xdr:cNvPr>
        <xdr:cNvCxnSpPr/>
      </xdr:nvCxnSpPr>
      <xdr:spPr>
        <a:xfrm flipV="1">
          <a:off x="3972117" y="700073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3584</xdr:row>
      <xdr:rowOff>26102</xdr:rowOff>
    </xdr:from>
    <xdr:ext cx="1699468" cy="504272"/>
    <xdr:pic>
      <xdr:nvPicPr>
        <xdr:cNvPr id="722" name="Imagen 721">
          <a:extLst>
            <a:ext uri="{FF2B5EF4-FFF2-40B4-BE49-F238E27FC236}">
              <a16:creationId xmlns:a16="http://schemas.microsoft.com/office/drawing/2014/main" id="{E8FFFBAD-8D95-4DDA-A432-E4AF199F1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9789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3584</xdr:row>
      <xdr:rowOff>309563</xdr:rowOff>
    </xdr:from>
    <xdr:to>
      <xdr:col>8</xdr:col>
      <xdr:colOff>494110</xdr:colOff>
      <xdr:row>3584</xdr:row>
      <xdr:rowOff>317462</xdr:rowOff>
    </xdr:to>
    <xdr:cxnSp macro="">
      <xdr:nvCxnSpPr>
        <xdr:cNvPr id="723" name="Conector recto 722">
          <a:extLst>
            <a:ext uri="{FF2B5EF4-FFF2-40B4-BE49-F238E27FC236}">
              <a16:creationId xmlns:a16="http://schemas.microsoft.com/office/drawing/2014/main" id="{325D5990-8DC6-4693-9F8D-0E4F31AA8280}"/>
            </a:ext>
          </a:extLst>
        </xdr:cNvPr>
        <xdr:cNvCxnSpPr/>
      </xdr:nvCxnSpPr>
      <xdr:spPr>
        <a:xfrm flipV="1">
          <a:off x="3972117" y="700073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3584</xdr:row>
      <xdr:rowOff>26102</xdr:rowOff>
    </xdr:from>
    <xdr:ext cx="1699468" cy="504272"/>
    <xdr:pic>
      <xdr:nvPicPr>
        <xdr:cNvPr id="724" name="Imagen 723">
          <a:extLst>
            <a:ext uri="{FF2B5EF4-FFF2-40B4-BE49-F238E27FC236}">
              <a16:creationId xmlns:a16="http://schemas.microsoft.com/office/drawing/2014/main" id="{0C52786E-B084-4A56-B823-75B3C8E59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9789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3584</xdr:row>
      <xdr:rowOff>309563</xdr:rowOff>
    </xdr:from>
    <xdr:to>
      <xdr:col>8</xdr:col>
      <xdr:colOff>494110</xdr:colOff>
      <xdr:row>3584</xdr:row>
      <xdr:rowOff>317462</xdr:rowOff>
    </xdr:to>
    <xdr:cxnSp macro="">
      <xdr:nvCxnSpPr>
        <xdr:cNvPr id="725" name="Conector recto 724">
          <a:extLst>
            <a:ext uri="{FF2B5EF4-FFF2-40B4-BE49-F238E27FC236}">
              <a16:creationId xmlns:a16="http://schemas.microsoft.com/office/drawing/2014/main" id="{18B80ED6-00AB-454B-9773-0D69A42E5495}"/>
            </a:ext>
          </a:extLst>
        </xdr:cNvPr>
        <xdr:cNvCxnSpPr/>
      </xdr:nvCxnSpPr>
      <xdr:spPr>
        <a:xfrm flipV="1">
          <a:off x="3972117" y="700073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3584</xdr:row>
      <xdr:rowOff>26102</xdr:rowOff>
    </xdr:from>
    <xdr:ext cx="1699468" cy="504272"/>
    <xdr:pic>
      <xdr:nvPicPr>
        <xdr:cNvPr id="726" name="Imagen 725">
          <a:extLst>
            <a:ext uri="{FF2B5EF4-FFF2-40B4-BE49-F238E27FC236}">
              <a16:creationId xmlns:a16="http://schemas.microsoft.com/office/drawing/2014/main" id="{FE1B2FDE-2B51-4033-A8B3-596C0B4FB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9789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3584</xdr:row>
      <xdr:rowOff>309563</xdr:rowOff>
    </xdr:from>
    <xdr:to>
      <xdr:col>8</xdr:col>
      <xdr:colOff>494110</xdr:colOff>
      <xdr:row>3584</xdr:row>
      <xdr:rowOff>317462</xdr:rowOff>
    </xdr:to>
    <xdr:cxnSp macro="">
      <xdr:nvCxnSpPr>
        <xdr:cNvPr id="727" name="Conector recto 726">
          <a:extLst>
            <a:ext uri="{FF2B5EF4-FFF2-40B4-BE49-F238E27FC236}">
              <a16:creationId xmlns:a16="http://schemas.microsoft.com/office/drawing/2014/main" id="{153128C3-EEA1-43E5-8685-B9F1A8FF49DB}"/>
            </a:ext>
          </a:extLst>
        </xdr:cNvPr>
        <xdr:cNvCxnSpPr/>
      </xdr:nvCxnSpPr>
      <xdr:spPr>
        <a:xfrm flipV="1">
          <a:off x="3972117" y="700073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3584</xdr:row>
      <xdr:rowOff>26102</xdr:rowOff>
    </xdr:from>
    <xdr:ext cx="1699468" cy="504272"/>
    <xdr:pic>
      <xdr:nvPicPr>
        <xdr:cNvPr id="728" name="Imagen 727">
          <a:extLst>
            <a:ext uri="{FF2B5EF4-FFF2-40B4-BE49-F238E27FC236}">
              <a16:creationId xmlns:a16="http://schemas.microsoft.com/office/drawing/2014/main" id="{346218B2-A5A0-4787-9DFE-34498DC18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9789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3584</xdr:row>
      <xdr:rowOff>309563</xdr:rowOff>
    </xdr:from>
    <xdr:to>
      <xdr:col>8</xdr:col>
      <xdr:colOff>494110</xdr:colOff>
      <xdr:row>3584</xdr:row>
      <xdr:rowOff>317462</xdr:rowOff>
    </xdr:to>
    <xdr:cxnSp macro="">
      <xdr:nvCxnSpPr>
        <xdr:cNvPr id="729" name="Conector recto 728">
          <a:extLst>
            <a:ext uri="{FF2B5EF4-FFF2-40B4-BE49-F238E27FC236}">
              <a16:creationId xmlns:a16="http://schemas.microsoft.com/office/drawing/2014/main" id="{32474093-3671-4D50-90F2-B5060E669C98}"/>
            </a:ext>
          </a:extLst>
        </xdr:cNvPr>
        <xdr:cNvCxnSpPr/>
      </xdr:nvCxnSpPr>
      <xdr:spPr>
        <a:xfrm flipV="1">
          <a:off x="3972117" y="700073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3584</xdr:row>
      <xdr:rowOff>26102</xdr:rowOff>
    </xdr:from>
    <xdr:ext cx="1699468" cy="504272"/>
    <xdr:pic>
      <xdr:nvPicPr>
        <xdr:cNvPr id="730" name="Imagen 729">
          <a:extLst>
            <a:ext uri="{FF2B5EF4-FFF2-40B4-BE49-F238E27FC236}">
              <a16:creationId xmlns:a16="http://schemas.microsoft.com/office/drawing/2014/main" id="{FE751E7D-E016-4855-9ADB-82EF991006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9789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3584</xdr:row>
      <xdr:rowOff>309563</xdr:rowOff>
    </xdr:from>
    <xdr:to>
      <xdr:col>8</xdr:col>
      <xdr:colOff>494110</xdr:colOff>
      <xdr:row>3584</xdr:row>
      <xdr:rowOff>317462</xdr:rowOff>
    </xdr:to>
    <xdr:cxnSp macro="">
      <xdr:nvCxnSpPr>
        <xdr:cNvPr id="731" name="Conector recto 730">
          <a:extLst>
            <a:ext uri="{FF2B5EF4-FFF2-40B4-BE49-F238E27FC236}">
              <a16:creationId xmlns:a16="http://schemas.microsoft.com/office/drawing/2014/main" id="{F189681E-C226-4010-A7D6-AAB083C5496E}"/>
            </a:ext>
          </a:extLst>
        </xdr:cNvPr>
        <xdr:cNvCxnSpPr/>
      </xdr:nvCxnSpPr>
      <xdr:spPr>
        <a:xfrm flipV="1">
          <a:off x="3972117" y="700073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3584</xdr:row>
      <xdr:rowOff>26102</xdr:rowOff>
    </xdr:from>
    <xdr:ext cx="1699468" cy="504272"/>
    <xdr:pic>
      <xdr:nvPicPr>
        <xdr:cNvPr id="732" name="Imagen 731">
          <a:extLst>
            <a:ext uri="{FF2B5EF4-FFF2-40B4-BE49-F238E27FC236}">
              <a16:creationId xmlns:a16="http://schemas.microsoft.com/office/drawing/2014/main" id="{86C10D91-5624-4CA4-B077-9160EEFA8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9789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3584</xdr:row>
      <xdr:rowOff>309563</xdr:rowOff>
    </xdr:from>
    <xdr:to>
      <xdr:col>8</xdr:col>
      <xdr:colOff>494110</xdr:colOff>
      <xdr:row>3584</xdr:row>
      <xdr:rowOff>317462</xdr:rowOff>
    </xdr:to>
    <xdr:cxnSp macro="">
      <xdr:nvCxnSpPr>
        <xdr:cNvPr id="733" name="Conector recto 732">
          <a:extLst>
            <a:ext uri="{FF2B5EF4-FFF2-40B4-BE49-F238E27FC236}">
              <a16:creationId xmlns:a16="http://schemas.microsoft.com/office/drawing/2014/main" id="{42B15D14-43FF-4534-A37B-FB396D46E300}"/>
            </a:ext>
          </a:extLst>
        </xdr:cNvPr>
        <xdr:cNvCxnSpPr/>
      </xdr:nvCxnSpPr>
      <xdr:spPr>
        <a:xfrm flipV="1">
          <a:off x="3972117" y="700073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3584</xdr:row>
      <xdr:rowOff>26102</xdr:rowOff>
    </xdr:from>
    <xdr:ext cx="1699468" cy="504272"/>
    <xdr:pic>
      <xdr:nvPicPr>
        <xdr:cNvPr id="734" name="Imagen 733">
          <a:extLst>
            <a:ext uri="{FF2B5EF4-FFF2-40B4-BE49-F238E27FC236}">
              <a16:creationId xmlns:a16="http://schemas.microsoft.com/office/drawing/2014/main" id="{041BB627-32C7-46CD-AA9F-D22BCB81F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6997897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3584</xdr:row>
      <xdr:rowOff>309563</xdr:rowOff>
    </xdr:from>
    <xdr:to>
      <xdr:col>8</xdr:col>
      <xdr:colOff>494110</xdr:colOff>
      <xdr:row>3584</xdr:row>
      <xdr:rowOff>317462</xdr:rowOff>
    </xdr:to>
    <xdr:cxnSp macro="">
      <xdr:nvCxnSpPr>
        <xdr:cNvPr id="735" name="Conector recto 734">
          <a:extLst>
            <a:ext uri="{FF2B5EF4-FFF2-40B4-BE49-F238E27FC236}">
              <a16:creationId xmlns:a16="http://schemas.microsoft.com/office/drawing/2014/main" id="{8C2909E6-4CEF-430F-9C1F-6C2254C1C55D}"/>
            </a:ext>
          </a:extLst>
        </xdr:cNvPr>
        <xdr:cNvCxnSpPr/>
      </xdr:nvCxnSpPr>
      <xdr:spPr>
        <a:xfrm flipV="1">
          <a:off x="3972117" y="7000732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3629</xdr:row>
      <xdr:rowOff>26102</xdr:rowOff>
    </xdr:from>
    <xdr:ext cx="1699468" cy="504272"/>
    <xdr:pic>
      <xdr:nvPicPr>
        <xdr:cNvPr id="736" name="Imagen 735">
          <a:extLst>
            <a:ext uri="{FF2B5EF4-FFF2-40B4-BE49-F238E27FC236}">
              <a16:creationId xmlns:a16="http://schemas.microsoft.com/office/drawing/2014/main" id="{9E04E8C9-548C-437D-9C3E-8102060E3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08641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3629</xdr:row>
      <xdr:rowOff>309563</xdr:rowOff>
    </xdr:from>
    <xdr:to>
      <xdr:col>8</xdr:col>
      <xdr:colOff>494110</xdr:colOff>
      <xdr:row>3629</xdr:row>
      <xdr:rowOff>317462</xdr:rowOff>
    </xdr:to>
    <xdr:cxnSp macro="">
      <xdr:nvCxnSpPr>
        <xdr:cNvPr id="737" name="Conector recto 736">
          <a:extLst>
            <a:ext uri="{FF2B5EF4-FFF2-40B4-BE49-F238E27FC236}">
              <a16:creationId xmlns:a16="http://schemas.microsoft.com/office/drawing/2014/main" id="{400F7200-C9C4-4833-B699-A777B93D2377}"/>
            </a:ext>
          </a:extLst>
        </xdr:cNvPr>
        <xdr:cNvCxnSpPr/>
      </xdr:nvCxnSpPr>
      <xdr:spPr>
        <a:xfrm flipV="1">
          <a:off x="3972117" y="708925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3629</xdr:row>
      <xdr:rowOff>26102</xdr:rowOff>
    </xdr:from>
    <xdr:ext cx="1699468" cy="504272"/>
    <xdr:pic>
      <xdr:nvPicPr>
        <xdr:cNvPr id="738" name="Imagen 737">
          <a:extLst>
            <a:ext uri="{FF2B5EF4-FFF2-40B4-BE49-F238E27FC236}">
              <a16:creationId xmlns:a16="http://schemas.microsoft.com/office/drawing/2014/main" id="{39C316FD-E06D-47EB-962B-D140FFBD72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08641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3629</xdr:row>
      <xdr:rowOff>309563</xdr:rowOff>
    </xdr:from>
    <xdr:to>
      <xdr:col>8</xdr:col>
      <xdr:colOff>494110</xdr:colOff>
      <xdr:row>3629</xdr:row>
      <xdr:rowOff>317462</xdr:rowOff>
    </xdr:to>
    <xdr:cxnSp macro="">
      <xdr:nvCxnSpPr>
        <xdr:cNvPr id="739" name="Conector recto 738">
          <a:extLst>
            <a:ext uri="{FF2B5EF4-FFF2-40B4-BE49-F238E27FC236}">
              <a16:creationId xmlns:a16="http://schemas.microsoft.com/office/drawing/2014/main" id="{B2E22D58-32EB-45F4-B8FA-AF0AC94FA115}"/>
            </a:ext>
          </a:extLst>
        </xdr:cNvPr>
        <xdr:cNvCxnSpPr/>
      </xdr:nvCxnSpPr>
      <xdr:spPr>
        <a:xfrm flipV="1">
          <a:off x="3972117" y="708925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3629</xdr:row>
      <xdr:rowOff>26102</xdr:rowOff>
    </xdr:from>
    <xdr:ext cx="1699468" cy="504272"/>
    <xdr:pic>
      <xdr:nvPicPr>
        <xdr:cNvPr id="740" name="Imagen 739">
          <a:extLst>
            <a:ext uri="{FF2B5EF4-FFF2-40B4-BE49-F238E27FC236}">
              <a16:creationId xmlns:a16="http://schemas.microsoft.com/office/drawing/2014/main" id="{D8FA200D-23AB-42E7-920D-18A239444B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08641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3629</xdr:row>
      <xdr:rowOff>309563</xdr:rowOff>
    </xdr:from>
    <xdr:to>
      <xdr:col>8</xdr:col>
      <xdr:colOff>494110</xdr:colOff>
      <xdr:row>3629</xdr:row>
      <xdr:rowOff>317462</xdr:rowOff>
    </xdr:to>
    <xdr:cxnSp macro="">
      <xdr:nvCxnSpPr>
        <xdr:cNvPr id="741" name="Conector recto 740">
          <a:extLst>
            <a:ext uri="{FF2B5EF4-FFF2-40B4-BE49-F238E27FC236}">
              <a16:creationId xmlns:a16="http://schemas.microsoft.com/office/drawing/2014/main" id="{9780E9B1-7D03-4F54-97A1-F5B369B3D6AB}"/>
            </a:ext>
          </a:extLst>
        </xdr:cNvPr>
        <xdr:cNvCxnSpPr/>
      </xdr:nvCxnSpPr>
      <xdr:spPr>
        <a:xfrm flipV="1">
          <a:off x="3972117" y="708925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3629</xdr:row>
      <xdr:rowOff>26102</xdr:rowOff>
    </xdr:from>
    <xdr:ext cx="1699468" cy="504272"/>
    <xdr:pic>
      <xdr:nvPicPr>
        <xdr:cNvPr id="742" name="Imagen 741">
          <a:extLst>
            <a:ext uri="{FF2B5EF4-FFF2-40B4-BE49-F238E27FC236}">
              <a16:creationId xmlns:a16="http://schemas.microsoft.com/office/drawing/2014/main" id="{A62A928C-F193-419D-933D-4515B76197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08641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3629</xdr:row>
      <xdr:rowOff>309563</xdr:rowOff>
    </xdr:from>
    <xdr:to>
      <xdr:col>8</xdr:col>
      <xdr:colOff>494110</xdr:colOff>
      <xdr:row>3629</xdr:row>
      <xdr:rowOff>317462</xdr:rowOff>
    </xdr:to>
    <xdr:cxnSp macro="">
      <xdr:nvCxnSpPr>
        <xdr:cNvPr id="743" name="Conector recto 742">
          <a:extLst>
            <a:ext uri="{FF2B5EF4-FFF2-40B4-BE49-F238E27FC236}">
              <a16:creationId xmlns:a16="http://schemas.microsoft.com/office/drawing/2014/main" id="{1A4BB89C-7E93-4F48-B0BB-8DBB5647C621}"/>
            </a:ext>
          </a:extLst>
        </xdr:cNvPr>
        <xdr:cNvCxnSpPr/>
      </xdr:nvCxnSpPr>
      <xdr:spPr>
        <a:xfrm flipV="1">
          <a:off x="3972117" y="708925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3629</xdr:row>
      <xdr:rowOff>26102</xdr:rowOff>
    </xdr:from>
    <xdr:ext cx="1699468" cy="504272"/>
    <xdr:pic>
      <xdr:nvPicPr>
        <xdr:cNvPr id="744" name="Imagen 743">
          <a:extLst>
            <a:ext uri="{FF2B5EF4-FFF2-40B4-BE49-F238E27FC236}">
              <a16:creationId xmlns:a16="http://schemas.microsoft.com/office/drawing/2014/main" id="{1B912F47-44A9-48CA-A279-06D69A2F7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08641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3629</xdr:row>
      <xdr:rowOff>309563</xdr:rowOff>
    </xdr:from>
    <xdr:to>
      <xdr:col>8</xdr:col>
      <xdr:colOff>494110</xdr:colOff>
      <xdr:row>3629</xdr:row>
      <xdr:rowOff>317462</xdr:rowOff>
    </xdr:to>
    <xdr:cxnSp macro="">
      <xdr:nvCxnSpPr>
        <xdr:cNvPr id="745" name="Conector recto 744">
          <a:extLst>
            <a:ext uri="{FF2B5EF4-FFF2-40B4-BE49-F238E27FC236}">
              <a16:creationId xmlns:a16="http://schemas.microsoft.com/office/drawing/2014/main" id="{F6F0C928-85BF-4F10-BAB1-4A1995425449}"/>
            </a:ext>
          </a:extLst>
        </xdr:cNvPr>
        <xdr:cNvCxnSpPr/>
      </xdr:nvCxnSpPr>
      <xdr:spPr>
        <a:xfrm flipV="1">
          <a:off x="3972117" y="708925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3629</xdr:row>
      <xdr:rowOff>26102</xdr:rowOff>
    </xdr:from>
    <xdr:ext cx="1699468" cy="504272"/>
    <xdr:pic>
      <xdr:nvPicPr>
        <xdr:cNvPr id="746" name="Imagen 745">
          <a:extLst>
            <a:ext uri="{FF2B5EF4-FFF2-40B4-BE49-F238E27FC236}">
              <a16:creationId xmlns:a16="http://schemas.microsoft.com/office/drawing/2014/main" id="{6511D0B6-0168-4F3C-B440-E91E305F0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08641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3629</xdr:row>
      <xdr:rowOff>309563</xdr:rowOff>
    </xdr:from>
    <xdr:to>
      <xdr:col>8</xdr:col>
      <xdr:colOff>494110</xdr:colOff>
      <xdr:row>3629</xdr:row>
      <xdr:rowOff>317462</xdr:rowOff>
    </xdr:to>
    <xdr:cxnSp macro="">
      <xdr:nvCxnSpPr>
        <xdr:cNvPr id="747" name="Conector recto 746">
          <a:extLst>
            <a:ext uri="{FF2B5EF4-FFF2-40B4-BE49-F238E27FC236}">
              <a16:creationId xmlns:a16="http://schemas.microsoft.com/office/drawing/2014/main" id="{E06CE4CE-6A72-4328-978D-5F80FE134A27}"/>
            </a:ext>
          </a:extLst>
        </xdr:cNvPr>
        <xdr:cNvCxnSpPr/>
      </xdr:nvCxnSpPr>
      <xdr:spPr>
        <a:xfrm flipV="1">
          <a:off x="3972117" y="708925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3629</xdr:row>
      <xdr:rowOff>26102</xdr:rowOff>
    </xdr:from>
    <xdr:ext cx="1699468" cy="504272"/>
    <xdr:pic>
      <xdr:nvPicPr>
        <xdr:cNvPr id="748" name="Imagen 747">
          <a:extLst>
            <a:ext uri="{FF2B5EF4-FFF2-40B4-BE49-F238E27FC236}">
              <a16:creationId xmlns:a16="http://schemas.microsoft.com/office/drawing/2014/main" id="{E17EB56E-C79B-41C3-A9FC-43B2622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08641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3629</xdr:row>
      <xdr:rowOff>309563</xdr:rowOff>
    </xdr:from>
    <xdr:to>
      <xdr:col>8</xdr:col>
      <xdr:colOff>494110</xdr:colOff>
      <xdr:row>3629</xdr:row>
      <xdr:rowOff>317462</xdr:rowOff>
    </xdr:to>
    <xdr:cxnSp macro="">
      <xdr:nvCxnSpPr>
        <xdr:cNvPr id="749" name="Conector recto 748">
          <a:extLst>
            <a:ext uri="{FF2B5EF4-FFF2-40B4-BE49-F238E27FC236}">
              <a16:creationId xmlns:a16="http://schemas.microsoft.com/office/drawing/2014/main" id="{16CCFB2B-04A1-4CE9-9B84-65CFDE238474}"/>
            </a:ext>
          </a:extLst>
        </xdr:cNvPr>
        <xdr:cNvCxnSpPr/>
      </xdr:nvCxnSpPr>
      <xdr:spPr>
        <a:xfrm flipV="1">
          <a:off x="3972117" y="708925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3629</xdr:row>
      <xdr:rowOff>26102</xdr:rowOff>
    </xdr:from>
    <xdr:ext cx="1699468" cy="504272"/>
    <xdr:pic>
      <xdr:nvPicPr>
        <xdr:cNvPr id="750" name="Imagen 749">
          <a:extLst>
            <a:ext uri="{FF2B5EF4-FFF2-40B4-BE49-F238E27FC236}">
              <a16:creationId xmlns:a16="http://schemas.microsoft.com/office/drawing/2014/main" id="{DBBC5DAA-9F44-465F-92EA-AC6B9BE3E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086416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3629</xdr:row>
      <xdr:rowOff>309563</xdr:rowOff>
    </xdr:from>
    <xdr:to>
      <xdr:col>8</xdr:col>
      <xdr:colOff>494110</xdr:colOff>
      <xdr:row>3629</xdr:row>
      <xdr:rowOff>317462</xdr:rowOff>
    </xdr:to>
    <xdr:cxnSp macro="">
      <xdr:nvCxnSpPr>
        <xdr:cNvPr id="751" name="Conector recto 750">
          <a:extLst>
            <a:ext uri="{FF2B5EF4-FFF2-40B4-BE49-F238E27FC236}">
              <a16:creationId xmlns:a16="http://schemas.microsoft.com/office/drawing/2014/main" id="{352A210D-B11D-4151-B84C-92F06F0B2B44}"/>
            </a:ext>
          </a:extLst>
        </xdr:cNvPr>
        <xdr:cNvCxnSpPr/>
      </xdr:nvCxnSpPr>
      <xdr:spPr>
        <a:xfrm flipV="1">
          <a:off x="3972117" y="7089251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3674</xdr:row>
      <xdr:rowOff>26102</xdr:rowOff>
    </xdr:from>
    <xdr:ext cx="1699468" cy="504272"/>
    <xdr:pic>
      <xdr:nvPicPr>
        <xdr:cNvPr id="752" name="Imagen 751">
          <a:extLst>
            <a:ext uri="{FF2B5EF4-FFF2-40B4-BE49-F238E27FC236}">
              <a16:creationId xmlns:a16="http://schemas.microsoft.com/office/drawing/2014/main" id="{208E81C7-0B58-46E8-A2DE-DCEE06E34B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17493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3674</xdr:row>
      <xdr:rowOff>309563</xdr:rowOff>
    </xdr:from>
    <xdr:to>
      <xdr:col>8</xdr:col>
      <xdr:colOff>494110</xdr:colOff>
      <xdr:row>3674</xdr:row>
      <xdr:rowOff>317462</xdr:rowOff>
    </xdr:to>
    <xdr:cxnSp macro="">
      <xdr:nvCxnSpPr>
        <xdr:cNvPr id="753" name="Conector recto 752">
          <a:extLst>
            <a:ext uri="{FF2B5EF4-FFF2-40B4-BE49-F238E27FC236}">
              <a16:creationId xmlns:a16="http://schemas.microsoft.com/office/drawing/2014/main" id="{167B4AB3-E3C8-4062-B7F4-1C2A71B6029D}"/>
            </a:ext>
          </a:extLst>
        </xdr:cNvPr>
        <xdr:cNvCxnSpPr/>
      </xdr:nvCxnSpPr>
      <xdr:spPr>
        <a:xfrm flipV="1">
          <a:off x="3972117" y="717777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3674</xdr:row>
      <xdr:rowOff>26102</xdr:rowOff>
    </xdr:from>
    <xdr:ext cx="1699468" cy="504272"/>
    <xdr:pic>
      <xdr:nvPicPr>
        <xdr:cNvPr id="754" name="Imagen 753">
          <a:extLst>
            <a:ext uri="{FF2B5EF4-FFF2-40B4-BE49-F238E27FC236}">
              <a16:creationId xmlns:a16="http://schemas.microsoft.com/office/drawing/2014/main" id="{BD9C7E79-9237-4544-AAD3-7241EC6AE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17493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3674</xdr:row>
      <xdr:rowOff>309563</xdr:rowOff>
    </xdr:from>
    <xdr:to>
      <xdr:col>8</xdr:col>
      <xdr:colOff>494110</xdr:colOff>
      <xdr:row>3674</xdr:row>
      <xdr:rowOff>317462</xdr:rowOff>
    </xdr:to>
    <xdr:cxnSp macro="">
      <xdr:nvCxnSpPr>
        <xdr:cNvPr id="755" name="Conector recto 754">
          <a:extLst>
            <a:ext uri="{FF2B5EF4-FFF2-40B4-BE49-F238E27FC236}">
              <a16:creationId xmlns:a16="http://schemas.microsoft.com/office/drawing/2014/main" id="{199B7517-008B-4FD8-A715-A7B88B9D8AC7}"/>
            </a:ext>
          </a:extLst>
        </xdr:cNvPr>
        <xdr:cNvCxnSpPr/>
      </xdr:nvCxnSpPr>
      <xdr:spPr>
        <a:xfrm flipV="1">
          <a:off x="3972117" y="717777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3674</xdr:row>
      <xdr:rowOff>26102</xdr:rowOff>
    </xdr:from>
    <xdr:ext cx="1699468" cy="504272"/>
    <xdr:pic>
      <xdr:nvPicPr>
        <xdr:cNvPr id="756" name="Imagen 755">
          <a:extLst>
            <a:ext uri="{FF2B5EF4-FFF2-40B4-BE49-F238E27FC236}">
              <a16:creationId xmlns:a16="http://schemas.microsoft.com/office/drawing/2014/main" id="{E0C16E3B-4EE7-4C2D-A0EA-6CD4AD434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17493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3674</xdr:row>
      <xdr:rowOff>309563</xdr:rowOff>
    </xdr:from>
    <xdr:to>
      <xdr:col>8</xdr:col>
      <xdr:colOff>494110</xdr:colOff>
      <xdr:row>3674</xdr:row>
      <xdr:rowOff>317462</xdr:rowOff>
    </xdr:to>
    <xdr:cxnSp macro="">
      <xdr:nvCxnSpPr>
        <xdr:cNvPr id="757" name="Conector recto 756">
          <a:extLst>
            <a:ext uri="{FF2B5EF4-FFF2-40B4-BE49-F238E27FC236}">
              <a16:creationId xmlns:a16="http://schemas.microsoft.com/office/drawing/2014/main" id="{63F2BC7F-1029-48F1-BAE6-4B964E13C83E}"/>
            </a:ext>
          </a:extLst>
        </xdr:cNvPr>
        <xdr:cNvCxnSpPr/>
      </xdr:nvCxnSpPr>
      <xdr:spPr>
        <a:xfrm flipV="1">
          <a:off x="3972117" y="717777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3674</xdr:row>
      <xdr:rowOff>26102</xdr:rowOff>
    </xdr:from>
    <xdr:ext cx="1699468" cy="504272"/>
    <xdr:pic>
      <xdr:nvPicPr>
        <xdr:cNvPr id="758" name="Imagen 757">
          <a:extLst>
            <a:ext uri="{FF2B5EF4-FFF2-40B4-BE49-F238E27FC236}">
              <a16:creationId xmlns:a16="http://schemas.microsoft.com/office/drawing/2014/main" id="{C684E9B6-AB3A-416A-A129-595963FED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17493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3674</xdr:row>
      <xdr:rowOff>309563</xdr:rowOff>
    </xdr:from>
    <xdr:to>
      <xdr:col>8</xdr:col>
      <xdr:colOff>494110</xdr:colOff>
      <xdr:row>3674</xdr:row>
      <xdr:rowOff>317462</xdr:rowOff>
    </xdr:to>
    <xdr:cxnSp macro="">
      <xdr:nvCxnSpPr>
        <xdr:cNvPr id="759" name="Conector recto 758">
          <a:extLst>
            <a:ext uri="{FF2B5EF4-FFF2-40B4-BE49-F238E27FC236}">
              <a16:creationId xmlns:a16="http://schemas.microsoft.com/office/drawing/2014/main" id="{3761ADE8-F561-4638-9D64-2675CEED8093}"/>
            </a:ext>
          </a:extLst>
        </xdr:cNvPr>
        <xdr:cNvCxnSpPr/>
      </xdr:nvCxnSpPr>
      <xdr:spPr>
        <a:xfrm flipV="1">
          <a:off x="3972117" y="717777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3674</xdr:row>
      <xdr:rowOff>26102</xdr:rowOff>
    </xdr:from>
    <xdr:ext cx="1699468" cy="504272"/>
    <xdr:pic>
      <xdr:nvPicPr>
        <xdr:cNvPr id="760" name="Imagen 759">
          <a:extLst>
            <a:ext uri="{FF2B5EF4-FFF2-40B4-BE49-F238E27FC236}">
              <a16:creationId xmlns:a16="http://schemas.microsoft.com/office/drawing/2014/main" id="{8E2C0BC8-C08B-440C-AD4A-597C611B9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17493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3674</xdr:row>
      <xdr:rowOff>309563</xdr:rowOff>
    </xdr:from>
    <xdr:to>
      <xdr:col>8</xdr:col>
      <xdr:colOff>494110</xdr:colOff>
      <xdr:row>3674</xdr:row>
      <xdr:rowOff>317462</xdr:rowOff>
    </xdr:to>
    <xdr:cxnSp macro="">
      <xdr:nvCxnSpPr>
        <xdr:cNvPr id="761" name="Conector recto 760">
          <a:extLst>
            <a:ext uri="{FF2B5EF4-FFF2-40B4-BE49-F238E27FC236}">
              <a16:creationId xmlns:a16="http://schemas.microsoft.com/office/drawing/2014/main" id="{4F66A8E0-5689-4E5E-8887-B8760CD88D1B}"/>
            </a:ext>
          </a:extLst>
        </xdr:cNvPr>
        <xdr:cNvCxnSpPr/>
      </xdr:nvCxnSpPr>
      <xdr:spPr>
        <a:xfrm flipV="1">
          <a:off x="3972117" y="717777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3674</xdr:row>
      <xdr:rowOff>26102</xdr:rowOff>
    </xdr:from>
    <xdr:ext cx="1699468" cy="504272"/>
    <xdr:pic>
      <xdr:nvPicPr>
        <xdr:cNvPr id="762" name="Imagen 761">
          <a:extLst>
            <a:ext uri="{FF2B5EF4-FFF2-40B4-BE49-F238E27FC236}">
              <a16:creationId xmlns:a16="http://schemas.microsoft.com/office/drawing/2014/main" id="{CF480837-4D43-4991-A1FB-4C8024E00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17493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3674</xdr:row>
      <xdr:rowOff>309563</xdr:rowOff>
    </xdr:from>
    <xdr:to>
      <xdr:col>8</xdr:col>
      <xdr:colOff>494110</xdr:colOff>
      <xdr:row>3674</xdr:row>
      <xdr:rowOff>317462</xdr:rowOff>
    </xdr:to>
    <xdr:cxnSp macro="">
      <xdr:nvCxnSpPr>
        <xdr:cNvPr id="763" name="Conector recto 762">
          <a:extLst>
            <a:ext uri="{FF2B5EF4-FFF2-40B4-BE49-F238E27FC236}">
              <a16:creationId xmlns:a16="http://schemas.microsoft.com/office/drawing/2014/main" id="{B840CF3D-1D53-40B2-9B0D-FE00B8550658}"/>
            </a:ext>
          </a:extLst>
        </xdr:cNvPr>
        <xdr:cNvCxnSpPr/>
      </xdr:nvCxnSpPr>
      <xdr:spPr>
        <a:xfrm flipV="1">
          <a:off x="3972117" y="717777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3674</xdr:row>
      <xdr:rowOff>26102</xdr:rowOff>
    </xdr:from>
    <xdr:ext cx="1699468" cy="504272"/>
    <xdr:pic>
      <xdr:nvPicPr>
        <xdr:cNvPr id="764" name="Imagen 763">
          <a:extLst>
            <a:ext uri="{FF2B5EF4-FFF2-40B4-BE49-F238E27FC236}">
              <a16:creationId xmlns:a16="http://schemas.microsoft.com/office/drawing/2014/main" id="{19B75CD7-D8E7-4382-8D4D-00B367AD5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17493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3674</xdr:row>
      <xdr:rowOff>309563</xdr:rowOff>
    </xdr:from>
    <xdr:to>
      <xdr:col>8</xdr:col>
      <xdr:colOff>494110</xdr:colOff>
      <xdr:row>3674</xdr:row>
      <xdr:rowOff>317462</xdr:rowOff>
    </xdr:to>
    <xdr:cxnSp macro="">
      <xdr:nvCxnSpPr>
        <xdr:cNvPr id="765" name="Conector recto 764">
          <a:extLst>
            <a:ext uri="{FF2B5EF4-FFF2-40B4-BE49-F238E27FC236}">
              <a16:creationId xmlns:a16="http://schemas.microsoft.com/office/drawing/2014/main" id="{75339193-9050-4E28-B010-C99562C65743}"/>
            </a:ext>
          </a:extLst>
        </xdr:cNvPr>
        <xdr:cNvCxnSpPr/>
      </xdr:nvCxnSpPr>
      <xdr:spPr>
        <a:xfrm flipV="1">
          <a:off x="3972117" y="717777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3674</xdr:row>
      <xdr:rowOff>26102</xdr:rowOff>
    </xdr:from>
    <xdr:ext cx="1699468" cy="504272"/>
    <xdr:pic>
      <xdr:nvPicPr>
        <xdr:cNvPr id="766" name="Imagen 765">
          <a:extLst>
            <a:ext uri="{FF2B5EF4-FFF2-40B4-BE49-F238E27FC236}">
              <a16:creationId xmlns:a16="http://schemas.microsoft.com/office/drawing/2014/main" id="{114A5159-97F2-41A6-BF96-AFF57C274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174935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3674</xdr:row>
      <xdr:rowOff>309563</xdr:rowOff>
    </xdr:from>
    <xdr:to>
      <xdr:col>8</xdr:col>
      <xdr:colOff>494110</xdr:colOff>
      <xdr:row>3674</xdr:row>
      <xdr:rowOff>317462</xdr:rowOff>
    </xdr:to>
    <xdr:cxnSp macro="">
      <xdr:nvCxnSpPr>
        <xdr:cNvPr id="767" name="Conector recto 766">
          <a:extLst>
            <a:ext uri="{FF2B5EF4-FFF2-40B4-BE49-F238E27FC236}">
              <a16:creationId xmlns:a16="http://schemas.microsoft.com/office/drawing/2014/main" id="{08057ADF-EF4D-4316-BB8A-9C20B98B4B45}"/>
            </a:ext>
          </a:extLst>
        </xdr:cNvPr>
        <xdr:cNvCxnSpPr/>
      </xdr:nvCxnSpPr>
      <xdr:spPr>
        <a:xfrm flipV="1">
          <a:off x="3972117" y="7177770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3719</xdr:row>
      <xdr:rowOff>26102</xdr:rowOff>
    </xdr:from>
    <xdr:ext cx="1699468" cy="504272"/>
    <xdr:pic>
      <xdr:nvPicPr>
        <xdr:cNvPr id="768" name="Imagen 767">
          <a:extLst>
            <a:ext uri="{FF2B5EF4-FFF2-40B4-BE49-F238E27FC236}">
              <a16:creationId xmlns:a16="http://schemas.microsoft.com/office/drawing/2014/main" id="{E21C178A-A801-4665-A853-0C7ECC432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26345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3719</xdr:row>
      <xdr:rowOff>309563</xdr:rowOff>
    </xdr:from>
    <xdr:to>
      <xdr:col>8</xdr:col>
      <xdr:colOff>494110</xdr:colOff>
      <xdr:row>3719</xdr:row>
      <xdr:rowOff>317462</xdr:rowOff>
    </xdr:to>
    <xdr:cxnSp macro="">
      <xdr:nvCxnSpPr>
        <xdr:cNvPr id="769" name="Conector recto 768">
          <a:extLst>
            <a:ext uri="{FF2B5EF4-FFF2-40B4-BE49-F238E27FC236}">
              <a16:creationId xmlns:a16="http://schemas.microsoft.com/office/drawing/2014/main" id="{4E4D7363-CFCC-4932-80DC-BD9AA771F9F8}"/>
            </a:ext>
          </a:extLst>
        </xdr:cNvPr>
        <xdr:cNvCxnSpPr/>
      </xdr:nvCxnSpPr>
      <xdr:spPr>
        <a:xfrm flipV="1">
          <a:off x="3972117" y="726628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3719</xdr:row>
      <xdr:rowOff>26102</xdr:rowOff>
    </xdr:from>
    <xdr:ext cx="1699468" cy="504272"/>
    <xdr:pic>
      <xdr:nvPicPr>
        <xdr:cNvPr id="770" name="Imagen 769">
          <a:extLst>
            <a:ext uri="{FF2B5EF4-FFF2-40B4-BE49-F238E27FC236}">
              <a16:creationId xmlns:a16="http://schemas.microsoft.com/office/drawing/2014/main" id="{DEB6FEED-EE78-4E70-AB60-1D184CBB3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26345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3719</xdr:row>
      <xdr:rowOff>309563</xdr:rowOff>
    </xdr:from>
    <xdr:to>
      <xdr:col>8</xdr:col>
      <xdr:colOff>494110</xdr:colOff>
      <xdr:row>3719</xdr:row>
      <xdr:rowOff>317462</xdr:rowOff>
    </xdr:to>
    <xdr:cxnSp macro="">
      <xdr:nvCxnSpPr>
        <xdr:cNvPr id="771" name="Conector recto 770">
          <a:extLst>
            <a:ext uri="{FF2B5EF4-FFF2-40B4-BE49-F238E27FC236}">
              <a16:creationId xmlns:a16="http://schemas.microsoft.com/office/drawing/2014/main" id="{6C8514ED-FAB5-42AA-8D5A-7226F1F01E6F}"/>
            </a:ext>
          </a:extLst>
        </xdr:cNvPr>
        <xdr:cNvCxnSpPr/>
      </xdr:nvCxnSpPr>
      <xdr:spPr>
        <a:xfrm flipV="1">
          <a:off x="3972117" y="726628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3719</xdr:row>
      <xdr:rowOff>26102</xdr:rowOff>
    </xdr:from>
    <xdr:ext cx="1699468" cy="504272"/>
    <xdr:pic>
      <xdr:nvPicPr>
        <xdr:cNvPr id="772" name="Imagen 771">
          <a:extLst>
            <a:ext uri="{FF2B5EF4-FFF2-40B4-BE49-F238E27FC236}">
              <a16:creationId xmlns:a16="http://schemas.microsoft.com/office/drawing/2014/main" id="{E94E56BC-540A-4111-AC51-9D79DB6D48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26345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3719</xdr:row>
      <xdr:rowOff>309563</xdr:rowOff>
    </xdr:from>
    <xdr:to>
      <xdr:col>8</xdr:col>
      <xdr:colOff>494110</xdr:colOff>
      <xdr:row>3719</xdr:row>
      <xdr:rowOff>317462</xdr:rowOff>
    </xdr:to>
    <xdr:cxnSp macro="">
      <xdr:nvCxnSpPr>
        <xdr:cNvPr id="773" name="Conector recto 772">
          <a:extLst>
            <a:ext uri="{FF2B5EF4-FFF2-40B4-BE49-F238E27FC236}">
              <a16:creationId xmlns:a16="http://schemas.microsoft.com/office/drawing/2014/main" id="{D556B619-E6AA-472C-B9F6-BE81EF913AC5}"/>
            </a:ext>
          </a:extLst>
        </xdr:cNvPr>
        <xdr:cNvCxnSpPr/>
      </xdr:nvCxnSpPr>
      <xdr:spPr>
        <a:xfrm flipV="1">
          <a:off x="3972117" y="726628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3719</xdr:row>
      <xdr:rowOff>26102</xdr:rowOff>
    </xdr:from>
    <xdr:ext cx="1699468" cy="504272"/>
    <xdr:pic>
      <xdr:nvPicPr>
        <xdr:cNvPr id="774" name="Imagen 773">
          <a:extLst>
            <a:ext uri="{FF2B5EF4-FFF2-40B4-BE49-F238E27FC236}">
              <a16:creationId xmlns:a16="http://schemas.microsoft.com/office/drawing/2014/main" id="{2019AAA7-885D-46FD-8D3D-FF238CC5C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26345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3719</xdr:row>
      <xdr:rowOff>309563</xdr:rowOff>
    </xdr:from>
    <xdr:to>
      <xdr:col>8</xdr:col>
      <xdr:colOff>494110</xdr:colOff>
      <xdr:row>3719</xdr:row>
      <xdr:rowOff>317462</xdr:rowOff>
    </xdr:to>
    <xdr:cxnSp macro="">
      <xdr:nvCxnSpPr>
        <xdr:cNvPr id="775" name="Conector recto 774">
          <a:extLst>
            <a:ext uri="{FF2B5EF4-FFF2-40B4-BE49-F238E27FC236}">
              <a16:creationId xmlns:a16="http://schemas.microsoft.com/office/drawing/2014/main" id="{A38EBD11-C365-4A89-B15C-2E68621A71DB}"/>
            </a:ext>
          </a:extLst>
        </xdr:cNvPr>
        <xdr:cNvCxnSpPr/>
      </xdr:nvCxnSpPr>
      <xdr:spPr>
        <a:xfrm flipV="1">
          <a:off x="3972117" y="726628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3719</xdr:row>
      <xdr:rowOff>26102</xdr:rowOff>
    </xdr:from>
    <xdr:ext cx="1699468" cy="504272"/>
    <xdr:pic>
      <xdr:nvPicPr>
        <xdr:cNvPr id="776" name="Imagen 775">
          <a:extLst>
            <a:ext uri="{FF2B5EF4-FFF2-40B4-BE49-F238E27FC236}">
              <a16:creationId xmlns:a16="http://schemas.microsoft.com/office/drawing/2014/main" id="{2D6D2400-142B-4832-B514-6BFD7A677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26345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3719</xdr:row>
      <xdr:rowOff>309563</xdr:rowOff>
    </xdr:from>
    <xdr:to>
      <xdr:col>8</xdr:col>
      <xdr:colOff>494110</xdr:colOff>
      <xdr:row>3719</xdr:row>
      <xdr:rowOff>317462</xdr:rowOff>
    </xdr:to>
    <xdr:cxnSp macro="">
      <xdr:nvCxnSpPr>
        <xdr:cNvPr id="777" name="Conector recto 776">
          <a:extLst>
            <a:ext uri="{FF2B5EF4-FFF2-40B4-BE49-F238E27FC236}">
              <a16:creationId xmlns:a16="http://schemas.microsoft.com/office/drawing/2014/main" id="{47AFB291-85E7-4CC1-A347-A266A0C7F84B}"/>
            </a:ext>
          </a:extLst>
        </xdr:cNvPr>
        <xdr:cNvCxnSpPr/>
      </xdr:nvCxnSpPr>
      <xdr:spPr>
        <a:xfrm flipV="1">
          <a:off x="3972117" y="726628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3719</xdr:row>
      <xdr:rowOff>26102</xdr:rowOff>
    </xdr:from>
    <xdr:ext cx="1699468" cy="504272"/>
    <xdr:pic>
      <xdr:nvPicPr>
        <xdr:cNvPr id="778" name="Imagen 777">
          <a:extLst>
            <a:ext uri="{FF2B5EF4-FFF2-40B4-BE49-F238E27FC236}">
              <a16:creationId xmlns:a16="http://schemas.microsoft.com/office/drawing/2014/main" id="{E2BF3C5A-7FD4-46B7-8F6A-21026FE28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26345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3719</xdr:row>
      <xdr:rowOff>309563</xdr:rowOff>
    </xdr:from>
    <xdr:to>
      <xdr:col>8</xdr:col>
      <xdr:colOff>494110</xdr:colOff>
      <xdr:row>3719</xdr:row>
      <xdr:rowOff>317462</xdr:rowOff>
    </xdr:to>
    <xdr:cxnSp macro="">
      <xdr:nvCxnSpPr>
        <xdr:cNvPr id="779" name="Conector recto 778">
          <a:extLst>
            <a:ext uri="{FF2B5EF4-FFF2-40B4-BE49-F238E27FC236}">
              <a16:creationId xmlns:a16="http://schemas.microsoft.com/office/drawing/2014/main" id="{A95493C0-650D-49D5-8595-FA260F4B5777}"/>
            </a:ext>
          </a:extLst>
        </xdr:cNvPr>
        <xdr:cNvCxnSpPr/>
      </xdr:nvCxnSpPr>
      <xdr:spPr>
        <a:xfrm flipV="1">
          <a:off x="3972117" y="726628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3719</xdr:row>
      <xdr:rowOff>26102</xdr:rowOff>
    </xdr:from>
    <xdr:ext cx="1699468" cy="504272"/>
    <xdr:pic>
      <xdr:nvPicPr>
        <xdr:cNvPr id="780" name="Imagen 779">
          <a:extLst>
            <a:ext uri="{FF2B5EF4-FFF2-40B4-BE49-F238E27FC236}">
              <a16:creationId xmlns:a16="http://schemas.microsoft.com/office/drawing/2014/main" id="{BE8ECF02-63BE-41AB-888A-DAB7997D6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26345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3719</xdr:row>
      <xdr:rowOff>309563</xdr:rowOff>
    </xdr:from>
    <xdr:to>
      <xdr:col>8</xdr:col>
      <xdr:colOff>494110</xdr:colOff>
      <xdr:row>3719</xdr:row>
      <xdr:rowOff>317462</xdr:rowOff>
    </xdr:to>
    <xdr:cxnSp macro="">
      <xdr:nvCxnSpPr>
        <xdr:cNvPr id="781" name="Conector recto 780">
          <a:extLst>
            <a:ext uri="{FF2B5EF4-FFF2-40B4-BE49-F238E27FC236}">
              <a16:creationId xmlns:a16="http://schemas.microsoft.com/office/drawing/2014/main" id="{81B5FAD8-F873-4302-B8E6-9E3523923A15}"/>
            </a:ext>
          </a:extLst>
        </xdr:cNvPr>
        <xdr:cNvCxnSpPr/>
      </xdr:nvCxnSpPr>
      <xdr:spPr>
        <a:xfrm flipV="1">
          <a:off x="3972117" y="726628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3719</xdr:row>
      <xdr:rowOff>26102</xdr:rowOff>
    </xdr:from>
    <xdr:ext cx="1699468" cy="504272"/>
    <xdr:pic>
      <xdr:nvPicPr>
        <xdr:cNvPr id="782" name="Imagen 781">
          <a:extLst>
            <a:ext uri="{FF2B5EF4-FFF2-40B4-BE49-F238E27FC236}">
              <a16:creationId xmlns:a16="http://schemas.microsoft.com/office/drawing/2014/main" id="{2FD8AF2E-7853-4E9D-9BCF-EE8FA8648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263454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3719</xdr:row>
      <xdr:rowOff>309563</xdr:rowOff>
    </xdr:from>
    <xdr:to>
      <xdr:col>8</xdr:col>
      <xdr:colOff>494110</xdr:colOff>
      <xdr:row>3719</xdr:row>
      <xdr:rowOff>317462</xdr:rowOff>
    </xdr:to>
    <xdr:cxnSp macro="">
      <xdr:nvCxnSpPr>
        <xdr:cNvPr id="783" name="Conector recto 782">
          <a:extLst>
            <a:ext uri="{FF2B5EF4-FFF2-40B4-BE49-F238E27FC236}">
              <a16:creationId xmlns:a16="http://schemas.microsoft.com/office/drawing/2014/main" id="{9B65E556-69E3-4B05-88B8-46FE1C672452}"/>
            </a:ext>
          </a:extLst>
        </xdr:cNvPr>
        <xdr:cNvCxnSpPr/>
      </xdr:nvCxnSpPr>
      <xdr:spPr>
        <a:xfrm flipV="1">
          <a:off x="3972117" y="7266289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3764</xdr:row>
      <xdr:rowOff>26102</xdr:rowOff>
    </xdr:from>
    <xdr:ext cx="1699468" cy="504272"/>
    <xdr:pic>
      <xdr:nvPicPr>
        <xdr:cNvPr id="784" name="Imagen 783">
          <a:extLst>
            <a:ext uri="{FF2B5EF4-FFF2-40B4-BE49-F238E27FC236}">
              <a16:creationId xmlns:a16="http://schemas.microsoft.com/office/drawing/2014/main" id="{DF0CCCD1-F670-4225-BE9A-75EC61945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35197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3764</xdr:row>
      <xdr:rowOff>309563</xdr:rowOff>
    </xdr:from>
    <xdr:to>
      <xdr:col>8</xdr:col>
      <xdr:colOff>494110</xdr:colOff>
      <xdr:row>3764</xdr:row>
      <xdr:rowOff>317462</xdr:rowOff>
    </xdr:to>
    <xdr:cxnSp macro="">
      <xdr:nvCxnSpPr>
        <xdr:cNvPr id="785" name="Conector recto 784">
          <a:extLst>
            <a:ext uri="{FF2B5EF4-FFF2-40B4-BE49-F238E27FC236}">
              <a16:creationId xmlns:a16="http://schemas.microsoft.com/office/drawing/2014/main" id="{0BA8B4E8-7A21-464E-9C1C-D1692613AFD0}"/>
            </a:ext>
          </a:extLst>
        </xdr:cNvPr>
        <xdr:cNvCxnSpPr/>
      </xdr:nvCxnSpPr>
      <xdr:spPr>
        <a:xfrm flipV="1">
          <a:off x="3972117" y="735480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3764</xdr:row>
      <xdr:rowOff>26102</xdr:rowOff>
    </xdr:from>
    <xdr:ext cx="1699468" cy="504272"/>
    <xdr:pic>
      <xdr:nvPicPr>
        <xdr:cNvPr id="786" name="Imagen 785">
          <a:extLst>
            <a:ext uri="{FF2B5EF4-FFF2-40B4-BE49-F238E27FC236}">
              <a16:creationId xmlns:a16="http://schemas.microsoft.com/office/drawing/2014/main" id="{505FD0C5-A887-43C8-BEF6-20264745F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35197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3764</xdr:row>
      <xdr:rowOff>309563</xdr:rowOff>
    </xdr:from>
    <xdr:to>
      <xdr:col>8</xdr:col>
      <xdr:colOff>494110</xdr:colOff>
      <xdr:row>3764</xdr:row>
      <xdr:rowOff>317462</xdr:rowOff>
    </xdr:to>
    <xdr:cxnSp macro="">
      <xdr:nvCxnSpPr>
        <xdr:cNvPr id="787" name="Conector recto 786">
          <a:extLst>
            <a:ext uri="{FF2B5EF4-FFF2-40B4-BE49-F238E27FC236}">
              <a16:creationId xmlns:a16="http://schemas.microsoft.com/office/drawing/2014/main" id="{35F94E4D-67E6-48D7-8310-EC23D6083EA3}"/>
            </a:ext>
          </a:extLst>
        </xdr:cNvPr>
        <xdr:cNvCxnSpPr/>
      </xdr:nvCxnSpPr>
      <xdr:spPr>
        <a:xfrm flipV="1">
          <a:off x="3972117" y="735480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3764</xdr:row>
      <xdr:rowOff>26102</xdr:rowOff>
    </xdr:from>
    <xdr:ext cx="1699468" cy="504272"/>
    <xdr:pic>
      <xdr:nvPicPr>
        <xdr:cNvPr id="788" name="Imagen 787">
          <a:extLst>
            <a:ext uri="{FF2B5EF4-FFF2-40B4-BE49-F238E27FC236}">
              <a16:creationId xmlns:a16="http://schemas.microsoft.com/office/drawing/2014/main" id="{99282131-B075-4CFC-A590-2DFB183AB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35197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3764</xdr:row>
      <xdr:rowOff>309563</xdr:rowOff>
    </xdr:from>
    <xdr:to>
      <xdr:col>8</xdr:col>
      <xdr:colOff>494110</xdr:colOff>
      <xdr:row>3764</xdr:row>
      <xdr:rowOff>317462</xdr:rowOff>
    </xdr:to>
    <xdr:cxnSp macro="">
      <xdr:nvCxnSpPr>
        <xdr:cNvPr id="789" name="Conector recto 788">
          <a:extLst>
            <a:ext uri="{FF2B5EF4-FFF2-40B4-BE49-F238E27FC236}">
              <a16:creationId xmlns:a16="http://schemas.microsoft.com/office/drawing/2014/main" id="{1D6774F1-2A68-491A-B92E-2219E8FBB9E6}"/>
            </a:ext>
          </a:extLst>
        </xdr:cNvPr>
        <xdr:cNvCxnSpPr/>
      </xdr:nvCxnSpPr>
      <xdr:spPr>
        <a:xfrm flipV="1">
          <a:off x="3972117" y="735480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3764</xdr:row>
      <xdr:rowOff>26102</xdr:rowOff>
    </xdr:from>
    <xdr:ext cx="1699468" cy="504272"/>
    <xdr:pic>
      <xdr:nvPicPr>
        <xdr:cNvPr id="790" name="Imagen 789">
          <a:extLst>
            <a:ext uri="{FF2B5EF4-FFF2-40B4-BE49-F238E27FC236}">
              <a16:creationId xmlns:a16="http://schemas.microsoft.com/office/drawing/2014/main" id="{1283AF75-B129-4F8E-A62F-9EE873E067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35197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3764</xdr:row>
      <xdr:rowOff>309563</xdr:rowOff>
    </xdr:from>
    <xdr:to>
      <xdr:col>8</xdr:col>
      <xdr:colOff>494110</xdr:colOff>
      <xdr:row>3764</xdr:row>
      <xdr:rowOff>317462</xdr:rowOff>
    </xdr:to>
    <xdr:cxnSp macro="">
      <xdr:nvCxnSpPr>
        <xdr:cNvPr id="791" name="Conector recto 790">
          <a:extLst>
            <a:ext uri="{FF2B5EF4-FFF2-40B4-BE49-F238E27FC236}">
              <a16:creationId xmlns:a16="http://schemas.microsoft.com/office/drawing/2014/main" id="{CD6AD63D-1855-49A5-9CAA-A0DB8E92D0F6}"/>
            </a:ext>
          </a:extLst>
        </xdr:cNvPr>
        <xdr:cNvCxnSpPr/>
      </xdr:nvCxnSpPr>
      <xdr:spPr>
        <a:xfrm flipV="1">
          <a:off x="3972117" y="735480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3764</xdr:row>
      <xdr:rowOff>26102</xdr:rowOff>
    </xdr:from>
    <xdr:ext cx="1699468" cy="504272"/>
    <xdr:pic>
      <xdr:nvPicPr>
        <xdr:cNvPr id="792" name="Imagen 791">
          <a:extLst>
            <a:ext uri="{FF2B5EF4-FFF2-40B4-BE49-F238E27FC236}">
              <a16:creationId xmlns:a16="http://schemas.microsoft.com/office/drawing/2014/main" id="{8226500E-5794-4FD6-B1A7-2D71B64C3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35197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3764</xdr:row>
      <xdr:rowOff>309563</xdr:rowOff>
    </xdr:from>
    <xdr:to>
      <xdr:col>8</xdr:col>
      <xdr:colOff>494110</xdr:colOff>
      <xdr:row>3764</xdr:row>
      <xdr:rowOff>317462</xdr:rowOff>
    </xdr:to>
    <xdr:cxnSp macro="">
      <xdr:nvCxnSpPr>
        <xdr:cNvPr id="793" name="Conector recto 792">
          <a:extLst>
            <a:ext uri="{FF2B5EF4-FFF2-40B4-BE49-F238E27FC236}">
              <a16:creationId xmlns:a16="http://schemas.microsoft.com/office/drawing/2014/main" id="{9D8E9D23-9738-4A76-9BB8-5FC86B433955}"/>
            </a:ext>
          </a:extLst>
        </xdr:cNvPr>
        <xdr:cNvCxnSpPr/>
      </xdr:nvCxnSpPr>
      <xdr:spPr>
        <a:xfrm flipV="1">
          <a:off x="3972117" y="735480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3764</xdr:row>
      <xdr:rowOff>26102</xdr:rowOff>
    </xdr:from>
    <xdr:ext cx="1699468" cy="504272"/>
    <xdr:pic>
      <xdr:nvPicPr>
        <xdr:cNvPr id="794" name="Imagen 793">
          <a:extLst>
            <a:ext uri="{FF2B5EF4-FFF2-40B4-BE49-F238E27FC236}">
              <a16:creationId xmlns:a16="http://schemas.microsoft.com/office/drawing/2014/main" id="{5F2CFC12-FC86-41C5-93D1-329C0173D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35197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3764</xdr:row>
      <xdr:rowOff>309563</xdr:rowOff>
    </xdr:from>
    <xdr:to>
      <xdr:col>8</xdr:col>
      <xdr:colOff>494110</xdr:colOff>
      <xdr:row>3764</xdr:row>
      <xdr:rowOff>317462</xdr:rowOff>
    </xdr:to>
    <xdr:cxnSp macro="">
      <xdr:nvCxnSpPr>
        <xdr:cNvPr id="795" name="Conector recto 794">
          <a:extLst>
            <a:ext uri="{FF2B5EF4-FFF2-40B4-BE49-F238E27FC236}">
              <a16:creationId xmlns:a16="http://schemas.microsoft.com/office/drawing/2014/main" id="{30367D36-A75F-498A-B572-7B3436FAB0DA}"/>
            </a:ext>
          </a:extLst>
        </xdr:cNvPr>
        <xdr:cNvCxnSpPr/>
      </xdr:nvCxnSpPr>
      <xdr:spPr>
        <a:xfrm flipV="1">
          <a:off x="3972117" y="735480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3764</xdr:row>
      <xdr:rowOff>26102</xdr:rowOff>
    </xdr:from>
    <xdr:ext cx="1699468" cy="504272"/>
    <xdr:pic>
      <xdr:nvPicPr>
        <xdr:cNvPr id="796" name="Imagen 795">
          <a:extLst>
            <a:ext uri="{FF2B5EF4-FFF2-40B4-BE49-F238E27FC236}">
              <a16:creationId xmlns:a16="http://schemas.microsoft.com/office/drawing/2014/main" id="{C825605C-6073-4C01-A7F5-38B842ED3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35197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3764</xdr:row>
      <xdr:rowOff>309563</xdr:rowOff>
    </xdr:from>
    <xdr:to>
      <xdr:col>8</xdr:col>
      <xdr:colOff>494110</xdr:colOff>
      <xdr:row>3764</xdr:row>
      <xdr:rowOff>317462</xdr:rowOff>
    </xdr:to>
    <xdr:cxnSp macro="">
      <xdr:nvCxnSpPr>
        <xdr:cNvPr id="797" name="Conector recto 796">
          <a:extLst>
            <a:ext uri="{FF2B5EF4-FFF2-40B4-BE49-F238E27FC236}">
              <a16:creationId xmlns:a16="http://schemas.microsoft.com/office/drawing/2014/main" id="{A9CD4FA6-85E7-4D0B-9147-B52DBC84B873}"/>
            </a:ext>
          </a:extLst>
        </xdr:cNvPr>
        <xdr:cNvCxnSpPr/>
      </xdr:nvCxnSpPr>
      <xdr:spPr>
        <a:xfrm flipV="1">
          <a:off x="3972117" y="735480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3764</xdr:row>
      <xdr:rowOff>26102</xdr:rowOff>
    </xdr:from>
    <xdr:ext cx="1699468" cy="504272"/>
    <xdr:pic>
      <xdr:nvPicPr>
        <xdr:cNvPr id="798" name="Imagen 797">
          <a:extLst>
            <a:ext uri="{FF2B5EF4-FFF2-40B4-BE49-F238E27FC236}">
              <a16:creationId xmlns:a16="http://schemas.microsoft.com/office/drawing/2014/main" id="{7D592E48-F8AF-416C-8CD2-62F737441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351973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3764</xdr:row>
      <xdr:rowOff>309563</xdr:rowOff>
    </xdr:from>
    <xdr:to>
      <xdr:col>8</xdr:col>
      <xdr:colOff>494110</xdr:colOff>
      <xdr:row>3764</xdr:row>
      <xdr:rowOff>317462</xdr:rowOff>
    </xdr:to>
    <xdr:cxnSp macro="">
      <xdr:nvCxnSpPr>
        <xdr:cNvPr id="799" name="Conector recto 798">
          <a:extLst>
            <a:ext uri="{FF2B5EF4-FFF2-40B4-BE49-F238E27FC236}">
              <a16:creationId xmlns:a16="http://schemas.microsoft.com/office/drawing/2014/main" id="{43555888-332F-497F-B737-93514B4FF7DF}"/>
            </a:ext>
          </a:extLst>
        </xdr:cNvPr>
        <xdr:cNvCxnSpPr/>
      </xdr:nvCxnSpPr>
      <xdr:spPr>
        <a:xfrm flipV="1">
          <a:off x="3972117" y="7354808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3809</xdr:row>
      <xdr:rowOff>26102</xdr:rowOff>
    </xdr:from>
    <xdr:ext cx="1699468" cy="504272"/>
    <xdr:pic>
      <xdr:nvPicPr>
        <xdr:cNvPr id="800" name="Imagen 799">
          <a:extLst>
            <a:ext uri="{FF2B5EF4-FFF2-40B4-BE49-F238E27FC236}">
              <a16:creationId xmlns:a16="http://schemas.microsoft.com/office/drawing/2014/main" id="{27C9B28D-062A-491B-83FB-88D8FD501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44049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3809</xdr:row>
      <xdr:rowOff>309563</xdr:rowOff>
    </xdr:from>
    <xdr:to>
      <xdr:col>8</xdr:col>
      <xdr:colOff>494110</xdr:colOff>
      <xdr:row>3809</xdr:row>
      <xdr:rowOff>317462</xdr:rowOff>
    </xdr:to>
    <xdr:cxnSp macro="">
      <xdr:nvCxnSpPr>
        <xdr:cNvPr id="801" name="Conector recto 800">
          <a:extLst>
            <a:ext uri="{FF2B5EF4-FFF2-40B4-BE49-F238E27FC236}">
              <a16:creationId xmlns:a16="http://schemas.microsoft.com/office/drawing/2014/main" id="{8AD49F79-D29E-43D1-97B6-6DEB4DFA3533}"/>
            </a:ext>
          </a:extLst>
        </xdr:cNvPr>
        <xdr:cNvCxnSpPr/>
      </xdr:nvCxnSpPr>
      <xdr:spPr>
        <a:xfrm flipV="1">
          <a:off x="3972117" y="744332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3809</xdr:row>
      <xdr:rowOff>26102</xdr:rowOff>
    </xdr:from>
    <xdr:ext cx="1699468" cy="504272"/>
    <xdr:pic>
      <xdr:nvPicPr>
        <xdr:cNvPr id="802" name="Imagen 801">
          <a:extLst>
            <a:ext uri="{FF2B5EF4-FFF2-40B4-BE49-F238E27FC236}">
              <a16:creationId xmlns:a16="http://schemas.microsoft.com/office/drawing/2014/main" id="{9D4D3BDB-DD29-4ED0-AF33-F2C1231AD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44049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3809</xdr:row>
      <xdr:rowOff>309563</xdr:rowOff>
    </xdr:from>
    <xdr:to>
      <xdr:col>8</xdr:col>
      <xdr:colOff>494110</xdr:colOff>
      <xdr:row>3809</xdr:row>
      <xdr:rowOff>317462</xdr:rowOff>
    </xdr:to>
    <xdr:cxnSp macro="">
      <xdr:nvCxnSpPr>
        <xdr:cNvPr id="803" name="Conector recto 802">
          <a:extLst>
            <a:ext uri="{FF2B5EF4-FFF2-40B4-BE49-F238E27FC236}">
              <a16:creationId xmlns:a16="http://schemas.microsoft.com/office/drawing/2014/main" id="{9390269C-9B11-4979-B329-BDDB4454C008}"/>
            </a:ext>
          </a:extLst>
        </xdr:cNvPr>
        <xdr:cNvCxnSpPr/>
      </xdr:nvCxnSpPr>
      <xdr:spPr>
        <a:xfrm flipV="1">
          <a:off x="3972117" y="744332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3809</xdr:row>
      <xdr:rowOff>26102</xdr:rowOff>
    </xdr:from>
    <xdr:ext cx="1699468" cy="504272"/>
    <xdr:pic>
      <xdr:nvPicPr>
        <xdr:cNvPr id="804" name="Imagen 803">
          <a:extLst>
            <a:ext uri="{FF2B5EF4-FFF2-40B4-BE49-F238E27FC236}">
              <a16:creationId xmlns:a16="http://schemas.microsoft.com/office/drawing/2014/main" id="{D7725DCA-4C2B-4CE4-ABCE-AE96475D7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44049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3809</xdr:row>
      <xdr:rowOff>309563</xdr:rowOff>
    </xdr:from>
    <xdr:to>
      <xdr:col>8</xdr:col>
      <xdr:colOff>494110</xdr:colOff>
      <xdr:row>3809</xdr:row>
      <xdr:rowOff>317462</xdr:rowOff>
    </xdr:to>
    <xdr:cxnSp macro="">
      <xdr:nvCxnSpPr>
        <xdr:cNvPr id="805" name="Conector recto 804">
          <a:extLst>
            <a:ext uri="{FF2B5EF4-FFF2-40B4-BE49-F238E27FC236}">
              <a16:creationId xmlns:a16="http://schemas.microsoft.com/office/drawing/2014/main" id="{502A5350-7B19-4D78-ABE5-1DD84696D7F9}"/>
            </a:ext>
          </a:extLst>
        </xdr:cNvPr>
        <xdr:cNvCxnSpPr/>
      </xdr:nvCxnSpPr>
      <xdr:spPr>
        <a:xfrm flipV="1">
          <a:off x="3972117" y="744332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3809</xdr:row>
      <xdr:rowOff>26102</xdr:rowOff>
    </xdr:from>
    <xdr:ext cx="1699468" cy="504272"/>
    <xdr:pic>
      <xdr:nvPicPr>
        <xdr:cNvPr id="806" name="Imagen 805">
          <a:extLst>
            <a:ext uri="{FF2B5EF4-FFF2-40B4-BE49-F238E27FC236}">
              <a16:creationId xmlns:a16="http://schemas.microsoft.com/office/drawing/2014/main" id="{49DF4D7E-EFED-48F7-8319-6A989B8C2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44049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3809</xdr:row>
      <xdr:rowOff>309563</xdr:rowOff>
    </xdr:from>
    <xdr:to>
      <xdr:col>8</xdr:col>
      <xdr:colOff>494110</xdr:colOff>
      <xdr:row>3809</xdr:row>
      <xdr:rowOff>317462</xdr:rowOff>
    </xdr:to>
    <xdr:cxnSp macro="">
      <xdr:nvCxnSpPr>
        <xdr:cNvPr id="807" name="Conector recto 806">
          <a:extLst>
            <a:ext uri="{FF2B5EF4-FFF2-40B4-BE49-F238E27FC236}">
              <a16:creationId xmlns:a16="http://schemas.microsoft.com/office/drawing/2014/main" id="{C0BE0139-DCF9-4FF0-B666-29376D8517E3}"/>
            </a:ext>
          </a:extLst>
        </xdr:cNvPr>
        <xdr:cNvCxnSpPr/>
      </xdr:nvCxnSpPr>
      <xdr:spPr>
        <a:xfrm flipV="1">
          <a:off x="3972117" y="744332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3809</xdr:row>
      <xdr:rowOff>26102</xdr:rowOff>
    </xdr:from>
    <xdr:ext cx="1699468" cy="504272"/>
    <xdr:pic>
      <xdr:nvPicPr>
        <xdr:cNvPr id="808" name="Imagen 807">
          <a:extLst>
            <a:ext uri="{FF2B5EF4-FFF2-40B4-BE49-F238E27FC236}">
              <a16:creationId xmlns:a16="http://schemas.microsoft.com/office/drawing/2014/main" id="{BA66BACB-D7E4-4155-B04A-6687D4DE4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44049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3809</xdr:row>
      <xdr:rowOff>309563</xdr:rowOff>
    </xdr:from>
    <xdr:to>
      <xdr:col>8</xdr:col>
      <xdr:colOff>494110</xdr:colOff>
      <xdr:row>3809</xdr:row>
      <xdr:rowOff>317462</xdr:rowOff>
    </xdr:to>
    <xdr:cxnSp macro="">
      <xdr:nvCxnSpPr>
        <xdr:cNvPr id="809" name="Conector recto 808">
          <a:extLst>
            <a:ext uri="{FF2B5EF4-FFF2-40B4-BE49-F238E27FC236}">
              <a16:creationId xmlns:a16="http://schemas.microsoft.com/office/drawing/2014/main" id="{EBE45D66-A50B-4F39-BC10-B0FFB51234AC}"/>
            </a:ext>
          </a:extLst>
        </xdr:cNvPr>
        <xdr:cNvCxnSpPr/>
      </xdr:nvCxnSpPr>
      <xdr:spPr>
        <a:xfrm flipV="1">
          <a:off x="3972117" y="744332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3809</xdr:row>
      <xdr:rowOff>26102</xdr:rowOff>
    </xdr:from>
    <xdr:ext cx="1699468" cy="504272"/>
    <xdr:pic>
      <xdr:nvPicPr>
        <xdr:cNvPr id="810" name="Imagen 809">
          <a:extLst>
            <a:ext uri="{FF2B5EF4-FFF2-40B4-BE49-F238E27FC236}">
              <a16:creationId xmlns:a16="http://schemas.microsoft.com/office/drawing/2014/main" id="{0EB7EA8A-C8E4-4109-BE8D-DD9421C11C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44049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3809</xdr:row>
      <xdr:rowOff>309563</xdr:rowOff>
    </xdr:from>
    <xdr:to>
      <xdr:col>8</xdr:col>
      <xdr:colOff>494110</xdr:colOff>
      <xdr:row>3809</xdr:row>
      <xdr:rowOff>317462</xdr:rowOff>
    </xdr:to>
    <xdr:cxnSp macro="">
      <xdr:nvCxnSpPr>
        <xdr:cNvPr id="811" name="Conector recto 810">
          <a:extLst>
            <a:ext uri="{FF2B5EF4-FFF2-40B4-BE49-F238E27FC236}">
              <a16:creationId xmlns:a16="http://schemas.microsoft.com/office/drawing/2014/main" id="{3B524035-2FBB-4A8F-B6CA-1E3FD23E8B0D}"/>
            </a:ext>
          </a:extLst>
        </xdr:cNvPr>
        <xdr:cNvCxnSpPr/>
      </xdr:nvCxnSpPr>
      <xdr:spPr>
        <a:xfrm flipV="1">
          <a:off x="3972117" y="744332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3809</xdr:row>
      <xdr:rowOff>26102</xdr:rowOff>
    </xdr:from>
    <xdr:ext cx="1699468" cy="504272"/>
    <xdr:pic>
      <xdr:nvPicPr>
        <xdr:cNvPr id="812" name="Imagen 811">
          <a:extLst>
            <a:ext uri="{FF2B5EF4-FFF2-40B4-BE49-F238E27FC236}">
              <a16:creationId xmlns:a16="http://schemas.microsoft.com/office/drawing/2014/main" id="{BEA637BD-FF82-4DB8-86E6-4EABEB0D4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44049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3809</xdr:row>
      <xdr:rowOff>309563</xdr:rowOff>
    </xdr:from>
    <xdr:to>
      <xdr:col>8</xdr:col>
      <xdr:colOff>494110</xdr:colOff>
      <xdr:row>3809</xdr:row>
      <xdr:rowOff>317462</xdr:rowOff>
    </xdr:to>
    <xdr:cxnSp macro="">
      <xdr:nvCxnSpPr>
        <xdr:cNvPr id="813" name="Conector recto 812">
          <a:extLst>
            <a:ext uri="{FF2B5EF4-FFF2-40B4-BE49-F238E27FC236}">
              <a16:creationId xmlns:a16="http://schemas.microsoft.com/office/drawing/2014/main" id="{D1F40781-18DC-4B82-9410-0753824A2A55}"/>
            </a:ext>
          </a:extLst>
        </xdr:cNvPr>
        <xdr:cNvCxnSpPr/>
      </xdr:nvCxnSpPr>
      <xdr:spPr>
        <a:xfrm flipV="1">
          <a:off x="3972117" y="744332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3809</xdr:row>
      <xdr:rowOff>26102</xdr:rowOff>
    </xdr:from>
    <xdr:ext cx="1699468" cy="504272"/>
    <xdr:pic>
      <xdr:nvPicPr>
        <xdr:cNvPr id="814" name="Imagen 813">
          <a:extLst>
            <a:ext uri="{FF2B5EF4-FFF2-40B4-BE49-F238E27FC236}">
              <a16:creationId xmlns:a16="http://schemas.microsoft.com/office/drawing/2014/main" id="{D951CF26-FD0C-4964-8C28-EE744DDFA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440492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3809</xdr:row>
      <xdr:rowOff>309563</xdr:rowOff>
    </xdr:from>
    <xdr:to>
      <xdr:col>8</xdr:col>
      <xdr:colOff>494110</xdr:colOff>
      <xdr:row>3809</xdr:row>
      <xdr:rowOff>317462</xdr:rowOff>
    </xdr:to>
    <xdr:cxnSp macro="">
      <xdr:nvCxnSpPr>
        <xdr:cNvPr id="815" name="Conector recto 814">
          <a:extLst>
            <a:ext uri="{FF2B5EF4-FFF2-40B4-BE49-F238E27FC236}">
              <a16:creationId xmlns:a16="http://schemas.microsoft.com/office/drawing/2014/main" id="{654AE3A6-36A5-40A3-9F37-35A04324382B}"/>
            </a:ext>
          </a:extLst>
        </xdr:cNvPr>
        <xdr:cNvCxnSpPr/>
      </xdr:nvCxnSpPr>
      <xdr:spPr>
        <a:xfrm flipV="1">
          <a:off x="3972117" y="7443327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3854</xdr:row>
      <xdr:rowOff>26102</xdr:rowOff>
    </xdr:from>
    <xdr:ext cx="1699468" cy="504272"/>
    <xdr:pic>
      <xdr:nvPicPr>
        <xdr:cNvPr id="816" name="Imagen 815">
          <a:extLst>
            <a:ext uri="{FF2B5EF4-FFF2-40B4-BE49-F238E27FC236}">
              <a16:creationId xmlns:a16="http://schemas.microsoft.com/office/drawing/2014/main" id="{8FCC89A7-8E48-462D-9B07-A48A54819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52901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3854</xdr:row>
      <xdr:rowOff>309563</xdr:rowOff>
    </xdr:from>
    <xdr:to>
      <xdr:col>8</xdr:col>
      <xdr:colOff>494110</xdr:colOff>
      <xdr:row>3854</xdr:row>
      <xdr:rowOff>317462</xdr:rowOff>
    </xdr:to>
    <xdr:cxnSp macro="">
      <xdr:nvCxnSpPr>
        <xdr:cNvPr id="817" name="Conector recto 816">
          <a:extLst>
            <a:ext uri="{FF2B5EF4-FFF2-40B4-BE49-F238E27FC236}">
              <a16:creationId xmlns:a16="http://schemas.microsoft.com/office/drawing/2014/main" id="{4B71ED98-51DD-407F-B690-33733D92F157}"/>
            </a:ext>
          </a:extLst>
        </xdr:cNvPr>
        <xdr:cNvCxnSpPr/>
      </xdr:nvCxnSpPr>
      <xdr:spPr>
        <a:xfrm flipV="1">
          <a:off x="3972117" y="753184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3854</xdr:row>
      <xdr:rowOff>26102</xdr:rowOff>
    </xdr:from>
    <xdr:ext cx="1699468" cy="504272"/>
    <xdr:pic>
      <xdr:nvPicPr>
        <xdr:cNvPr id="818" name="Imagen 817">
          <a:extLst>
            <a:ext uri="{FF2B5EF4-FFF2-40B4-BE49-F238E27FC236}">
              <a16:creationId xmlns:a16="http://schemas.microsoft.com/office/drawing/2014/main" id="{F7F3316B-58F8-4397-92E4-938175CEF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52901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3854</xdr:row>
      <xdr:rowOff>309563</xdr:rowOff>
    </xdr:from>
    <xdr:to>
      <xdr:col>8</xdr:col>
      <xdr:colOff>494110</xdr:colOff>
      <xdr:row>3854</xdr:row>
      <xdr:rowOff>317462</xdr:rowOff>
    </xdr:to>
    <xdr:cxnSp macro="">
      <xdr:nvCxnSpPr>
        <xdr:cNvPr id="819" name="Conector recto 818">
          <a:extLst>
            <a:ext uri="{FF2B5EF4-FFF2-40B4-BE49-F238E27FC236}">
              <a16:creationId xmlns:a16="http://schemas.microsoft.com/office/drawing/2014/main" id="{30838439-DD4A-4BA1-BDAB-5908FCA97E36}"/>
            </a:ext>
          </a:extLst>
        </xdr:cNvPr>
        <xdr:cNvCxnSpPr/>
      </xdr:nvCxnSpPr>
      <xdr:spPr>
        <a:xfrm flipV="1">
          <a:off x="3972117" y="753184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3854</xdr:row>
      <xdr:rowOff>26102</xdr:rowOff>
    </xdr:from>
    <xdr:ext cx="1699468" cy="504272"/>
    <xdr:pic>
      <xdr:nvPicPr>
        <xdr:cNvPr id="820" name="Imagen 819">
          <a:extLst>
            <a:ext uri="{FF2B5EF4-FFF2-40B4-BE49-F238E27FC236}">
              <a16:creationId xmlns:a16="http://schemas.microsoft.com/office/drawing/2014/main" id="{0ED29DCE-22A5-45A7-B959-37B08D474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52901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3854</xdr:row>
      <xdr:rowOff>309563</xdr:rowOff>
    </xdr:from>
    <xdr:to>
      <xdr:col>8</xdr:col>
      <xdr:colOff>494110</xdr:colOff>
      <xdr:row>3854</xdr:row>
      <xdr:rowOff>317462</xdr:rowOff>
    </xdr:to>
    <xdr:cxnSp macro="">
      <xdr:nvCxnSpPr>
        <xdr:cNvPr id="821" name="Conector recto 820">
          <a:extLst>
            <a:ext uri="{FF2B5EF4-FFF2-40B4-BE49-F238E27FC236}">
              <a16:creationId xmlns:a16="http://schemas.microsoft.com/office/drawing/2014/main" id="{637D54FC-7D9F-4AE6-8966-B0C7D7559FD1}"/>
            </a:ext>
          </a:extLst>
        </xdr:cNvPr>
        <xdr:cNvCxnSpPr/>
      </xdr:nvCxnSpPr>
      <xdr:spPr>
        <a:xfrm flipV="1">
          <a:off x="3972117" y="753184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3854</xdr:row>
      <xdr:rowOff>26102</xdr:rowOff>
    </xdr:from>
    <xdr:ext cx="1699468" cy="504272"/>
    <xdr:pic>
      <xdr:nvPicPr>
        <xdr:cNvPr id="822" name="Imagen 821">
          <a:extLst>
            <a:ext uri="{FF2B5EF4-FFF2-40B4-BE49-F238E27FC236}">
              <a16:creationId xmlns:a16="http://schemas.microsoft.com/office/drawing/2014/main" id="{4CA2A39B-CA30-4CA1-A616-F09BBF335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52901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3854</xdr:row>
      <xdr:rowOff>309563</xdr:rowOff>
    </xdr:from>
    <xdr:to>
      <xdr:col>8</xdr:col>
      <xdr:colOff>494110</xdr:colOff>
      <xdr:row>3854</xdr:row>
      <xdr:rowOff>317462</xdr:rowOff>
    </xdr:to>
    <xdr:cxnSp macro="">
      <xdr:nvCxnSpPr>
        <xdr:cNvPr id="823" name="Conector recto 822">
          <a:extLst>
            <a:ext uri="{FF2B5EF4-FFF2-40B4-BE49-F238E27FC236}">
              <a16:creationId xmlns:a16="http://schemas.microsoft.com/office/drawing/2014/main" id="{7C76E0AE-7435-4D90-84FD-D03E527CEAF5}"/>
            </a:ext>
          </a:extLst>
        </xdr:cNvPr>
        <xdr:cNvCxnSpPr/>
      </xdr:nvCxnSpPr>
      <xdr:spPr>
        <a:xfrm flipV="1">
          <a:off x="3972117" y="753184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3854</xdr:row>
      <xdr:rowOff>26102</xdr:rowOff>
    </xdr:from>
    <xdr:ext cx="1699468" cy="504272"/>
    <xdr:pic>
      <xdr:nvPicPr>
        <xdr:cNvPr id="824" name="Imagen 823">
          <a:extLst>
            <a:ext uri="{FF2B5EF4-FFF2-40B4-BE49-F238E27FC236}">
              <a16:creationId xmlns:a16="http://schemas.microsoft.com/office/drawing/2014/main" id="{38616558-01B7-4D7B-B5B6-8BF56210B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52901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3854</xdr:row>
      <xdr:rowOff>309563</xdr:rowOff>
    </xdr:from>
    <xdr:to>
      <xdr:col>8</xdr:col>
      <xdr:colOff>494110</xdr:colOff>
      <xdr:row>3854</xdr:row>
      <xdr:rowOff>317462</xdr:rowOff>
    </xdr:to>
    <xdr:cxnSp macro="">
      <xdr:nvCxnSpPr>
        <xdr:cNvPr id="825" name="Conector recto 824">
          <a:extLst>
            <a:ext uri="{FF2B5EF4-FFF2-40B4-BE49-F238E27FC236}">
              <a16:creationId xmlns:a16="http://schemas.microsoft.com/office/drawing/2014/main" id="{B01A52E8-3BBE-4DB1-8A73-D00D7F847A37}"/>
            </a:ext>
          </a:extLst>
        </xdr:cNvPr>
        <xdr:cNvCxnSpPr/>
      </xdr:nvCxnSpPr>
      <xdr:spPr>
        <a:xfrm flipV="1">
          <a:off x="3972117" y="753184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3854</xdr:row>
      <xdr:rowOff>26102</xdr:rowOff>
    </xdr:from>
    <xdr:ext cx="1699468" cy="504272"/>
    <xdr:pic>
      <xdr:nvPicPr>
        <xdr:cNvPr id="826" name="Imagen 825">
          <a:extLst>
            <a:ext uri="{FF2B5EF4-FFF2-40B4-BE49-F238E27FC236}">
              <a16:creationId xmlns:a16="http://schemas.microsoft.com/office/drawing/2014/main" id="{D6B4BE7E-1730-4D5B-98D3-CEFA34590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52901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3854</xdr:row>
      <xdr:rowOff>309563</xdr:rowOff>
    </xdr:from>
    <xdr:to>
      <xdr:col>8</xdr:col>
      <xdr:colOff>494110</xdr:colOff>
      <xdr:row>3854</xdr:row>
      <xdr:rowOff>317462</xdr:rowOff>
    </xdr:to>
    <xdr:cxnSp macro="">
      <xdr:nvCxnSpPr>
        <xdr:cNvPr id="827" name="Conector recto 826">
          <a:extLst>
            <a:ext uri="{FF2B5EF4-FFF2-40B4-BE49-F238E27FC236}">
              <a16:creationId xmlns:a16="http://schemas.microsoft.com/office/drawing/2014/main" id="{90C8D0A5-E483-40FB-98E5-F957A1B7E1C2}"/>
            </a:ext>
          </a:extLst>
        </xdr:cNvPr>
        <xdr:cNvCxnSpPr/>
      </xdr:nvCxnSpPr>
      <xdr:spPr>
        <a:xfrm flipV="1">
          <a:off x="3972117" y="753184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3854</xdr:row>
      <xdr:rowOff>26102</xdr:rowOff>
    </xdr:from>
    <xdr:ext cx="1699468" cy="504272"/>
    <xdr:pic>
      <xdr:nvPicPr>
        <xdr:cNvPr id="828" name="Imagen 827">
          <a:extLst>
            <a:ext uri="{FF2B5EF4-FFF2-40B4-BE49-F238E27FC236}">
              <a16:creationId xmlns:a16="http://schemas.microsoft.com/office/drawing/2014/main" id="{8501F58B-FAF7-43E5-A0E8-F1465F432D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52901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3854</xdr:row>
      <xdr:rowOff>309563</xdr:rowOff>
    </xdr:from>
    <xdr:to>
      <xdr:col>8</xdr:col>
      <xdr:colOff>494110</xdr:colOff>
      <xdr:row>3854</xdr:row>
      <xdr:rowOff>317462</xdr:rowOff>
    </xdr:to>
    <xdr:cxnSp macro="">
      <xdr:nvCxnSpPr>
        <xdr:cNvPr id="829" name="Conector recto 828">
          <a:extLst>
            <a:ext uri="{FF2B5EF4-FFF2-40B4-BE49-F238E27FC236}">
              <a16:creationId xmlns:a16="http://schemas.microsoft.com/office/drawing/2014/main" id="{CA9FDE2D-8675-4640-8EAC-FABB5F889C89}"/>
            </a:ext>
          </a:extLst>
        </xdr:cNvPr>
        <xdr:cNvCxnSpPr/>
      </xdr:nvCxnSpPr>
      <xdr:spPr>
        <a:xfrm flipV="1">
          <a:off x="3972117" y="753184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3854</xdr:row>
      <xdr:rowOff>26102</xdr:rowOff>
    </xdr:from>
    <xdr:ext cx="1699468" cy="504272"/>
    <xdr:pic>
      <xdr:nvPicPr>
        <xdr:cNvPr id="830" name="Imagen 829">
          <a:extLst>
            <a:ext uri="{FF2B5EF4-FFF2-40B4-BE49-F238E27FC236}">
              <a16:creationId xmlns:a16="http://schemas.microsoft.com/office/drawing/2014/main" id="{9CB6ACA1-F40B-4262-BCEF-C77136732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529011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3854</xdr:row>
      <xdr:rowOff>309563</xdr:rowOff>
    </xdr:from>
    <xdr:to>
      <xdr:col>8</xdr:col>
      <xdr:colOff>494110</xdr:colOff>
      <xdr:row>3854</xdr:row>
      <xdr:rowOff>317462</xdr:rowOff>
    </xdr:to>
    <xdr:cxnSp macro="">
      <xdr:nvCxnSpPr>
        <xdr:cNvPr id="831" name="Conector recto 830">
          <a:extLst>
            <a:ext uri="{FF2B5EF4-FFF2-40B4-BE49-F238E27FC236}">
              <a16:creationId xmlns:a16="http://schemas.microsoft.com/office/drawing/2014/main" id="{DD266FB5-A446-4050-B835-1F6D6E72A776}"/>
            </a:ext>
          </a:extLst>
        </xdr:cNvPr>
        <xdr:cNvCxnSpPr/>
      </xdr:nvCxnSpPr>
      <xdr:spPr>
        <a:xfrm flipV="1">
          <a:off x="3972117" y="7531846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3899</xdr:row>
      <xdr:rowOff>26102</xdr:rowOff>
    </xdr:from>
    <xdr:ext cx="1699468" cy="504272"/>
    <xdr:pic>
      <xdr:nvPicPr>
        <xdr:cNvPr id="832" name="Imagen 831">
          <a:extLst>
            <a:ext uri="{FF2B5EF4-FFF2-40B4-BE49-F238E27FC236}">
              <a16:creationId xmlns:a16="http://schemas.microsoft.com/office/drawing/2014/main" id="{415F9FC8-FF86-4EFA-8521-A6B969DE4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61753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3899</xdr:row>
      <xdr:rowOff>309563</xdr:rowOff>
    </xdr:from>
    <xdr:to>
      <xdr:col>8</xdr:col>
      <xdr:colOff>494110</xdr:colOff>
      <xdr:row>3899</xdr:row>
      <xdr:rowOff>317462</xdr:rowOff>
    </xdr:to>
    <xdr:cxnSp macro="">
      <xdr:nvCxnSpPr>
        <xdr:cNvPr id="833" name="Conector recto 832">
          <a:extLst>
            <a:ext uri="{FF2B5EF4-FFF2-40B4-BE49-F238E27FC236}">
              <a16:creationId xmlns:a16="http://schemas.microsoft.com/office/drawing/2014/main" id="{16B72688-8DDD-4A3A-B6E4-C1320848EC4E}"/>
            </a:ext>
          </a:extLst>
        </xdr:cNvPr>
        <xdr:cNvCxnSpPr/>
      </xdr:nvCxnSpPr>
      <xdr:spPr>
        <a:xfrm flipV="1">
          <a:off x="3972117" y="762036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3899</xdr:row>
      <xdr:rowOff>26102</xdr:rowOff>
    </xdr:from>
    <xdr:ext cx="1699468" cy="504272"/>
    <xdr:pic>
      <xdr:nvPicPr>
        <xdr:cNvPr id="834" name="Imagen 833">
          <a:extLst>
            <a:ext uri="{FF2B5EF4-FFF2-40B4-BE49-F238E27FC236}">
              <a16:creationId xmlns:a16="http://schemas.microsoft.com/office/drawing/2014/main" id="{4BCB71D1-A189-49C1-8B99-E5F51A702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61753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3899</xdr:row>
      <xdr:rowOff>309563</xdr:rowOff>
    </xdr:from>
    <xdr:to>
      <xdr:col>8</xdr:col>
      <xdr:colOff>494110</xdr:colOff>
      <xdr:row>3899</xdr:row>
      <xdr:rowOff>317462</xdr:rowOff>
    </xdr:to>
    <xdr:cxnSp macro="">
      <xdr:nvCxnSpPr>
        <xdr:cNvPr id="835" name="Conector recto 834">
          <a:extLst>
            <a:ext uri="{FF2B5EF4-FFF2-40B4-BE49-F238E27FC236}">
              <a16:creationId xmlns:a16="http://schemas.microsoft.com/office/drawing/2014/main" id="{447060DE-DE6B-44EA-8082-75E70119DD37}"/>
            </a:ext>
          </a:extLst>
        </xdr:cNvPr>
        <xdr:cNvCxnSpPr/>
      </xdr:nvCxnSpPr>
      <xdr:spPr>
        <a:xfrm flipV="1">
          <a:off x="3972117" y="762036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3899</xdr:row>
      <xdr:rowOff>26102</xdr:rowOff>
    </xdr:from>
    <xdr:ext cx="1699468" cy="504272"/>
    <xdr:pic>
      <xdr:nvPicPr>
        <xdr:cNvPr id="836" name="Imagen 835">
          <a:extLst>
            <a:ext uri="{FF2B5EF4-FFF2-40B4-BE49-F238E27FC236}">
              <a16:creationId xmlns:a16="http://schemas.microsoft.com/office/drawing/2014/main" id="{5C4049FB-5ACA-45D9-9B31-453DF6F95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61753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3899</xdr:row>
      <xdr:rowOff>309563</xdr:rowOff>
    </xdr:from>
    <xdr:to>
      <xdr:col>8</xdr:col>
      <xdr:colOff>494110</xdr:colOff>
      <xdr:row>3899</xdr:row>
      <xdr:rowOff>317462</xdr:rowOff>
    </xdr:to>
    <xdr:cxnSp macro="">
      <xdr:nvCxnSpPr>
        <xdr:cNvPr id="837" name="Conector recto 836">
          <a:extLst>
            <a:ext uri="{FF2B5EF4-FFF2-40B4-BE49-F238E27FC236}">
              <a16:creationId xmlns:a16="http://schemas.microsoft.com/office/drawing/2014/main" id="{0C8A9D4B-A8BE-4F23-89AD-092EEA16CCE2}"/>
            </a:ext>
          </a:extLst>
        </xdr:cNvPr>
        <xdr:cNvCxnSpPr/>
      </xdr:nvCxnSpPr>
      <xdr:spPr>
        <a:xfrm flipV="1">
          <a:off x="3972117" y="762036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3899</xdr:row>
      <xdr:rowOff>26102</xdr:rowOff>
    </xdr:from>
    <xdr:ext cx="1699468" cy="504272"/>
    <xdr:pic>
      <xdr:nvPicPr>
        <xdr:cNvPr id="838" name="Imagen 837">
          <a:extLst>
            <a:ext uri="{FF2B5EF4-FFF2-40B4-BE49-F238E27FC236}">
              <a16:creationId xmlns:a16="http://schemas.microsoft.com/office/drawing/2014/main" id="{A7CE614F-1B3A-4EC2-844C-690044448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61753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3899</xdr:row>
      <xdr:rowOff>309563</xdr:rowOff>
    </xdr:from>
    <xdr:to>
      <xdr:col>8</xdr:col>
      <xdr:colOff>494110</xdr:colOff>
      <xdr:row>3899</xdr:row>
      <xdr:rowOff>317462</xdr:rowOff>
    </xdr:to>
    <xdr:cxnSp macro="">
      <xdr:nvCxnSpPr>
        <xdr:cNvPr id="839" name="Conector recto 838">
          <a:extLst>
            <a:ext uri="{FF2B5EF4-FFF2-40B4-BE49-F238E27FC236}">
              <a16:creationId xmlns:a16="http://schemas.microsoft.com/office/drawing/2014/main" id="{1C01CBAA-EC3B-420F-AA5B-3ADE109CAA7B}"/>
            </a:ext>
          </a:extLst>
        </xdr:cNvPr>
        <xdr:cNvCxnSpPr/>
      </xdr:nvCxnSpPr>
      <xdr:spPr>
        <a:xfrm flipV="1">
          <a:off x="3972117" y="762036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3899</xdr:row>
      <xdr:rowOff>26102</xdr:rowOff>
    </xdr:from>
    <xdr:ext cx="1699468" cy="504272"/>
    <xdr:pic>
      <xdr:nvPicPr>
        <xdr:cNvPr id="840" name="Imagen 839">
          <a:extLst>
            <a:ext uri="{FF2B5EF4-FFF2-40B4-BE49-F238E27FC236}">
              <a16:creationId xmlns:a16="http://schemas.microsoft.com/office/drawing/2014/main" id="{61C714A3-0906-49FC-9999-7FC002C9B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61753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3899</xdr:row>
      <xdr:rowOff>309563</xdr:rowOff>
    </xdr:from>
    <xdr:to>
      <xdr:col>8</xdr:col>
      <xdr:colOff>494110</xdr:colOff>
      <xdr:row>3899</xdr:row>
      <xdr:rowOff>317462</xdr:rowOff>
    </xdr:to>
    <xdr:cxnSp macro="">
      <xdr:nvCxnSpPr>
        <xdr:cNvPr id="841" name="Conector recto 840">
          <a:extLst>
            <a:ext uri="{FF2B5EF4-FFF2-40B4-BE49-F238E27FC236}">
              <a16:creationId xmlns:a16="http://schemas.microsoft.com/office/drawing/2014/main" id="{24ACCE2B-55C4-4DE4-AF0D-68155D401D78}"/>
            </a:ext>
          </a:extLst>
        </xdr:cNvPr>
        <xdr:cNvCxnSpPr/>
      </xdr:nvCxnSpPr>
      <xdr:spPr>
        <a:xfrm flipV="1">
          <a:off x="3972117" y="762036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3899</xdr:row>
      <xdr:rowOff>26102</xdr:rowOff>
    </xdr:from>
    <xdr:ext cx="1699468" cy="504272"/>
    <xdr:pic>
      <xdr:nvPicPr>
        <xdr:cNvPr id="842" name="Imagen 841">
          <a:extLst>
            <a:ext uri="{FF2B5EF4-FFF2-40B4-BE49-F238E27FC236}">
              <a16:creationId xmlns:a16="http://schemas.microsoft.com/office/drawing/2014/main" id="{0F4D7B01-8793-47CC-93EF-358050816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61753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3899</xdr:row>
      <xdr:rowOff>309563</xdr:rowOff>
    </xdr:from>
    <xdr:to>
      <xdr:col>8</xdr:col>
      <xdr:colOff>494110</xdr:colOff>
      <xdr:row>3899</xdr:row>
      <xdr:rowOff>317462</xdr:rowOff>
    </xdr:to>
    <xdr:cxnSp macro="">
      <xdr:nvCxnSpPr>
        <xdr:cNvPr id="843" name="Conector recto 842">
          <a:extLst>
            <a:ext uri="{FF2B5EF4-FFF2-40B4-BE49-F238E27FC236}">
              <a16:creationId xmlns:a16="http://schemas.microsoft.com/office/drawing/2014/main" id="{96A5AA88-F96A-4B86-AC49-AB74192A6B5A}"/>
            </a:ext>
          </a:extLst>
        </xdr:cNvPr>
        <xdr:cNvCxnSpPr/>
      </xdr:nvCxnSpPr>
      <xdr:spPr>
        <a:xfrm flipV="1">
          <a:off x="3972117" y="762036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3899</xdr:row>
      <xdr:rowOff>26102</xdr:rowOff>
    </xdr:from>
    <xdr:ext cx="1699468" cy="504272"/>
    <xdr:pic>
      <xdr:nvPicPr>
        <xdr:cNvPr id="844" name="Imagen 843">
          <a:extLst>
            <a:ext uri="{FF2B5EF4-FFF2-40B4-BE49-F238E27FC236}">
              <a16:creationId xmlns:a16="http://schemas.microsoft.com/office/drawing/2014/main" id="{E0E48494-5F35-4F6F-A8E9-251D6707F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61753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3899</xdr:row>
      <xdr:rowOff>309563</xdr:rowOff>
    </xdr:from>
    <xdr:to>
      <xdr:col>8</xdr:col>
      <xdr:colOff>494110</xdr:colOff>
      <xdr:row>3899</xdr:row>
      <xdr:rowOff>317462</xdr:rowOff>
    </xdr:to>
    <xdr:cxnSp macro="">
      <xdr:nvCxnSpPr>
        <xdr:cNvPr id="845" name="Conector recto 844">
          <a:extLst>
            <a:ext uri="{FF2B5EF4-FFF2-40B4-BE49-F238E27FC236}">
              <a16:creationId xmlns:a16="http://schemas.microsoft.com/office/drawing/2014/main" id="{5E8C96AB-06D7-42ED-B254-780A7C6F85D3}"/>
            </a:ext>
          </a:extLst>
        </xdr:cNvPr>
        <xdr:cNvCxnSpPr/>
      </xdr:nvCxnSpPr>
      <xdr:spPr>
        <a:xfrm flipV="1">
          <a:off x="3972117" y="762036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3899</xdr:row>
      <xdr:rowOff>26102</xdr:rowOff>
    </xdr:from>
    <xdr:ext cx="1699468" cy="504272"/>
    <xdr:pic>
      <xdr:nvPicPr>
        <xdr:cNvPr id="846" name="Imagen 845">
          <a:extLst>
            <a:ext uri="{FF2B5EF4-FFF2-40B4-BE49-F238E27FC236}">
              <a16:creationId xmlns:a16="http://schemas.microsoft.com/office/drawing/2014/main" id="{77BB7956-12B5-4354-9C5B-D7DD655E2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617530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3899</xdr:row>
      <xdr:rowOff>309563</xdr:rowOff>
    </xdr:from>
    <xdr:to>
      <xdr:col>8</xdr:col>
      <xdr:colOff>494110</xdr:colOff>
      <xdr:row>3899</xdr:row>
      <xdr:rowOff>317462</xdr:rowOff>
    </xdr:to>
    <xdr:cxnSp macro="">
      <xdr:nvCxnSpPr>
        <xdr:cNvPr id="847" name="Conector recto 846">
          <a:extLst>
            <a:ext uri="{FF2B5EF4-FFF2-40B4-BE49-F238E27FC236}">
              <a16:creationId xmlns:a16="http://schemas.microsoft.com/office/drawing/2014/main" id="{0BA430A4-C290-4226-915B-F40991396DA5}"/>
            </a:ext>
          </a:extLst>
        </xdr:cNvPr>
        <xdr:cNvCxnSpPr/>
      </xdr:nvCxnSpPr>
      <xdr:spPr>
        <a:xfrm flipV="1">
          <a:off x="3972117" y="7620365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3944</xdr:row>
      <xdr:rowOff>26102</xdr:rowOff>
    </xdr:from>
    <xdr:ext cx="1699468" cy="504272"/>
    <xdr:pic>
      <xdr:nvPicPr>
        <xdr:cNvPr id="848" name="Imagen 847">
          <a:extLst>
            <a:ext uri="{FF2B5EF4-FFF2-40B4-BE49-F238E27FC236}">
              <a16:creationId xmlns:a16="http://schemas.microsoft.com/office/drawing/2014/main" id="{710885BF-0533-4A0F-9D1B-789F2B4FF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0604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3944</xdr:row>
      <xdr:rowOff>309563</xdr:rowOff>
    </xdr:from>
    <xdr:to>
      <xdr:col>8</xdr:col>
      <xdr:colOff>494110</xdr:colOff>
      <xdr:row>3944</xdr:row>
      <xdr:rowOff>317462</xdr:rowOff>
    </xdr:to>
    <xdr:cxnSp macro="">
      <xdr:nvCxnSpPr>
        <xdr:cNvPr id="849" name="Conector recto 848">
          <a:extLst>
            <a:ext uri="{FF2B5EF4-FFF2-40B4-BE49-F238E27FC236}">
              <a16:creationId xmlns:a16="http://schemas.microsoft.com/office/drawing/2014/main" id="{A7AA40EC-73DB-42DB-AA9C-6C6B3BA8AD7E}"/>
            </a:ext>
          </a:extLst>
        </xdr:cNvPr>
        <xdr:cNvCxnSpPr/>
      </xdr:nvCxnSpPr>
      <xdr:spPr>
        <a:xfrm flipV="1">
          <a:off x="3972117" y="770888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3944</xdr:row>
      <xdr:rowOff>26102</xdr:rowOff>
    </xdr:from>
    <xdr:ext cx="1699468" cy="504272"/>
    <xdr:pic>
      <xdr:nvPicPr>
        <xdr:cNvPr id="850" name="Imagen 849">
          <a:extLst>
            <a:ext uri="{FF2B5EF4-FFF2-40B4-BE49-F238E27FC236}">
              <a16:creationId xmlns:a16="http://schemas.microsoft.com/office/drawing/2014/main" id="{B5AC4381-59EB-4B8F-B51A-64542692E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0604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3944</xdr:row>
      <xdr:rowOff>309563</xdr:rowOff>
    </xdr:from>
    <xdr:to>
      <xdr:col>8</xdr:col>
      <xdr:colOff>494110</xdr:colOff>
      <xdr:row>3944</xdr:row>
      <xdr:rowOff>317462</xdr:rowOff>
    </xdr:to>
    <xdr:cxnSp macro="">
      <xdr:nvCxnSpPr>
        <xdr:cNvPr id="851" name="Conector recto 850">
          <a:extLst>
            <a:ext uri="{FF2B5EF4-FFF2-40B4-BE49-F238E27FC236}">
              <a16:creationId xmlns:a16="http://schemas.microsoft.com/office/drawing/2014/main" id="{1C73DA83-2919-47F6-BF4C-2CFFAFF92896}"/>
            </a:ext>
          </a:extLst>
        </xdr:cNvPr>
        <xdr:cNvCxnSpPr/>
      </xdr:nvCxnSpPr>
      <xdr:spPr>
        <a:xfrm flipV="1">
          <a:off x="3972117" y="770888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3944</xdr:row>
      <xdr:rowOff>26102</xdr:rowOff>
    </xdr:from>
    <xdr:ext cx="1699468" cy="504272"/>
    <xdr:pic>
      <xdr:nvPicPr>
        <xdr:cNvPr id="852" name="Imagen 851">
          <a:extLst>
            <a:ext uri="{FF2B5EF4-FFF2-40B4-BE49-F238E27FC236}">
              <a16:creationId xmlns:a16="http://schemas.microsoft.com/office/drawing/2014/main" id="{69BAFE6B-D758-4D3D-8F8A-A8D444AF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0604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3944</xdr:row>
      <xdr:rowOff>309563</xdr:rowOff>
    </xdr:from>
    <xdr:to>
      <xdr:col>8</xdr:col>
      <xdr:colOff>494110</xdr:colOff>
      <xdr:row>3944</xdr:row>
      <xdr:rowOff>317462</xdr:rowOff>
    </xdr:to>
    <xdr:cxnSp macro="">
      <xdr:nvCxnSpPr>
        <xdr:cNvPr id="853" name="Conector recto 852">
          <a:extLst>
            <a:ext uri="{FF2B5EF4-FFF2-40B4-BE49-F238E27FC236}">
              <a16:creationId xmlns:a16="http://schemas.microsoft.com/office/drawing/2014/main" id="{C40EE7EA-FB8C-423D-8514-39E098D058E3}"/>
            </a:ext>
          </a:extLst>
        </xdr:cNvPr>
        <xdr:cNvCxnSpPr/>
      </xdr:nvCxnSpPr>
      <xdr:spPr>
        <a:xfrm flipV="1">
          <a:off x="3972117" y="770888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3944</xdr:row>
      <xdr:rowOff>26102</xdr:rowOff>
    </xdr:from>
    <xdr:ext cx="1699468" cy="504272"/>
    <xdr:pic>
      <xdr:nvPicPr>
        <xdr:cNvPr id="854" name="Imagen 853">
          <a:extLst>
            <a:ext uri="{FF2B5EF4-FFF2-40B4-BE49-F238E27FC236}">
              <a16:creationId xmlns:a16="http://schemas.microsoft.com/office/drawing/2014/main" id="{DA7725EE-DF01-4701-B372-F275E2200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0604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3944</xdr:row>
      <xdr:rowOff>309563</xdr:rowOff>
    </xdr:from>
    <xdr:to>
      <xdr:col>8</xdr:col>
      <xdr:colOff>494110</xdr:colOff>
      <xdr:row>3944</xdr:row>
      <xdr:rowOff>317462</xdr:rowOff>
    </xdr:to>
    <xdr:cxnSp macro="">
      <xdr:nvCxnSpPr>
        <xdr:cNvPr id="855" name="Conector recto 854">
          <a:extLst>
            <a:ext uri="{FF2B5EF4-FFF2-40B4-BE49-F238E27FC236}">
              <a16:creationId xmlns:a16="http://schemas.microsoft.com/office/drawing/2014/main" id="{958F2066-C5B3-428A-8BE3-B5723A3131A0}"/>
            </a:ext>
          </a:extLst>
        </xdr:cNvPr>
        <xdr:cNvCxnSpPr/>
      </xdr:nvCxnSpPr>
      <xdr:spPr>
        <a:xfrm flipV="1">
          <a:off x="3972117" y="770888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3944</xdr:row>
      <xdr:rowOff>26102</xdr:rowOff>
    </xdr:from>
    <xdr:ext cx="1699468" cy="504272"/>
    <xdr:pic>
      <xdr:nvPicPr>
        <xdr:cNvPr id="856" name="Imagen 855">
          <a:extLst>
            <a:ext uri="{FF2B5EF4-FFF2-40B4-BE49-F238E27FC236}">
              <a16:creationId xmlns:a16="http://schemas.microsoft.com/office/drawing/2014/main" id="{74A54DF2-0AD9-4D26-A8F2-C3DC66841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0604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3944</xdr:row>
      <xdr:rowOff>309563</xdr:rowOff>
    </xdr:from>
    <xdr:to>
      <xdr:col>8</xdr:col>
      <xdr:colOff>494110</xdr:colOff>
      <xdr:row>3944</xdr:row>
      <xdr:rowOff>317462</xdr:rowOff>
    </xdr:to>
    <xdr:cxnSp macro="">
      <xdr:nvCxnSpPr>
        <xdr:cNvPr id="857" name="Conector recto 856">
          <a:extLst>
            <a:ext uri="{FF2B5EF4-FFF2-40B4-BE49-F238E27FC236}">
              <a16:creationId xmlns:a16="http://schemas.microsoft.com/office/drawing/2014/main" id="{06749BAD-0969-40B9-B0FC-617A216695B0}"/>
            </a:ext>
          </a:extLst>
        </xdr:cNvPr>
        <xdr:cNvCxnSpPr/>
      </xdr:nvCxnSpPr>
      <xdr:spPr>
        <a:xfrm flipV="1">
          <a:off x="3972117" y="770888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3944</xdr:row>
      <xdr:rowOff>26102</xdr:rowOff>
    </xdr:from>
    <xdr:ext cx="1699468" cy="504272"/>
    <xdr:pic>
      <xdr:nvPicPr>
        <xdr:cNvPr id="858" name="Imagen 857">
          <a:extLst>
            <a:ext uri="{FF2B5EF4-FFF2-40B4-BE49-F238E27FC236}">
              <a16:creationId xmlns:a16="http://schemas.microsoft.com/office/drawing/2014/main" id="{10E08D60-6572-4657-B35D-39D156F9C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0604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3944</xdr:row>
      <xdr:rowOff>309563</xdr:rowOff>
    </xdr:from>
    <xdr:to>
      <xdr:col>8</xdr:col>
      <xdr:colOff>494110</xdr:colOff>
      <xdr:row>3944</xdr:row>
      <xdr:rowOff>317462</xdr:rowOff>
    </xdr:to>
    <xdr:cxnSp macro="">
      <xdr:nvCxnSpPr>
        <xdr:cNvPr id="859" name="Conector recto 858">
          <a:extLst>
            <a:ext uri="{FF2B5EF4-FFF2-40B4-BE49-F238E27FC236}">
              <a16:creationId xmlns:a16="http://schemas.microsoft.com/office/drawing/2014/main" id="{72AAB62F-2D59-4FAA-8D48-852C228C3CF3}"/>
            </a:ext>
          </a:extLst>
        </xdr:cNvPr>
        <xdr:cNvCxnSpPr/>
      </xdr:nvCxnSpPr>
      <xdr:spPr>
        <a:xfrm flipV="1">
          <a:off x="3972117" y="770888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3944</xdr:row>
      <xdr:rowOff>26102</xdr:rowOff>
    </xdr:from>
    <xdr:ext cx="1699468" cy="504272"/>
    <xdr:pic>
      <xdr:nvPicPr>
        <xdr:cNvPr id="860" name="Imagen 859">
          <a:extLst>
            <a:ext uri="{FF2B5EF4-FFF2-40B4-BE49-F238E27FC236}">
              <a16:creationId xmlns:a16="http://schemas.microsoft.com/office/drawing/2014/main" id="{2357BEF2-8A5D-4DE0-B6D3-85A549004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0604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3944</xdr:row>
      <xdr:rowOff>309563</xdr:rowOff>
    </xdr:from>
    <xdr:to>
      <xdr:col>8</xdr:col>
      <xdr:colOff>494110</xdr:colOff>
      <xdr:row>3944</xdr:row>
      <xdr:rowOff>317462</xdr:rowOff>
    </xdr:to>
    <xdr:cxnSp macro="">
      <xdr:nvCxnSpPr>
        <xdr:cNvPr id="861" name="Conector recto 860">
          <a:extLst>
            <a:ext uri="{FF2B5EF4-FFF2-40B4-BE49-F238E27FC236}">
              <a16:creationId xmlns:a16="http://schemas.microsoft.com/office/drawing/2014/main" id="{DE09691E-E588-4DB1-AAAE-88FB9C28D70F}"/>
            </a:ext>
          </a:extLst>
        </xdr:cNvPr>
        <xdr:cNvCxnSpPr/>
      </xdr:nvCxnSpPr>
      <xdr:spPr>
        <a:xfrm flipV="1">
          <a:off x="3972117" y="770888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3944</xdr:row>
      <xdr:rowOff>26102</xdr:rowOff>
    </xdr:from>
    <xdr:ext cx="1699468" cy="504272"/>
    <xdr:pic>
      <xdr:nvPicPr>
        <xdr:cNvPr id="862" name="Imagen 861">
          <a:extLst>
            <a:ext uri="{FF2B5EF4-FFF2-40B4-BE49-F238E27FC236}">
              <a16:creationId xmlns:a16="http://schemas.microsoft.com/office/drawing/2014/main" id="{A9A2869C-1884-4F52-9B16-A0DCEB4BC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06049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3944</xdr:row>
      <xdr:rowOff>309563</xdr:rowOff>
    </xdr:from>
    <xdr:to>
      <xdr:col>8</xdr:col>
      <xdr:colOff>494110</xdr:colOff>
      <xdr:row>3944</xdr:row>
      <xdr:rowOff>317462</xdr:rowOff>
    </xdr:to>
    <xdr:cxnSp macro="">
      <xdr:nvCxnSpPr>
        <xdr:cNvPr id="863" name="Conector recto 862">
          <a:extLst>
            <a:ext uri="{FF2B5EF4-FFF2-40B4-BE49-F238E27FC236}">
              <a16:creationId xmlns:a16="http://schemas.microsoft.com/office/drawing/2014/main" id="{C98E8262-AB83-432D-B765-4C13D298AB3E}"/>
            </a:ext>
          </a:extLst>
        </xdr:cNvPr>
        <xdr:cNvCxnSpPr/>
      </xdr:nvCxnSpPr>
      <xdr:spPr>
        <a:xfrm flipV="1">
          <a:off x="3972117" y="7708884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3989</xdr:row>
      <xdr:rowOff>26102</xdr:rowOff>
    </xdr:from>
    <xdr:ext cx="1699468" cy="504272"/>
    <xdr:pic>
      <xdr:nvPicPr>
        <xdr:cNvPr id="864" name="Imagen 863">
          <a:extLst>
            <a:ext uri="{FF2B5EF4-FFF2-40B4-BE49-F238E27FC236}">
              <a16:creationId xmlns:a16="http://schemas.microsoft.com/office/drawing/2014/main" id="{2D89BE7B-FC65-42B6-B04D-D8A506D0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9456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3989</xdr:row>
      <xdr:rowOff>309563</xdr:rowOff>
    </xdr:from>
    <xdr:to>
      <xdr:col>8</xdr:col>
      <xdr:colOff>494110</xdr:colOff>
      <xdr:row>3989</xdr:row>
      <xdr:rowOff>317462</xdr:rowOff>
    </xdr:to>
    <xdr:cxnSp macro="">
      <xdr:nvCxnSpPr>
        <xdr:cNvPr id="865" name="Conector recto 864">
          <a:extLst>
            <a:ext uri="{FF2B5EF4-FFF2-40B4-BE49-F238E27FC236}">
              <a16:creationId xmlns:a16="http://schemas.microsoft.com/office/drawing/2014/main" id="{3C68B5D5-E26E-4418-B121-86030FC7A03C}"/>
            </a:ext>
          </a:extLst>
        </xdr:cNvPr>
        <xdr:cNvCxnSpPr/>
      </xdr:nvCxnSpPr>
      <xdr:spPr>
        <a:xfrm flipV="1">
          <a:off x="3972117" y="779740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3989</xdr:row>
      <xdr:rowOff>26102</xdr:rowOff>
    </xdr:from>
    <xdr:ext cx="1699468" cy="504272"/>
    <xdr:pic>
      <xdr:nvPicPr>
        <xdr:cNvPr id="866" name="Imagen 865">
          <a:extLst>
            <a:ext uri="{FF2B5EF4-FFF2-40B4-BE49-F238E27FC236}">
              <a16:creationId xmlns:a16="http://schemas.microsoft.com/office/drawing/2014/main" id="{55782919-5EA7-4BB7-A8DD-7436F1459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9456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3989</xdr:row>
      <xdr:rowOff>309563</xdr:rowOff>
    </xdr:from>
    <xdr:to>
      <xdr:col>8</xdr:col>
      <xdr:colOff>494110</xdr:colOff>
      <xdr:row>3989</xdr:row>
      <xdr:rowOff>317462</xdr:rowOff>
    </xdr:to>
    <xdr:cxnSp macro="">
      <xdr:nvCxnSpPr>
        <xdr:cNvPr id="867" name="Conector recto 866">
          <a:extLst>
            <a:ext uri="{FF2B5EF4-FFF2-40B4-BE49-F238E27FC236}">
              <a16:creationId xmlns:a16="http://schemas.microsoft.com/office/drawing/2014/main" id="{64F29A85-11FE-4574-A9FD-B6E0E37FE574}"/>
            </a:ext>
          </a:extLst>
        </xdr:cNvPr>
        <xdr:cNvCxnSpPr/>
      </xdr:nvCxnSpPr>
      <xdr:spPr>
        <a:xfrm flipV="1">
          <a:off x="3972117" y="779740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3989</xdr:row>
      <xdr:rowOff>26102</xdr:rowOff>
    </xdr:from>
    <xdr:ext cx="1699468" cy="504272"/>
    <xdr:pic>
      <xdr:nvPicPr>
        <xdr:cNvPr id="868" name="Imagen 867">
          <a:extLst>
            <a:ext uri="{FF2B5EF4-FFF2-40B4-BE49-F238E27FC236}">
              <a16:creationId xmlns:a16="http://schemas.microsoft.com/office/drawing/2014/main" id="{B945E401-15AB-458E-85C8-0AF6C70C8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9456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3989</xdr:row>
      <xdr:rowOff>309563</xdr:rowOff>
    </xdr:from>
    <xdr:to>
      <xdr:col>8</xdr:col>
      <xdr:colOff>494110</xdr:colOff>
      <xdr:row>3989</xdr:row>
      <xdr:rowOff>317462</xdr:rowOff>
    </xdr:to>
    <xdr:cxnSp macro="">
      <xdr:nvCxnSpPr>
        <xdr:cNvPr id="869" name="Conector recto 868">
          <a:extLst>
            <a:ext uri="{FF2B5EF4-FFF2-40B4-BE49-F238E27FC236}">
              <a16:creationId xmlns:a16="http://schemas.microsoft.com/office/drawing/2014/main" id="{F99CAB4D-F214-4EEA-B26B-D1A517DE72C6}"/>
            </a:ext>
          </a:extLst>
        </xdr:cNvPr>
        <xdr:cNvCxnSpPr/>
      </xdr:nvCxnSpPr>
      <xdr:spPr>
        <a:xfrm flipV="1">
          <a:off x="3972117" y="779740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3989</xdr:row>
      <xdr:rowOff>26102</xdr:rowOff>
    </xdr:from>
    <xdr:ext cx="1699468" cy="504272"/>
    <xdr:pic>
      <xdr:nvPicPr>
        <xdr:cNvPr id="870" name="Imagen 869">
          <a:extLst>
            <a:ext uri="{FF2B5EF4-FFF2-40B4-BE49-F238E27FC236}">
              <a16:creationId xmlns:a16="http://schemas.microsoft.com/office/drawing/2014/main" id="{E9E39E95-353E-4220-93ED-C993424BB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9456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3989</xdr:row>
      <xdr:rowOff>309563</xdr:rowOff>
    </xdr:from>
    <xdr:to>
      <xdr:col>8</xdr:col>
      <xdr:colOff>494110</xdr:colOff>
      <xdr:row>3989</xdr:row>
      <xdr:rowOff>317462</xdr:rowOff>
    </xdr:to>
    <xdr:cxnSp macro="">
      <xdr:nvCxnSpPr>
        <xdr:cNvPr id="871" name="Conector recto 870">
          <a:extLst>
            <a:ext uri="{FF2B5EF4-FFF2-40B4-BE49-F238E27FC236}">
              <a16:creationId xmlns:a16="http://schemas.microsoft.com/office/drawing/2014/main" id="{1A10AF79-41FE-4A91-B80F-21C73027584E}"/>
            </a:ext>
          </a:extLst>
        </xdr:cNvPr>
        <xdr:cNvCxnSpPr/>
      </xdr:nvCxnSpPr>
      <xdr:spPr>
        <a:xfrm flipV="1">
          <a:off x="3972117" y="779740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3989</xdr:row>
      <xdr:rowOff>26102</xdr:rowOff>
    </xdr:from>
    <xdr:ext cx="1699468" cy="504272"/>
    <xdr:pic>
      <xdr:nvPicPr>
        <xdr:cNvPr id="872" name="Imagen 871">
          <a:extLst>
            <a:ext uri="{FF2B5EF4-FFF2-40B4-BE49-F238E27FC236}">
              <a16:creationId xmlns:a16="http://schemas.microsoft.com/office/drawing/2014/main" id="{B5DB3C7F-1240-48DD-A3B1-D1CAF3363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9456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3989</xdr:row>
      <xdr:rowOff>309563</xdr:rowOff>
    </xdr:from>
    <xdr:to>
      <xdr:col>8</xdr:col>
      <xdr:colOff>494110</xdr:colOff>
      <xdr:row>3989</xdr:row>
      <xdr:rowOff>317462</xdr:rowOff>
    </xdr:to>
    <xdr:cxnSp macro="">
      <xdr:nvCxnSpPr>
        <xdr:cNvPr id="873" name="Conector recto 872">
          <a:extLst>
            <a:ext uri="{FF2B5EF4-FFF2-40B4-BE49-F238E27FC236}">
              <a16:creationId xmlns:a16="http://schemas.microsoft.com/office/drawing/2014/main" id="{4B897609-A194-4EF0-868C-09DFE7469095}"/>
            </a:ext>
          </a:extLst>
        </xdr:cNvPr>
        <xdr:cNvCxnSpPr/>
      </xdr:nvCxnSpPr>
      <xdr:spPr>
        <a:xfrm flipV="1">
          <a:off x="3972117" y="779740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3989</xdr:row>
      <xdr:rowOff>26102</xdr:rowOff>
    </xdr:from>
    <xdr:ext cx="1699468" cy="504272"/>
    <xdr:pic>
      <xdr:nvPicPr>
        <xdr:cNvPr id="874" name="Imagen 873">
          <a:extLst>
            <a:ext uri="{FF2B5EF4-FFF2-40B4-BE49-F238E27FC236}">
              <a16:creationId xmlns:a16="http://schemas.microsoft.com/office/drawing/2014/main" id="{1766DE33-5194-4202-861C-A8D2F4F6F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9456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3989</xdr:row>
      <xdr:rowOff>309563</xdr:rowOff>
    </xdr:from>
    <xdr:to>
      <xdr:col>8</xdr:col>
      <xdr:colOff>494110</xdr:colOff>
      <xdr:row>3989</xdr:row>
      <xdr:rowOff>317462</xdr:rowOff>
    </xdr:to>
    <xdr:cxnSp macro="">
      <xdr:nvCxnSpPr>
        <xdr:cNvPr id="875" name="Conector recto 874">
          <a:extLst>
            <a:ext uri="{FF2B5EF4-FFF2-40B4-BE49-F238E27FC236}">
              <a16:creationId xmlns:a16="http://schemas.microsoft.com/office/drawing/2014/main" id="{FC5E3062-CC0B-4952-8521-52EDCC3DB490}"/>
            </a:ext>
          </a:extLst>
        </xdr:cNvPr>
        <xdr:cNvCxnSpPr/>
      </xdr:nvCxnSpPr>
      <xdr:spPr>
        <a:xfrm flipV="1">
          <a:off x="3972117" y="779740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3989</xdr:row>
      <xdr:rowOff>26102</xdr:rowOff>
    </xdr:from>
    <xdr:ext cx="1699468" cy="504272"/>
    <xdr:pic>
      <xdr:nvPicPr>
        <xdr:cNvPr id="876" name="Imagen 875">
          <a:extLst>
            <a:ext uri="{FF2B5EF4-FFF2-40B4-BE49-F238E27FC236}">
              <a16:creationId xmlns:a16="http://schemas.microsoft.com/office/drawing/2014/main" id="{708A3606-599C-4000-BE5E-1257D8A3D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9456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3989</xdr:row>
      <xdr:rowOff>309563</xdr:rowOff>
    </xdr:from>
    <xdr:to>
      <xdr:col>8</xdr:col>
      <xdr:colOff>494110</xdr:colOff>
      <xdr:row>3989</xdr:row>
      <xdr:rowOff>317462</xdr:rowOff>
    </xdr:to>
    <xdr:cxnSp macro="">
      <xdr:nvCxnSpPr>
        <xdr:cNvPr id="877" name="Conector recto 876">
          <a:extLst>
            <a:ext uri="{FF2B5EF4-FFF2-40B4-BE49-F238E27FC236}">
              <a16:creationId xmlns:a16="http://schemas.microsoft.com/office/drawing/2014/main" id="{15445D40-0DFB-4708-99D6-30A2398D719D}"/>
            </a:ext>
          </a:extLst>
        </xdr:cNvPr>
        <xdr:cNvCxnSpPr/>
      </xdr:nvCxnSpPr>
      <xdr:spPr>
        <a:xfrm flipV="1">
          <a:off x="3972117" y="779740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74903</xdr:colOff>
      <xdr:row>3989</xdr:row>
      <xdr:rowOff>26102</xdr:rowOff>
    </xdr:from>
    <xdr:ext cx="1699468" cy="504272"/>
    <xdr:pic>
      <xdr:nvPicPr>
        <xdr:cNvPr id="878" name="Imagen 877">
          <a:extLst>
            <a:ext uri="{FF2B5EF4-FFF2-40B4-BE49-F238E27FC236}">
              <a16:creationId xmlns:a16="http://schemas.microsoft.com/office/drawing/2014/main" id="{DA3044CA-1FC0-44F3-A1CE-798E0F8AF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903" y="779456852"/>
          <a:ext cx="1699468" cy="504272"/>
        </a:xfrm>
        <a:prstGeom prst="rect">
          <a:avLst/>
        </a:prstGeom>
      </xdr:spPr>
    </xdr:pic>
    <xdr:clientData/>
  </xdr:oneCellAnchor>
  <xdr:twoCellAnchor>
    <xdr:from>
      <xdr:col>5</xdr:col>
      <xdr:colOff>124017</xdr:colOff>
      <xdr:row>3989</xdr:row>
      <xdr:rowOff>309563</xdr:rowOff>
    </xdr:from>
    <xdr:to>
      <xdr:col>8</xdr:col>
      <xdr:colOff>494110</xdr:colOff>
      <xdr:row>3989</xdr:row>
      <xdr:rowOff>317462</xdr:rowOff>
    </xdr:to>
    <xdr:cxnSp macro="">
      <xdr:nvCxnSpPr>
        <xdr:cNvPr id="879" name="Conector recto 878">
          <a:extLst>
            <a:ext uri="{FF2B5EF4-FFF2-40B4-BE49-F238E27FC236}">
              <a16:creationId xmlns:a16="http://schemas.microsoft.com/office/drawing/2014/main" id="{3E3232B4-A91F-4B7D-8F06-A2530B04B176}"/>
            </a:ext>
          </a:extLst>
        </xdr:cNvPr>
        <xdr:cNvCxnSpPr/>
      </xdr:nvCxnSpPr>
      <xdr:spPr>
        <a:xfrm flipV="1">
          <a:off x="3972117" y="779740313"/>
          <a:ext cx="2656093" cy="7899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15C57-E9B0-4E32-9E59-68E59BD7B5F1}">
  <sheetPr>
    <tabColor theme="4" tint="-0.249977111117893"/>
    <pageSetUpPr fitToPage="1"/>
  </sheetPr>
  <dimension ref="A1:T501"/>
  <sheetViews>
    <sheetView view="pageBreakPreview" topLeftCell="A401" zoomScale="70" zoomScaleNormal="70" zoomScaleSheetLayoutView="70" workbookViewId="0">
      <selection activeCell="B226" sqref="B226:B241"/>
    </sheetView>
  </sheetViews>
  <sheetFormatPr baseColWidth="10" defaultColWidth="10.7109375" defaultRowHeight="25.5" x14ac:dyDescent="0.25"/>
  <cols>
    <col min="1" max="1" width="1.7109375" style="7" customWidth="1"/>
    <col min="2" max="2" width="21.85546875" style="95" customWidth="1"/>
    <col min="3" max="3" width="83.5703125" style="63" customWidth="1"/>
    <col min="4" max="4" width="15.42578125" style="62" customWidth="1"/>
    <col min="5" max="5" width="16.28515625" style="95" customWidth="1"/>
    <col min="6" max="6" width="21.85546875" style="64" customWidth="1"/>
    <col min="7" max="7" width="20.7109375" style="65" customWidth="1"/>
    <col min="8" max="8" width="1.5703125" style="7" customWidth="1"/>
    <col min="9" max="10" width="31.42578125" style="122" customWidth="1"/>
    <col min="11" max="11" width="31.42578125" style="185" customWidth="1"/>
    <col min="12" max="12" width="23.140625" style="7" customWidth="1"/>
    <col min="13" max="13" width="12.85546875" style="7" bestFit="1" customWidth="1"/>
    <col min="14" max="14" width="15.85546875" style="7" customWidth="1"/>
    <col min="15" max="15" width="17.140625" style="7" bestFit="1" customWidth="1"/>
    <col min="16" max="16" width="20.140625" style="7" customWidth="1"/>
    <col min="17" max="17" width="12.5703125" style="7" bestFit="1" customWidth="1"/>
    <col min="18" max="19" width="15.42578125" style="7" bestFit="1" customWidth="1"/>
    <col min="20" max="16384" width="10.7109375" style="7"/>
  </cols>
  <sheetData>
    <row r="1" spans="1:16" ht="9.9499999999999993" customHeight="1" thickBot="1" x14ac:dyDescent="0.3">
      <c r="A1" s="1"/>
      <c r="B1" s="84"/>
      <c r="C1" s="3"/>
      <c r="D1" s="2"/>
      <c r="E1" s="84"/>
      <c r="F1" s="4"/>
      <c r="G1" s="5"/>
      <c r="H1" s="6"/>
    </row>
    <row r="2" spans="1:16" s="10" customFormat="1" ht="99.95" customHeight="1" thickBot="1" x14ac:dyDescent="0.35">
      <c r="A2" s="8"/>
      <c r="B2" s="337"/>
      <c r="C2" s="338"/>
      <c r="D2" s="339" t="s">
        <v>0</v>
      </c>
      <c r="E2" s="339"/>
      <c r="F2" s="339"/>
      <c r="G2" s="340"/>
      <c r="H2" s="9"/>
      <c r="I2" s="114"/>
      <c r="J2" s="114"/>
      <c r="K2" s="186"/>
    </row>
    <row r="3" spans="1:16" s="10" customFormat="1" ht="9.9499999999999993" customHeight="1" thickBot="1" x14ac:dyDescent="0.35">
      <c r="A3" s="8"/>
      <c r="B3" s="338"/>
      <c r="C3" s="338"/>
      <c r="D3" s="338"/>
      <c r="E3" s="338"/>
      <c r="F3" s="338"/>
      <c r="G3" s="338"/>
      <c r="H3" s="9"/>
      <c r="I3" s="114"/>
      <c r="J3" s="114"/>
      <c r="K3" s="186"/>
    </row>
    <row r="4" spans="1:16" s="10" customFormat="1" ht="20.100000000000001" customHeight="1" x14ac:dyDescent="0.25">
      <c r="A4" s="8"/>
      <c r="B4" s="341" t="s">
        <v>1</v>
      </c>
      <c r="C4" s="342"/>
      <c r="D4" s="342"/>
      <c r="E4" s="342"/>
      <c r="F4" s="342"/>
      <c r="G4" s="343"/>
      <c r="H4" s="9"/>
      <c r="I4" s="114"/>
      <c r="J4" s="114"/>
      <c r="K4" s="186"/>
    </row>
    <row r="5" spans="1:16" s="10" customFormat="1" ht="20.100000000000001" customHeight="1" x14ac:dyDescent="0.25">
      <c r="A5" s="8"/>
      <c r="B5" s="11" t="s">
        <v>2</v>
      </c>
      <c r="C5" s="12" t="s">
        <v>3</v>
      </c>
      <c r="D5" s="13" t="s">
        <v>4</v>
      </c>
      <c r="E5" s="85"/>
      <c r="F5" s="14" t="s">
        <v>5</v>
      </c>
      <c r="G5" s="15" t="s">
        <v>6</v>
      </c>
      <c r="H5" s="9"/>
      <c r="I5" s="114"/>
      <c r="J5" s="114"/>
      <c r="K5" s="186"/>
    </row>
    <row r="6" spans="1:16" s="10" customFormat="1" ht="28.15" customHeight="1" x14ac:dyDescent="0.25">
      <c r="A6" s="8"/>
      <c r="B6" s="11" t="s">
        <v>7</v>
      </c>
      <c r="C6" s="16" t="s">
        <v>8</v>
      </c>
      <c r="D6" s="13" t="s">
        <v>9</v>
      </c>
      <c r="E6" s="85"/>
      <c r="F6" s="13" t="s">
        <v>10</v>
      </c>
      <c r="G6" s="17"/>
      <c r="H6" s="9"/>
      <c r="I6" s="114"/>
      <c r="J6" s="114"/>
      <c r="K6" s="186"/>
    </row>
    <row r="7" spans="1:16" s="10" customFormat="1" ht="23.45" customHeight="1" x14ac:dyDescent="0.25">
      <c r="A7" s="8"/>
      <c r="B7" s="11" t="s">
        <v>11</v>
      </c>
      <c r="C7" s="16"/>
      <c r="D7" s="165" t="s">
        <v>12</v>
      </c>
      <c r="E7" s="86"/>
      <c r="F7" s="165" t="s">
        <v>13</v>
      </c>
      <c r="G7" s="18"/>
      <c r="H7" s="9"/>
      <c r="I7" s="114"/>
      <c r="J7" s="114"/>
      <c r="K7" s="186"/>
    </row>
    <row r="8" spans="1:16" s="10" customFormat="1" ht="29.45" customHeight="1" x14ac:dyDescent="0.25">
      <c r="A8" s="8"/>
      <c r="B8" s="11" t="s">
        <v>14</v>
      </c>
      <c r="C8" s="16"/>
      <c r="D8" s="344" t="s">
        <v>15</v>
      </c>
      <c r="E8" s="345"/>
      <c r="F8" s="345"/>
      <c r="G8" s="19"/>
      <c r="H8" s="9"/>
      <c r="I8" s="114"/>
      <c r="J8" s="114"/>
      <c r="K8" s="208" t="s">
        <v>416</v>
      </c>
      <c r="L8" s="10" t="s">
        <v>417</v>
      </c>
      <c r="M8" s="10" t="s">
        <v>418</v>
      </c>
      <c r="N8" s="10" t="s">
        <v>420</v>
      </c>
      <c r="O8" s="10" t="s">
        <v>419</v>
      </c>
      <c r="P8" s="207" t="s">
        <v>316</v>
      </c>
    </row>
    <row r="9" spans="1:16" s="10" customFormat="1" ht="20.100000000000001" customHeight="1" x14ac:dyDescent="0.25">
      <c r="A9" s="8"/>
      <c r="B9" s="346" t="s">
        <v>16</v>
      </c>
      <c r="C9" s="348" t="s">
        <v>414</v>
      </c>
      <c r="D9" s="348"/>
      <c r="E9" s="348"/>
      <c r="F9" s="348"/>
      <c r="G9" s="349"/>
      <c r="H9" s="9"/>
      <c r="I9" s="114"/>
      <c r="J9" s="114"/>
      <c r="K9" s="186"/>
    </row>
    <row r="10" spans="1:16" s="10" customFormat="1" ht="42.75" customHeight="1" thickBot="1" x14ac:dyDescent="0.3">
      <c r="A10" s="8"/>
      <c r="B10" s="347"/>
      <c r="C10" s="350"/>
      <c r="D10" s="350"/>
      <c r="E10" s="350"/>
      <c r="F10" s="350"/>
      <c r="G10" s="351"/>
      <c r="H10" s="9"/>
      <c r="I10" s="114"/>
      <c r="J10" s="205">
        <v>56200</v>
      </c>
      <c r="K10" s="208">
        <f>+J10*1.25</f>
        <v>70250</v>
      </c>
      <c r="L10" s="10">
        <f>+K10*10%</f>
        <v>7025</v>
      </c>
      <c r="M10" s="10">
        <v>31800</v>
      </c>
      <c r="N10" s="10">
        <f>+K10*0.2</f>
        <v>14050</v>
      </c>
      <c r="O10" s="206">
        <f>+K10-L10-M10-N10</f>
        <v>17375</v>
      </c>
      <c r="P10" s="206">
        <f>+O10/K10</f>
        <v>0.24733096085409254</v>
      </c>
    </row>
    <row r="11" spans="1:16" s="10" customFormat="1" ht="9.9499999999999993" customHeight="1" thickBot="1" x14ac:dyDescent="0.3">
      <c r="A11" s="8"/>
      <c r="B11" s="352"/>
      <c r="C11" s="352"/>
      <c r="D11" s="352"/>
      <c r="E11" s="352"/>
      <c r="F11" s="352"/>
      <c r="G11" s="352"/>
      <c r="H11" s="9"/>
      <c r="I11" s="114"/>
      <c r="J11" s="114"/>
      <c r="K11" s="186"/>
    </row>
    <row r="12" spans="1:16" s="10" customFormat="1" ht="20.100000000000001" customHeight="1" x14ac:dyDescent="0.25">
      <c r="A12" s="8"/>
      <c r="B12" s="341" t="s">
        <v>17</v>
      </c>
      <c r="C12" s="342"/>
      <c r="D12" s="342"/>
      <c r="E12" s="342"/>
      <c r="F12" s="342"/>
      <c r="G12" s="343"/>
      <c r="H12" s="9"/>
      <c r="I12" s="114"/>
      <c r="J12" s="114"/>
      <c r="K12" s="186"/>
    </row>
    <row r="13" spans="1:16" s="10" customFormat="1" ht="20.100000000000001" customHeight="1" x14ac:dyDescent="0.25">
      <c r="A13" s="8"/>
      <c r="B13" s="20" t="s">
        <v>18</v>
      </c>
      <c r="C13" s="16"/>
      <c r="D13" s="21" t="s">
        <v>19</v>
      </c>
      <c r="E13" s="87"/>
      <c r="F13" s="21" t="s">
        <v>20</v>
      </c>
      <c r="G13" s="22"/>
      <c r="H13" s="9"/>
      <c r="I13" s="114"/>
      <c r="J13" s="114"/>
      <c r="K13" s="186"/>
    </row>
    <row r="14" spans="1:16" s="10" customFormat="1" ht="20.25" customHeight="1" x14ac:dyDescent="0.25">
      <c r="A14" s="8"/>
      <c r="B14" s="20" t="s">
        <v>21</v>
      </c>
      <c r="C14" s="16"/>
      <c r="D14" s="21" t="s">
        <v>22</v>
      </c>
      <c r="E14" s="88"/>
      <c r="F14" s="21" t="s">
        <v>23</v>
      </c>
      <c r="G14" s="18"/>
      <c r="H14" s="9"/>
      <c r="I14" s="114"/>
      <c r="J14" s="114"/>
      <c r="K14" s="186"/>
    </row>
    <row r="15" spans="1:16" s="10" customFormat="1" ht="29.45" customHeight="1" thickBot="1" x14ac:dyDescent="0.3">
      <c r="A15" s="8"/>
      <c r="B15" s="23" t="s">
        <v>24</v>
      </c>
      <c r="C15" s="24"/>
      <c r="D15" s="25" t="s">
        <v>25</v>
      </c>
      <c r="E15" s="89"/>
      <c r="F15" s="25" t="s">
        <v>26</v>
      </c>
      <c r="G15" s="168"/>
      <c r="H15" s="9"/>
      <c r="I15" s="114"/>
      <c r="J15" s="114"/>
      <c r="K15" s="186"/>
    </row>
    <row r="16" spans="1:16" s="10" customFormat="1" ht="9.9499999999999993" customHeight="1" thickBot="1" x14ac:dyDescent="0.3">
      <c r="A16" s="8"/>
      <c r="B16" s="353"/>
      <c r="C16" s="353"/>
      <c r="D16" s="353"/>
      <c r="E16" s="353"/>
      <c r="F16" s="353"/>
      <c r="G16" s="353"/>
      <c r="H16" s="9"/>
      <c r="I16" s="114"/>
      <c r="J16" s="114"/>
      <c r="K16" s="186"/>
    </row>
    <row r="17" spans="1:17" ht="28.15" customHeight="1" x14ac:dyDescent="0.25">
      <c r="A17" s="26"/>
      <c r="B17" s="354" t="s">
        <v>118</v>
      </c>
      <c r="C17" s="355"/>
      <c r="D17" s="355"/>
      <c r="E17" s="355"/>
      <c r="F17" s="355"/>
      <c r="G17" s="356"/>
      <c r="H17" s="27"/>
    </row>
    <row r="18" spans="1:17" x14ac:dyDescent="0.25">
      <c r="A18" s="26"/>
      <c r="B18" s="321" t="s">
        <v>107</v>
      </c>
      <c r="C18" s="322"/>
      <c r="D18" s="80"/>
      <c r="E18" s="90"/>
      <c r="F18" s="80"/>
      <c r="G18" s="81"/>
      <c r="H18" s="27"/>
    </row>
    <row r="19" spans="1:17" ht="24" customHeight="1" x14ac:dyDescent="0.25">
      <c r="A19" s="26"/>
      <c r="B19" s="323" t="s">
        <v>105</v>
      </c>
      <c r="C19" s="324"/>
      <c r="D19" s="111"/>
      <c r="E19" s="112"/>
      <c r="F19" s="111"/>
      <c r="G19" s="113"/>
      <c r="H19" s="27"/>
      <c r="I19" s="122">
        <f>+I21*1.1</f>
        <v>52971.600000000006</v>
      </c>
    </row>
    <row r="20" spans="1:17" ht="35.25" customHeight="1" x14ac:dyDescent="0.25">
      <c r="A20" s="26"/>
      <c r="B20" s="28">
        <v>1</v>
      </c>
      <c r="C20" s="29" t="s">
        <v>159</v>
      </c>
      <c r="D20" s="30" t="s">
        <v>27</v>
      </c>
      <c r="E20" s="83" t="s">
        <v>28</v>
      </c>
      <c r="F20" s="30" t="s">
        <v>29</v>
      </c>
      <c r="G20" s="32" t="s">
        <v>30</v>
      </c>
      <c r="H20" s="27"/>
      <c r="K20" s="185" t="s">
        <v>29</v>
      </c>
      <c r="L20" s="189"/>
      <c r="M20" s="7">
        <f>+L17-42400</f>
        <v>-42400</v>
      </c>
      <c r="O20" s="204" t="e">
        <f>+M20/L17</f>
        <v>#DIV/0!</v>
      </c>
    </row>
    <row r="21" spans="1:17" s="40" customFormat="1" ht="38.25" x14ac:dyDescent="0.25">
      <c r="A21" s="39"/>
      <c r="B21" s="33">
        <v>1.1000000000000001</v>
      </c>
      <c r="C21" s="41" t="s">
        <v>150</v>
      </c>
      <c r="D21" s="34" t="s">
        <v>34</v>
      </c>
      <c r="E21" s="42">
        <v>278</v>
      </c>
      <c r="F21" s="37">
        <v>52971</v>
      </c>
      <c r="G21" s="35">
        <f>+E21*F21</f>
        <v>14725938</v>
      </c>
      <c r="H21" s="27"/>
      <c r="I21" s="123">
        <v>48156</v>
      </c>
      <c r="J21" s="123">
        <f>+I21*1.12</f>
        <v>53934.720000000008</v>
      </c>
      <c r="K21" s="185">
        <v>48156</v>
      </c>
      <c r="L21" s="189">
        <f>+K21-F21</f>
        <v>-4815</v>
      </c>
    </row>
    <row r="22" spans="1:17" s="40" customFormat="1" ht="22.15" customHeight="1" x14ac:dyDescent="0.25">
      <c r="A22" s="39"/>
      <c r="B22" s="33">
        <v>1.2</v>
      </c>
      <c r="C22" s="41" t="s">
        <v>154</v>
      </c>
      <c r="D22" s="34" t="s">
        <v>149</v>
      </c>
      <c r="E22" s="42">
        <v>278</v>
      </c>
      <c r="F22" s="37">
        <v>585200</v>
      </c>
      <c r="G22" s="35">
        <f>+E22*F22</f>
        <v>162685600</v>
      </c>
      <c r="H22" s="27"/>
      <c r="I22" s="123">
        <v>485000</v>
      </c>
      <c r="J22" s="123">
        <f>+I22*1.12</f>
        <v>543200</v>
      </c>
      <c r="K22" s="185">
        <v>485000</v>
      </c>
      <c r="L22" s="189">
        <f>+K22-F22</f>
        <v>-100200</v>
      </c>
      <c r="O22" s="201">
        <v>229776631</v>
      </c>
      <c r="Q22" s="202"/>
    </row>
    <row r="23" spans="1:17" s="40" customFormat="1" ht="24.75" customHeight="1" x14ac:dyDescent="0.25">
      <c r="A23" s="39"/>
      <c r="B23" s="33">
        <v>1.3</v>
      </c>
      <c r="C23" s="41" t="s">
        <v>415</v>
      </c>
      <c r="D23" s="34" t="s">
        <v>48</v>
      </c>
      <c r="E23" s="42">
        <v>392</v>
      </c>
      <c r="F23" s="37">
        <v>75200</v>
      </c>
      <c r="G23" s="35">
        <f>+E23*F23</f>
        <v>29478400</v>
      </c>
      <c r="H23" s="27"/>
      <c r="I23" s="123">
        <v>58529</v>
      </c>
      <c r="J23" s="123">
        <f>+I23*1.12</f>
        <v>65552.48000000001</v>
      </c>
      <c r="K23" s="185">
        <v>58529</v>
      </c>
      <c r="L23" s="189">
        <f>+K23-F23</f>
        <v>-16671</v>
      </c>
      <c r="O23" s="201" t="e">
        <f>+#REF!*0.0883</f>
        <v>#REF!</v>
      </c>
    </row>
    <row r="24" spans="1:17" s="40" customFormat="1" ht="24.75" customHeight="1" x14ac:dyDescent="0.25">
      <c r="A24" s="39"/>
      <c r="B24" s="33">
        <v>1.4</v>
      </c>
      <c r="C24" s="41" t="s">
        <v>421</v>
      </c>
      <c r="D24" s="34" t="s">
        <v>48</v>
      </c>
      <c r="E24" s="42">
        <v>371</v>
      </c>
      <c r="F24" s="37">
        <v>54200</v>
      </c>
      <c r="G24" s="35">
        <f>+E24*F24</f>
        <v>20108200</v>
      </c>
      <c r="H24" s="27"/>
      <c r="I24" s="123"/>
      <c r="J24" s="123"/>
      <c r="K24" s="185"/>
      <c r="L24" s="189"/>
      <c r="O24" s="201"/>
    </row>
    <row r="25" spans="1:17" s="40" customFormat="1" ht="24.75" customHeight="1" x14ac:dyDescent="0.25">
      <c r="A25" s="39"/>
      <c r="B25" s="33">
        <v>1.5</v>
      </c>
      <c r="C25" s="41" t="s">
        <v>422</v>
      </c>
      <c r="D25" s="34" t="s">
        <v>48</v>
      </c>
      <c r="E25" s="42">
        <v>47.3</v>
      </c>
      <c r="F25" s="37">
        <v>56200</v>
      </c>
      <c r="G25" s="35">
        <f>+E25*F25</f>
        <v>2658260</v>
      </c>
      <c r="H25" s="27"/>
      <c r="I25" s="123"/>
      <c r="J25" s="123"/>
      <c r="K25" s="185"/>
      <c r="L25" s="189"/>
      <c r="O25" s="201"/>
    </row>
    <row r="26" spans="1:17" ht="24" customHeight="1" x14ac:dyDescent="0.25">
      <c r="A26" s="26"/>
      <c r="B26" s="305" t="s">
        <v>452</v>
      </c>
      <c r="C26" s="306"/>
      <c r="D26" s="306"/>
      <c r="E26" s="306"/>
      <c r="F26" s="100"/>
      <c r="G26" s="101">
        <f>SUM(G21:G25)</f>
        <v>229656398</v>
      </c>
      <c r="H26" s="27"/>
      <c r="L26" s="189">
        <f>+K26-F26</f>
        <v>0</v>
      </c>
    </row>
    <row r="27" spans="1:17" ht="34.5" customHeight="1" x14ac:dyDescent="0.25">
      <c r="A27" s="26"/>
      <c r="B27" s="28">
        <v>2</v>
      </c>
      <c r="C27" s="29" t="s">
        <v>423</v>
      </c>
      <c r="D27" s="30" t="s">
        <v>27</v>
      </c>
      <c r="E27" s="83" t="s">
        <v>28</v>
      </c>
      <c r="F27" s="30" t="s">
        <v>29</v>
      </c>
      <c r="G27" s="32" t="s">
        <v>30</v>
      </c>
      <c r="H27" s="27"/>
      <c r="K27" s="185" t="s">
        <v>29</v>
      </c>
      <c r="L27" s="189"/>
    </row>
    <row r="28" spans="1:17" s="40" customFormat="1" x14ac:dyDescent="0.25">
      <c r="A28" s="39"/>
      <c r="B28" s="211">
        <v>2.1</v>
      </c>
      <c r="C28" s="212" t="s">
        <v>358</v>
      </c>
      <c r="D28" s="34" t="s">
        <v>34</v>
      </c>
      <c r="E28" s="42" t="e">
        <f>+#REF!</f>
        <v>#REF!</v>
      </c>
      <c r="F28" s="37">
        <v>152350</v>
      </c>
      <c r="G28" s="35" t="e">
        <f t="shared" ref="G28:G52" si="0">+E28*F28</f>
        <v>#REF!</v>
      </c>
      <c r="H28" s="27"/>
      <c r="I28" s="159"/>
      <c r="J28" s="159"/>
      <c r="K28" s="187">
        <v>152350</v>
      </c>
      <c r="L28" s="189">
        <f>+K28-F28</f>
        <v>0</v>
      </c>
      <c r="Q28" s="40">
        <f>+O28*1.4</f>
        <v>0</v>
      </c>
    </row>
    <row r="29" spans="1:17" s="40" customFormat="1" ht="38.25" x14ac:dyDescent="0.25">
      <c r="A29" s="39"/>
      <c r="B29" s="210">
        <v>2.2000000000000002</v>
      </c>
      <c r="C29" s="115" t="s">
        <v>424</v>
      </c>
      <c r="D29" s="38" t="s">
        <v>389</v>
      </c>
      <c r="E29" s="43" t="e">
        <f>+#REF!</f>
        <v>#REF!</v>
      </c>
      <c r="F29" s="117">
        <v>171293</v>
      </c>
      <c r="G29" s="118" t="e">
        <f t="shared" si="0"/>
        <v>#REF!</v>
      </c>
      <c r="H29" s="27"/>
      <c r="I29" s="214"/>
      <c r="J29" s="159"/>
      <c r="K29" s="187"/>
      <c r="L29" s="189"/>
    </row>
    <row r="30" spans="1:17" s="40" customFormat="1" x14ac:dyDescent="0.25">
      <c r="A30" s="39"/>
      <c r="B30" s="211">
        <v>2.2999999999999998</v>
      </c>
      <c r="C30" s="115" t="s">
        <v>425</v>
      </c>
      <c r="D30" s="38" t="s">
        <v>389</v>
      </c>
      <c r="E30" s="43" t="e">
        <f>+#REF!</f>
        <v>#REF!</v>
      </c>
      <c r="F30" s="117">
        <v>27410</v>
      </c>
      <c r="G30" s="118" t="e">
        <f t="shared" si="0"/>
        <v>#REF!</v>
      </c>
      <c r="H30" s="27"/>
      <c r="I30" s="159"/>
      <c r="J30" s="159"/>
      <c r="K30" s="187"/>
      <c r="L30" s="189"/>
    </row>
    <row r="31" spans="1:17" s="40" customFormat="1" x14ac:dyDescent="0.25">
      <c r="A31" s="39"/>
      <c r="B31" s="210">
        <v>2.4</v>
      </c>
      <c r="C31" s="115" t="s">
        <v>426</v>
      </c>
      <c r="D31" s="38" t="s">
        <v>389</v>
      </c>
      <c r="E31" s="43" t="e">
        <f>+#REF!</f>
        <v>#REF!</v>
      </c>
      <c r="F31" s="117">
        <v>25002</v>
      </c>
      <c r="G31" s="118" t="e">
        <f t="shared" si="0"/>
        <v>#REF!</v>
      </c>
      <c r="H31" s="27"/>
      <c r="I31" s="159"/>
      <c r="J31" s="159"/>
      <c r="K31" s="187"/>
      <c r="L31" s="189"/>
    </row>
    <row r="32" spans="1:17" s="40" customFormat="1" ht="16.5" x14ac:dyDescent="0.25">
      <c r="A32" s="39"/>
      <c r="B32" s="211">
        <v>2.5</v>
      </c>
      <c r="C32" s="115" t="s">
        <v>427</v>
      </c>
      <c r="D32" s="38" t="s">
        <v>34</v>
      </c>
      <c r="E32" s="43" t="e">
        <f>+#REF!</f>
        <v>#REF!</v>
      </c>
      <c r="F32" s="117">
        <v>118800</v>
      </c>
      <c r="G32" s="118" t="e">
        <f t="shared" si="0"/>
        <v>#REF!</v>
      </c>
      <c r="H32" s="27"/>
      <c r="I32" s="159"/>
      <c r="J32" s="159"/>
      <c r="K32" s="187"/>
      <c r="L32" s="189"/>
    </row>
    <row r="33" spans="1:20" s="40" customFormat="1" ht="38.25" x14ac:dyDescent="0.25">
      <c r="A33" s="39"/>
      <c r="B33" s="210">
        <v>2.6</v>
      </c>
      <c r="C33" s="115" t="s">
        <v>428</v>
      </c>
      <c r="D33" s="38" t="s">
        <v>389</v>
      </c>
      <c r="E33" s="43" t="e">
        <f>+#REF!</f>
        <v>#REF!</v>
      </c>
      <c r="F33" s="117">
        <v>10773</v>
      </c>
      <c r="G33" s="118" t="e">
        <f t="shared" si="0"/>
        <v>#REF!</v>
      </c>
      <c r="H33" s="27"/>
      <c r="I33" s="159"/>
      <c r="J33" s="159"/>
      <c r="K33" s="187"/>
      <c r="L33" s="189"/>
    </row>
    <row r="34" spans="1:20" s="40" customFormat="1" ht="16.5" x14ac:dyDescent="0.25">
      <c r="A34" s="39"/>
      <c r="B34" s="211">
        <v>2.7</v>
      </c>
      <c r="C34" s="115" t="s">
        <v>429</v>
      </c>
      <c r="D34" s="38" t="s">
        <v>389</v>
      </c>
      <c r="E34" s="43" t="e">
        <f>+#REF!</f>
        <v>#REF!</v>
      </c>
      <c r="F34" s="117">
        <v>61222</v>
      </c>
      <c r="G34" s="118" t="e">
        <f t="shared" si="0"/>
        <v>#REF!</v>
      </c>
      <c r="H34" s="27"/>
      <c r="I34" s="159"/>
      <c r="J34" s="159"/>
      <c r="K34" s="187"/>
      <c r="L34" s="189"/>
    </row>
    <row r="35" spans="1:20" ht="38.25" x14ac:dyDescent="0.25">
      <c r="A35" s="26"/>
      <c r="B35" s="211">
        <v>2.8</v>
      </c>
      <c r="C35" s="212" t="s">
        <v>515</v>
      </c>
      <c r="D35" s="34" t="s">
        <v>389</v>
      </c>
      <c r="E35" s="42" t="e">
        <f>+#REF!</f>
        <v>#REF!</v>
      </c>
      <c r="F35" s="37">
        <v>76867.12</v>
      </c>
      <c r="G35" s="35" t="e">
        <f t="shared" si="0"/>
        <v>#REF!</v>
      </c>
      <c r="H35" s="216"/>
      <c r="I35" s="123"/>
      <c r="J35" s="123"/>
      <c r="K35" s="218"/>
      <c r="L35" s="189"/>
    </row>
    <row r="36" spans="1:20" ht="79.900000000000006" customHeight="1" x14ac:dyDescent="0.25">
      <c r="A36" s="26"/>
      <c r="B36" s="210">
        <v>2.9</v>
      </c>
      <c r="C36" s="115" t="s">
        <v>223</v>
      </c>
      <c r="D36" s="38" t="s">
        <v>27</v>
      </c>
      <c r="E36" s="42">
        <v>1</v>
      </c>
      <c r="F36" s="37">
        <v>9201198</v>
      </c>
      <c r="G36" s="118">
        <f t="shared" si="0"/>
        <v>9201198</v>
      </c>
      <c r="H36" s="27"/>
      <c r="I36" s="123"/>
      <c r="J36" s="123"/>
      <c r="K36" s="185">
        <v>9201198</v>
      </c>
      <c r="L36" s="189">
        <v>5300000</v>
      </c>
      <c r="M36" s="189">
        <f>+K36-L36</f>
        <v>3901198</v>
      </c>
      <c r="N36" s="189"/>
      <c r="O36" s="197">
        <f>+M36/L36</f>
        <v>0.73607509433962259</v>
      </c>
      <c r="P36" s="199">
        <f>+O36-1.19</f>
        <v>-0.45392490566037735</v>
      </c>
      <c r="Q36" s="7">
        <f>+F36*1.25</f>
        <v>11501497.5</v>
      </c>
      <c r="R36" s="121">
        <f>+Q36*0.2</f>
        <v>2300299.5</v>
      </c>
      <c r="S36" s="198">
        <f>+Q36-L36-R36-Q36*0.0883</f>
        <v>2885615.7707500001</v>
      </c>
      <c r="T36" s="199">
        <f>+S36/Q36</f>
        <v>0.2508904402013738</v>
      </c>
    </row>
    <row r="37" spans="1:20" ht="87" customHeight="1" x14ac:dyDescent="0.25">
      <c r="A37" s="26"/>
      <c r="B37" s="213">
        <v>2.1</v>
      </c>
      <c r="C37" s="36" t="s">
        <v>224</v>
      </c>
      <c r="D37" s="38" t="s">
        <v>27</v>
      </c>
      <c r="E37" s="42">
        <v>1</v>
      </c>
      <c r="F37" s="37">
        <v>1372799</v>
      </c>
      <c r="G37" s="118">
        <f t="shared" si="0"/>
        <v>1372799</v>
      </c>
      <c r="H37" s="27"/>
      <c r="I37" s="123"/>
      <c r="J37" s="123"/>
      <c r="K37" s="185">
        <v>1372799</v>
      </c>
      <c r="L37" s="189">
        <f t="shared" ref="L37:L53" si="1">+K37-F37</f>
        <v>0</v>
      </c>
    </row>
    <row r="38" spans="1:20" ht="85.15" customHeight="1" x14ac:dyDescent="0.25">
      <c r="A38" s="26"/>
      <c r="B38" s="209">
        <v>2.11</v>
      </c>
      <c r="C38" s="36" t="s">
        <v>225</v>
      </c>
      <c r="D38" s="38" t="s">
        <v>27</v>
      </c>
      <c r="E38" s="42">
        <v>1</v>
      </c>
      <c r="F38" s="37">
        <v>8079175</v>
      </c>
      <c r="G38" s="118">
        <f t="shared" si="0"/>
        <v>8079175</v>
      </c>
      <c r="H38" s="27"/>
      <c r="I38" s="123"/>
      <c r="J38" s="123"/>
      <c r="K38" s="185">
        <v>8079175</v>
      </c>
      <c r="L38" s="189">
        <f t="shared" si="1"/>
        <v>0</v>
      </c>
      <c r="P38" s="200"/>
    </row>
    <row r="39" spans="1:20" ht="78" customHeight="1" x14ac:dyDescent="0.25">
      <c r="A39" s="26"/>
      <c r="B39" s="213">
        <v>2.12</v>
      </c>
      <c r="C39" s="36" t="s">
        <v>227</v>
      </c>
      <c r="D39" s="38" t="s">
        <v>27</v>
      </c>
      <c r="E39" s="42">
        <v>1</v>
      </c>
      <c r="F39" s="37">
        <v>2420664</v>
      </c>
      <c r="G39" s="118">
        <f t="shared" si="0"/>
        <v>2420664</v>
      </c>
      <c r="H39" s="27"/>
      <c r="I39" s="123"/>
      <c r="J39" s="123"/>
      <c r="K39" s="185">
        <v>2420664</v>
      </c>
      <c r="L39" s="189">
        <f t="shared" si="1"/>
        <v>0</v>
      </c>
      <c r="P39" s="200"/>
    </row>
    <row r="40" spans="1:20" ht="80.45" customHeight="1" x14ac:dyDescent="0.25">
      <c r="A40" s="26"/>
      <c r="B40" s="209">
        <v>2.13</v>
      </c>
      <c r="C40" s="36" t="s">
        <v>226</v>
      </c>
      <c r="D40" s="38" t="s">
        <v>27</v>
      </c>
      <c r="E40" s="42">
        <v>1</v>
      </c>
      <c r="F40" s="37">
        <v>6250503</v>
      </c>
      <c r="G40" s="118">
        <f t="shared" si="0"/>
        <v>6250503</v>
      </c>
      <c r="H40" s="27"/>
      <c r="I40" s="123"/>
      <c r="J40" s="123"/>
      <c r="K40" s="185">
        <v>6250503</v>
      </c>
      <c r="L40" s="189">
        <f t="shared" si="1"/>
        <v>0</v>
      </c>
    </row>
    <row r="41" spans="1:20" ht="91.5" customHeight="1" x14ac:dyDescent="0.25">
      <c r="A41" s="26"/>
      <c r="B41" s="213">
        <v>2.14</v>
      </c>
      <c r="C41" s="36" t="s">
        <v>367</v>
      </c>
      <c r="D41" s="38" t="s">
        <v>27</v>
      </c>
      <c r="E41" s="42">
        <v>1</v>
      </c>
      <c r="F41" s="37">
        <v>2504932</v>
      </c>
      <c r="G41" s="118">
        <f t="shared" si="0"/>
        <v>2504932</v>
      </c>
      <c r="H41" s="27"/>
      <c r="I41" s="123"/>
      <c r="J41" s="123"/>
      <c r="K41" s="185">
        <v>2504932</v>
      </c>
      <c r="L41" s="189">
        <f t="shared" si="1"/>
        <v>0</v>
      </c>
    </row>
    <row r="42" spans="1:20" ht="78.599999999999994" customHeight="1" x14ac:dyDescent="0.25">
      <c r="A42" s="26"/>
      <c r="B42" s="209">
        <v>2.15</v>
      </c>
      <c r="C42" s="36" t="s">
        <v>228</v>
      </c>
      <c r="D42" s="38" t="s">
        <v>27</v>
      </c>
      <c r="E42" s="42">
        <v>1</v>
      </c>
      <c r="F42" s="37">
        <v>854470</v>
      </c>
      <c r="G42" s="118">
        <f t="shared" si="0"/>
        <v>854470</v>
      </c>
      <c r="H42" s="27"/>
      <c r="I42" s="123"/>
      <c r="J42" s="123"/>
      <c r="K42" s="185">
        <v>854470</v>
      </c>
      <c r="L42" s="189">
        <f t="shared" si="1"/>
        <v>0</v>
      </c>
    </row>
    <row r="43" spans="1:20" ht="60.6" customHeight="1" x14ac:dyDescent="0.25">
      <c r="A43" s="26"/>
      <c r="B43" s="213">
        <v>2.16</v>
      </c>
      <c r="C43" s="36" t="s">
        <v>229</v>
      </c>
      <c r="D43" s="38" t="s">
        <v>27</v>
      </c>
      <c r="E43" s="42">
        <v>1</v>
      </c>
      <c r="F43" s="37">
        <v>1723199</v>
      </c>
      <c r="G43" s="118">
        <f t="shared" si="0"/>
        <v>1723199</v>
      </c>
      <c r="H43" s="27"/>
      <c r="I43" s="123"/>
      <c r="J43" s="123"/>
      <c r="K43" s="185">
        <v>1723199</v>
      </c>
      <c r="L43" s="189">
        <f t="shared" si="1"/>
        <v>0</v>
      </c>
    </row>
    <row r="44" spans="1:20" ht="70.150000000000006" customHeight="1" x14ac:dyDescent="0.25">
      <c r="A44" s="26"/>
      <c r="B44" s="209">
        <v>2.17</v>
      </c>
      <c r="C44" s="36" t="s">
        <v>230</v>
      </c>
      <c r="D44" s="38" t="s">
        <v>27</v>
      </c>
      <c r="E44" s="42">
        <v>1</v>
      </c>
      <c r="F44" s="37">
        <v>2014817</v>
      </c>
      <c r="G44" s="118">
        <f t="shared" si="0"/>
        <v>2014817</v>
      </c>
      <c r="H44" s="27"/>
      <c r="I44" s="123"/>
      <c r="J44" s="123"/>
      <c r="K44" s="185">
        <v>2014817</v>
      </c>
      <c r="L44" s="189">
        <f t="shared" si="1"/>
        <v>0</v>
      </c>
    </row>
    <row r="45" spans="1:20" ht="65.45" customHeight="1" x14ac:dyDescent="0.25">
      <c r="A45" s="26"/>
      <c r="B45" s="213">
        <v>2.1800000000000002</v>
      </c>
      <c r="C45" s="36" t="s">
        <v>231</v>
      </c>
      <c r="D45" s="38" t="s">
        <v>27</v>
      </c>
      <c r="E45" s="42">
        <v>1</v>
      </c>
      <c r="F45" s="37">
        <v>2081094</v>
      </c>
      <c r="G45" s="118">
        <f t="shared" si="0"/>
        <v>2081094</v>
      </c>
      <c r="H45" s="27"/>
      <c r="I45" s="123"/>
      <c r="J45" s="123"/>
      <c r="K45" s="185">
        <v>2081094</v>
      </c>
      <c r="L45" s="189">
        <f t="shared" si="1"/>
        <v>0</v>
      </c>
    </row>
    <row r="46" spans="1:20" ht="88.15" customHeight="1" x14ac:dyDescent="0.25">
      <c r="A46" s="26"/>
      <c r="B46" s="209">
        <v>2.19</v>
      </c>
      <c r="C46" s="36" t="s">
        <v>232</v>
      </c>
      <c r="D46" s="38" t="s">
        <v>27</v>
      </c>
      <c r="E46" s="42">
        <v>1</v>
      </c>
      <c r="F46" s="37">
        <v>10929600</v>
      </c>
      <c r="G46" s="118">
        <f t="shared" si="0"/>
        <v>10929600</v>
      </c>
      <c r="H46" s="27"/>
      <c r="I46" s="123"/>
      <c r="J46" s="123"/>
      <c r="K46" s="185">
        <v>10929600</v>
      </c>
      <c r="L46" s="189">
        <f t="shared" si="1"/>
        <v>0</v>
      </c>
    </row>
    <row r="47" spans="1:20" ht="88.15" customHeight="1" x14ac:dyDescent="0.25">
      <c r="A47" s="26"/>
      <c r="B47" s="213">
        <v>2.2000000000000002</v>
      </c>
      <c r="C47" s="36" t="s">
        <v>233</v>
      </c>
      <c r="D47" s="38" t="s">
        <v>27</v>
      </c>
      <c r="E47" s="42">
        <v>1</v>
      </c>
      <c r="F47" s="37">
        <v>12028500</v>
      </c>
      <c r="G47" s="118">
        <f t="shared" si="0"/>
        <v>12028500</v>
      </c>
      <c r="H47" s="27"/>
      <c r="I47" s="123"/>
      <c r="J47" s="123"/>
      <c r="K47" s="185">
        <v>12028500</v>
      </c>
      <c r="L47" s="189">
        <f t="shared" si="1"/>
        <v>0</v>
      </c>
    </row>
    <row r="48" spans="1:20" ht="87" customHeight="1" x14ac:dyDescent="0.25">
      <c r="A48" s="26"/>
      <c r="B48" s="209">
        <v>2.21</v>
      </c>
      <c r="C48" s="36" t="s">
        <v>234</v>
      </c>
      <c r="D48" s="38" t="s">
        <v>27</v>
      </c>
      <c r="E48" s="42">
        <v>1</v>
      </c>
      <c r="F48" s="37">
        <v>10453500</v>
      </c>
      <c r="G48" s="118">
        <f t="shared" si="0"/>
        <v>10453500</v>
      </c>
      <c r="H48" s="27"/>
      <c r="I48" s="123"/>
      <c r="J48" s="123"/>
      <c r="K48" s="185">
        <v>10453500</v>
      </c>
      <c r="L48" s="189">
        <f t="shared" si="1"/>
        <v>0</v>
      </c>
    </row>
    <row r="49" spans="1:20" ht="87" customHeight="1" x14ac:dyDescent="0.25">
      <c r="A49" s="26"/>
      <c r="B49" s="213">
        <v>2.2200000000000002</v>
      </c>
      <c r="C49" s="36" t="s">
        <v>235</v>
      </c>
      <c r="D49" s="38" t="s">
        <v>27</v>
      </c>
      <c r="E49" s="42">
        <v>1</v>
      </c>
      <c r="F49" s="37">
        <v>8806500</v>
      </c>
      <c r="G49" s="118">
        <f t="shared" si="0"/>
        <v>8806500</v>
      </c>
      <c r="H49" s="27"/>
      <c r="I49" s="123"/>
      <c r="J49" s="123"/>
      <c r="K49" s="185">
        <v>8806500</v>
      </c>
      <c r="L49" s="189">
        <f t="shared" si="1"/>
        <v>0</v>
      </c>
    </row>
    <row r="50" spans="1:20" ht="84" customHeight="1" x14ac:dyDescent="0.25">
      <c r="A50" s="26"/>
      <c r="B50" s="209">
        <v>2.23</v>
      </c>
      <c r="C50" s="36" t="s">
        <v>236</v>
      </c>
      <c r="D50" s="38" t="s">
        <v>27</v>
      </c>
      <c r="E50" s="42">
        <v>1</v>
      </c>
      <c r="F50" s="37">
        <v>1166400</v>
      </c>
      <c r="G50" s="118">
        <f t="shared" si="0"/>
        <v>1166400</v>
      </c>
      <c r="H50" s="27"/>
      <c r="I50" s="123"/>
      <c r="J50" s="123"/>
      <c r="K50" s="185">
        <v>1166400</v>
      </c>
      <c r="L50" s="189">
        <f t="shared" si="1"/>
        <v>0</v>
      </c>
    </row>
    <row r="51" spans="1:20" ht="80.45" customHeight="1" x14ac:dyDescent="0.25">
      <c r="A51" s="26"/>
      <c r="B51" s="213">
        <v>2.2400000000000002</v>
      </c>
      <c r="C51" s="36" t="s">
        <v>237</v>
      </c>
      <c r="D51" s="38" t="s">
        <v>27</v>
      </c>
      <c r="E51" s="42">
        <v>1</v>
      </c>
      <c r="F51" s="37">
        <v>2568000</v>
      </c>
      <c r="G51" s="118">
        <f t="shared" si="0"/>
        <v>2568000</v>
      </c>
      <c r="H51" s="27"/>
      <c r="I51" s="123"/>
      <c r="J51" s="123"/>
      <c r="K51" s="185">
        <v>2568000</v>
      </c>
      <c r="L51" s="189">
        <f t="shared" si="1"/>
        <v>0</v>
      </c>
    </row>
    <row r="52" spans="1:20" ht="82.9" customHeight="1" x14ac:dyDescent="0.25">
      <c r="A52" s="26"/>
      <c r="B52" s="209">
        <v>2.25</v>
      </c>
      <c r="C52" s="36" t="s">
        <v>238</v>
      </c>
      <c r="D52" s="38" t="s">
        <v>27</v>
      </c>
      <c r="E52" s="42">
        <v>1</v>
      </c>
      <c r="F52" s="37">
        <v>4784000</v>
      </c>
      <c r="G52" s="118">
        <f t="shared" si="0"/>
        <v>4784000</v>
      </c>
      <c r="H52" s="27"/>
      <c r="I52" s="123"/>
      <c r="J52" s="123"/>
      <c r="K52" s="185">
        <v>4784000</v>
      </c>
      <c r="L52" s="189">
        <f t="shared" si="1"/>
        <v>0</v>
      </c>
    </row>
    <row r="53" spans="1:20" ht="24" customHeight="1" x14ac:dyDescent="0.25">
      <c r="A53" s="26"/>
      <c r="B53" s="305" t="s">
        <v>432</v>
      </c>
      <c r="C53" s="306"/>
      <c r="D53" s="306"/>
      <c r="E53" s="306"/>
      <c r="F53" s="100"/>
      <c r="G53" s="101" t="e">
        <f>SUM(G28:G52)</f>
        <v>#REF!</v>
      </c>
      <c r="H53" s="27"/>
      <c r="L53" s="189">
        <f t="shared" si="1"/>
        <v>0</v>
      </c>
    </row>
    <row r="54" spans="1:20" ht="34.5" customHeight="1" x14ac:dyDescent="0.25">
      <c r="A54" s="26"/>
      <c r="B54" s="28">
        <v>3</v>
      </c>
      <c r="C54" s="29" t="s">
        <v>430</v>
      </c>
      <c r="D54" s="30" t="s">
        <v>27</v>
      </c>
      <c r="E54" s="83" t="s">
        <v>28</v>
      </c>
      <c r="F54" s="30" t="s">
        <v>29</v>
      </c>
      <c r="G54" s="32" t="s">
        <v>30</v>
      </c>
      <c r="H54" s="27"/>
      <c r="K54" s="185" t="s">
        <v>29</v>
      </c>
      <c r="L54" s="189"/>
    </row>
    <row r="55" spans="1:20" s="40" customFormat="1" x14ac:dyDescent="0.25">
      <c r="A55" s="39"/>
      <c r="B55" s="211">
        <v>3.1</v>
      </c>
      <c r="C55" s="212" t="s">
        <v>358</v>
      </c>
      <c r="D55" s="34" t="s">
        <v>34</v>
      </c>
      <c r="E55" s="42" t="e">
        <f>+#REF!</f>
        <v>#REF!</v>
      </c>
      <c r="F55" s="37">
        <v>152350</v>
      </c>
      <c r="G55" s="35" t="e">
        <f t="shared" ref="G55:G79" si="2">+E55*F55</f>
        <v>#REF!</v>
      </c>
      <c r="H55" s="27"/>
      <c r="I55" s="159"/>
      <c r="J55" s="159"/>
      <c r="K55" s="187">
        <v>152350</v>
      </c>
      <c r="L55" s="189">
        <f>+K55-F55</f>
        <v>0</v>
      </c>
      <c r="Q55" s="40">
        <f>+O55*1.4</f>
        <v>0</v>
      </c>
    </row>
    <row r="56" spans="1:20" s="40" customFormat="1" ht="38.25" x14ac:dyDescent="0.25">
      <c r="A56" s="39"/>
      <c r="B56" s="210">
        <v>3.2</v>
      </c>
      <c r="C56" s="115" t="s">
        <v>424</v>
      </c>
      <c r="D56" s="38" t="s">
        <v>389</v>
      </c>
      <c r="E56" s="43" t="e">
        <f>+#REF!</f>
        <v>#REF!</v>
      </c>
      <c r="F56" s="117">
        <v>171293</v>
      </c>
      <c r="G56" s="118" t="e">
        <f t="shared" si="2"/>
        <v>#REF!</v>
      </c>
      <c r="H56" s="27"/>
      <c r="I56" s="159"/>
      <c r="J56" s="159"/>
      <c r="K56" s="187"/>
      <c r="L56" s="189"/>
    </row>
    <row r="57" spans="1:20" s="40" customFormat="1" x14ac:dyDescent="0.25">
      <c r="A57" s="39"/>
      <c r="B57" s="211">
        <v>3.3</v>
      </c>
      <c r="C57" s="115" t="s">
        <v>425</v>
      </c>
      <c r="D57" s="38" t="s">
        <v>389</v>
      </c>
      <c r="E57" s="43" t="e">
        <f>+#REF!</f>
        <v>#REF!</v>
      </c>
      <c r="F57" s="117">
        <v>27410</v>
      </c>
      <c r="G57" s="118" t="e">
        <f t="shared" si="2"/>
        <v>#REF!</v>
      </c>
      <c r="H57" s="27"/>
      <c r="I57" s="159"/>
      <c r="J57" s="159"/>
      <c r="K57" s="187"/>
      <c r="L57" s="189"/>
    </row>
    <row r="58" spans="1:20" s="40" customFormat="1" x14ac:dyDescent="0.25">
      <c r="A58" s="39"/>
      <c r="B58" s="210">
        <v>3.4</v>
      </c>
      <c r="C58" s="115" t="s">
        <v>426</v>
      </c>
      <c r="D58" s="38" t="s">
        <v>389</v>
      </c>
      <c r="E58" s="43" t="e">
        <f>+#REF!</f>
        <v>#REF!</v>
      </c>
      <c r="F58" s="117">
        <v>25002</v>
      </c>
      <c r="G58" s="118" t="e">
        <f t="shared" si="2"/>
        <v>#REF!</v>
      </c>
      <c r="H58" s="27"/>
      <c r="I58" s="159"/>
      <c r="J58" s="159"/>
      <c r="K58" s="187"/>
      <c r="L58" s="189"/>
    </row>
    <row r="59" spans="1:20" s="40" customFormat="1" ht="16.5" x14ac:dyDescent="0.25">
      <c r="A59" s="39"/>
      <c r="B59" s="211">
        <v>3.5</v>
      </c>
      <c r="C59" s="115" t="s">
        <v>427</v>
      </c>
      <c r="D59" s="38" t="s">
        <v>34</v>
      </c>
      <c r="E59" s="43" t="e">
        <f>+#REF!</f>
        <v>#REF!</v>
      </c>
      <c r="F59" s="117">
        <v>118800</v>
      </c>
      <c r="G59" s="118" t="e">
        <f t="shared" si="2"/>
        <v>#REF!</v>
      </c>
      <c r="H59" s="27"/>
      <c r="I59" s="159"/>
      <c r="J59" s="159"/>
      <c r="K59" s="187"/>
      <c r="L59" s="189"/>
    </row>
    <row r="60" spans="1:20" s="40" customFormat="1" ht="38.25" x14ac:dyDescent="0.25">
      <c r="A60" s="39"/>
      <c r="B60" s="210">
        <v>3.6</v>
      </c>
      <c r="C60" s="115" t="s">
        <v>428</v>
      </c>
      <c r="D60" s="38" t="s">
        <v>389</v>
      </c>
      <c r="E60" s="43" t="e">
        <f>+#REF!</f>
        <v>#REF!</v>
      </c>
      <c r="F60" s="117">
        <v>10773</v>
      </c>
      <c r="G60" s="118" t="e">
        <f t="shared" si="2"/>
        <v>#REF!</v>
      </c>
      <c r="H60" s="27"/>
      <c r="I60" s="159"/>
      <c r="J60" s="159"/>
      <c r="K60" s="187"/>
      <c r="L60" s="189"/>
    </row>
    <row r="61" spans="1:20" s="40" customFormat="1" ht="16.5" x14ac:dyDescent="0.25">
      <c r="A61" s="39"/>
      <c r="B61" s="211">
        <v>3.7</v>
      </c>
      <c r="C61" s="115" t="s">
        <v>429</v>
      </c>
      <c r="D61" s="38" t="s">
        <v>389</v>
      </c>
      <c r="E61" s="43" t="e">
        <f>+#REF!</f>
        <v>#REF!</v>
      </c>
      <c r="F61" s="117">
        <v>61222</v>
      </c>
      <c r="G61" s="118" t="e">
        <f t="shared" si="2"/>
        <v>#REF!</v>
      </c>
      <c r="H61" s="27"/>
      <c r="I61" s="159">
        <f>54663*1.13</f>
        <v>61769.189999999995</v>
      </c>
      <c r="J61" s="159"/>
      <c r="K61" s="187"/>
      <c r="L61" s="189"/>
    </row>
    <row r="62" spans="1:20" ht="38.25" x14ac:dyDescent="0.25">
      <c r="A62" s="26"/>
      <c r="B62" s="211">
        <v>3.8</v>
      </c>
      <c r="C62" s="212" t="s">
        <v>515</v>
      </c>
      <c r="D62" s="34" t="s">
        <v>389</v>
      </c>
      <c r="E62" s="42" t="e">
        <f>+#REF!</f>
        <v>#REF!</v>
      </c>
      <c r="F62" s="37">
        <v>76867.12</v>
      </c>
      <c r="G62" s="35" t="e">
        <f t="shared" si="2"/>
        <v>#REF!</v>
      </c>
      <c r="H62" s="216"/>
      <c r="I62" s="123"/>
      <c r="J62" s="123"/>
      <c r="K62" s="218"/>
      <c r="L62" s="189"/>
    </row>
    <row r="63" spans="1:20" ht="79.900000000000006" customHeight="1" x14ac:dyDescent="0.25">
      <c r="A63" s="26"/>
      <c r="B63" s="210">
        <v>3.8</v>
      </c>
      <c r="C63" s="115" t="s">
        <v>223</v>
      </c>
      <c r="D63" s="38" t="s">
        <v>27</v>
      </c>
      <c r="E63" s="42">
        <v>1</v>
      </c>
      <c r="F63" s="37">
        <v>9201198</v>
      </c>
      <c r="G63" s="118">
        <f t="shared" si="2"/>
        <v>9201198</v>
      </c>
      <c r="H63" s="27"/>
      <c r="I63" s="123"/>
      <c r="J63" s="123"/>
      <c r="K63" s="185">
        <v>9201198</v>
      </c>
      <c r="L63" s="189">
        <v>5300000</v>
      </c>
      <c r="M63" s="189">
        <f>+K63-L63</f>
        <v>3901198</v>
      </c>
      <c r="N63" s="189"/>
      <c r="O63" s="197">
        <f>+M63/L63</f>
        <v>0.73607509433962259</v>
      </c>
      <c r="P63" s="199">
        <f>+O63-1.19</f>
        <v>-0.45392490566037735</v>
      </c>
      <c r="Q63" s="7">
        <f>+F63*1.25</f>
        <v>11501497.5</v>
      </c>
      <c r="R63" s="121">
        <f>+Q63*0.2</f>
        <v>2300299.5</v>
      </c>
      <c r="S63" s="198">
        <f>+Q63-L63-R63-Q63*0.0883</f>
        <v>2885615.7707500001</v>
      </c>
      <c r="T63" s="199">
        <f>+S63/Q63</f>
        <v>0.2508904402013738</v>
      </c>
    </row>
    <row r="64" spans="1:20" ht="87" customHeight="1" x14ac:dyDescent="0.25">
      <c r="A64" s="26"/>
      <c r="B64" s="211">
        <v>3.9</v>
      </c>
      <c r="C64" s="36" t="s">
        <v>224</v>
      </c>
      <c r="D64" s="38" t="s">
        <v>27</v>
      </c>
      <c r="E64" s="42">
        <v>1</v>
      </c>
      <c r="F64" s="37">
        <v>1372799</v>
      </c>
      <c r="G64" s="118">
        <f t="shared" si="2"/>
        <v>1372799</v>
      </c>
      <c r="H64" s="27"/>
      <c r="I64" s="123"/>
      <c r="J64" s="123"/>
      <c r="K64" s="185">
        <v>1372799</v>
      </c>
      <c r="L64" s="189">
        <f t="shared" ref="L64:L80" si="3">+K64-F64</f>
        <v>0</v>
      </c>
    </row>
    <row r="65" spans="1:16" ht="85.15" customHeight="1" x14ac:dyDescent="0.25">
      <c r="A65" s="26"/>
      <c r="B65" s="209">
        <v>3.1</v>
      </c>
      <c r="C65" s="36" t="s">
        <v>225</v>
      </c>
      <c r="D65" s="38" t="s">
        <v>27</v>
      </c>
      <c r="E65" s="42">
        <v>1</v>
      </c>
      <c r="F65" s="37">
        <v>8079175</v>
      </c>
      <c r="G65" s="118">
        <f t="shared" si="2"/>
        <v>8079175</v>
      </c>
      <c r="H65" s="27"/>
      <c r="I65" s="123"/>
      <c r="J65" s="123"/>
      <c r="K65" s="185">
        <v>8079175</v>
      </c>
      <c r="L65" s="189">
        <f t="shared" si="3"/>
        <v>0</v>
      </c>
      <c r="P65" s="200"/>
    </row>
    <row r="66" spans="1:16" ht="78" customHeight="1" x14ac:dyDescent="0.25">
      <c r="A66" s="26"/>
      <c r="B66" s="213">
        <v>3.11</v>
      </c>
      <c r="C66" s="36" t="s">
        <v>227</v>
      </c>
      <c r="D66" s="38" t="s">
        <v>27</v>
      </c>
      <c r="E66" s="42">
        <v>1</v>
      </c>
      <c r="F66" s="37">
        <v>2420664</v>
      </c>
      <c r="G66" s="118">
        <f t="shared" si="2"/>
        <v>2420664</v>
      </c>
      <c r="H66" s="27"/>
      <c r="I66" s="123"/>
      <c r="J66" s="123"/>
      <c r="K66" s="185">
        <v>2420664</v>
      </c>
      <c r="L66" s="189">
        <f t="shared" si="3"/>
        <v>0</v>
      </c>
      <c r="P66" s="200"/>
    </row>
    <row r="67" spans="1:16" ht="80.45" customHeight="1" x14ac:dyDescent="0.25">
      <c r="A67" s="26"/>
      <c r="B67" s="209">
        <v>3.12</v>
      </c>
      <c r="C67" s="36" t="s">
        <v>226</v>
      </c>
      <c r="D67" s="38" t="s">
        <v>27</v>
      </c>
      <c r="E67" s="42">
        <v>1</v>
      </c>
      <c r="F67" s="37">
        <v>6250503</v>
      </c>
      <c r="G67" s="118">
        <f t="shared" si="2"/>
        <v>6250503</v>
      </c>
      <c r="H67" s="27"/>
      <c r="I67" s="123"/>
      <c r="J67" s="123"/>
      <c r="K67" s="185">
        <v>6250503</v>
      </c>
      <c r="L67" s="189">
        <f t="shared" si="3"/>
        <v>0</v>
      </c>
    </row>
    <row r="68" spans="1:16" ht="91.5" customHeight="1" x14ac:dyDescent="0.25">
      <c r="A68" s="26"/>
      <c r="B68" s="213">
        <v>3.13</v>
      </c>
      <c r="C68" s="36" t="s">
        <v>367</v>
      </c>
      <c r="D68" s="38" t="s">
        <v>27</v>
      </c>
      <c r="E68" s="42">
        <v>1</v>
      </c>
      <c r="F68" s="37">
        <v>2504932</v>
      </c>
      <c r="G68" s="118">
        <f t="shared" si="2"/>
        <v>2504932</v>
      </c>
      <c r="H68" s="27"/>
      <c r="I68" s="123"/>
      <c r="J68" s="123"/>
      <c r="K68" s="185">
        <v>2504932</v>
      </c>
      <c r="L68" s="189">
        <f t="shared" si="3"/>
        <v>0</v>
      </c>
    </row>
    <row r="69" spans="1:16" ht="78.599999999999994" customHeight="1" x14ac:dyDescent="0.25">
      <c r="A69" s="26"/>
      <c r="B69" s="209">
        <v>3.14</v>
      </c>
      <c r="C69" s="36" t="s">
        <v>228</v>
      </c>
      <c r="D69" s="38" t="s">
        <v>27</v>
      </c>
      <c r="E69" s="42">
        <v>1</v>
      </c>
      <c r="F69" s="37">
        <v>854470</v>
      </c>
      <c r="G69" s="118">
        <f t="shared" si="2"/>
        <v>854470</v>
      </c>
      <c r="H69" s="27"/>
      <c r="I69" s="123"/>
      <c r="J69" s="123"/>
      <c r="K69" s="185">
        <v>854470</v>
      </c>
      <c r="L69" s="189">
        <f t="shared" si="3"/>
        <v>0</v>
      </c>
    </row>
    <row r="70" spans="1:16" ht="60.6" customHeight="1" x14ac:dyDescent="0.25">
      <c r="A70" s="26"/>
      <c r="B70" s="213">
        <v>3.15</v>
      </c>
      <c r="C70" s="36" t="s">
        <v>229</v>
      </c>
      <c r="D70" s="38" t="s">
        <v>27</v>
      </c>
      <c r="E70" s="42">
        <v>1</v>
      </c>
      <c r="F70" s="37">
        <v>1723199</v>
      </c>
      <c r="G70" s="118">
        <f t="shared" si="2"/>
        <v>1723199</v>
      </c>
      <c r="H70" s="27"/>
      <c r="I70" s="123"/>
      <c r="J70" s="123"/>
      <c r="K70" s="185">
        <v>1723199</v>
      </c>
      <c r="L70" s="189">
        <f t="shared" si="3"/>
        <v>0</v>
      </c>
    </row>
    <row r="71" spans="1:16" ht="70.150000000000006" customHeight="1" x14ac:dyDescent="0.25">
      <c r="A71" s="26"/>
      <c r="B71" s="209">
        <v>3.16</v>
      </c>
      <c r="C71" s="36" t="s">
        <v>230</v>
      </c>
      <c r="D71" s="38" t="s">
        <v>27</v>
      </c>
      <c r="E71" s="42">
        <v>1</v>
      </c>
      <c r="F71" s="37">
        <v>2014817</v>
      </c>
      <c r="G71" s="118">
        <f t="shared" si="2"/>
        <v>2014817</v>
      </c>
      <c r="H71" s="27"/>
      <c r="I71" s="123"/>
      <c r="J71" s="123"/>
      <c r="K71" s="185">
        <v>2014817</v>
      </c>
      <c r="L71" s="189">
        <f t="shared" si="3"/>
        <v>0</v>
      </c>
    </row>
    <row r="72" spans="1:16" ht="65.45" customHeight="1" x14ac:dyDescent="0.25">
      <c r="A72" s="26"/>
      <c r="B72" s="213">
        <v>3.17</v>
      </c>
      <c r="C72" s="36" t="s">
        <v>231</v>
      </c>
      <c r="D72" s="38" t="s">
        <v>27</v>
      </c>
      <c r="E72" s="42">
        <v>1</v>
      </c>
      <c r="F72" s="37">
        <v>2081094</v>
      </c>
      <c r="G72" s="118">
        <f t="shared" si="2"/>
        <v>2081094</v>
      </c>
      <c r="H72" s="27"/>
      <c r="I72" s="123"/>
      <c r="J72" s="123"/>
      <c r="K72" s="185">
        <v>2081094</v>
      </c>
      <c r="L72" s="189">
        <f t="shared" si="3"/>
        <v>0</v>
      </c>
    </row>
    <row r="73" spans="1:16" ht="88.15" customHeight="1" x14ac:dyDescent="0.25">
      <c r="A73" s="26"/>
      <c r="B73" s="209">
        <v>3.18</v>
      </c>
      <c r="C73" s="36" t="s">
        <v>232</v>
      </c>
      <c r="D73" s="38" t="s">
        <v>27</v>
      </c>
      <c r="E73" s="42">
        <v>1</v>
      </c>
      <c r="F73" s="37">
        <v>10929600</v>
      </c>
      <c r="G73" s="118">
        <f t="shared" si="2"/>
        <v>10929600</v>
      </c>
      <c r="H73" s="27"/>
      <c r="I73" s="123"/>
      <c r="J73" s="123"/>
      <c r="K73" s="185">
        <v>10929600</v>
      </c>
      <c r="L73" s="189">
        <f t="shared" si="3"/>
        <v>0</v>
      </c>
    </row>
    <row r="74" spans="1:16" ht="88.15" customHeight="1" x14ac:dyDescent="0.25">
      <c r="A74" s="26"/>
      <c r="B74" s="213">
        <v>3.19</v>
      </c>
      <c r="C74" s="36" t="s">
        <v>233</v>
      </c>
      <c r="D74" s="38" t="s">
        <v>27</v>
      </c>
      <c r="E74" s="42">
        <v>1</v>
      </c>
      <c r="F74" s="37">
        <v>12028500</v>
      </c>
      <c r="G74" s="118">
        <f t="shared" si="2"/>
        <v>12028500</v>
      </c>
      <c r="H74" s="27"/>
      <c r="I74" s="123"/>
      <c r="J74" s="123"/>
      <c r="K74" s="185">
        <v>12028500</v>
      </c>
      <c r="L74" s="189">
        <f t="shared" si="3"/>
        <v>0</v>
      </c>
    </row>
    <row r="75" spans="1:16" ht="87" customHeight="1" x14ac:dyDescent="0.25">
      <c r="A75" s="26"/>
      <c r="B75" s="209">
        <v>3.2</v>
      </c>
      <c r="C75" s="36" t="s">
        <v>234</v>
      </c>
      <c r="D75" s="38" t="s">
        <v>27</v>
      </c>
      <c r="E75" s="42">
        <v>1</v>
      </c>
      <c r="F75" s="37">
        <v>10453500</v>
      </c>
      <c r="G75" s="118">
        <f t="shared" si="2"/>
        <v>10453500</v>
      </c>
      <c r="H75" s="27"/>
      <c r="I75" s="123"/>
      <c r="J75" s="123"/>
      <c r="K75" s="185">
        <v>10453500</v>
      </c>
      <c r="L75" s="189">
        <f t="shared" si="3"/>
        <v>0</v>
      </c>
    </row>
    <row r="76" spans="1:16" ht="87" customHeight="1" x14ac:dyDescent="0.25">
      <c r="A76" s="26"/>
      <c r="B76" s="213">
        <v>3.21</v>
      </c>
      <c r="C76" s="36" t="s">
        <v>235</v>
      </c>
      <c r="D76" s="38" t="s">
        <v>27</v>
      </c>
      <c r="E76" s="42">
        <v>1</v>
      </c>
      <c r="F76" s="37">
        <v>8806500</v>
      </c>
      <c r="G76" s="118">
        <f t="shared" si="2"/>
        <v>8806500</v>
      </c>
      <c r="H76" s="27"/>
      <c r="I76" s="123"/>
      <c r="J76" s="123"/>
      <c r="K76" s="185">
        <v>8806500</v>
      </c>
      <c r="L76" s="189">
        <f t="shared" si="3"/>
        <v>0</v>
      </c>
    </row>
    <row r="77" spans="1:16" ht="84" customHeight="1" x14ac:dyDescent="0.25">
      <c r="A77" s="26"/>
      <c r="B77" s="209">
        <v>3.22</v>
      </c>
      <c r="C77" s="36" t="s">
        <v>236</v>
      </c>
      <c r="D77" s="38" t="s">
        <v>27</v>
      </c>
      <c r="E77" s="42">
        <v>1</v>
      </c>
      <c r="F77" s="37">
        <v>1166400</v>
      </c>
      <c r="G77" s="118">
        <f t="shared" si="2"/>
        <v>1166400</v>
      </c>
      <c r="H77" s="27"/>
      <c r="I77" s="123"/>
      <c r="J77" s="123"/>
      <c r="K77" s="185">
        <v>1166400</v>
      </c>
      <c r="L77" s="189">
        <f t="shared" si="3"/>
        <v>0</v>
      </c>
    </row>
    <row r="78" spans="1:16" ht="80.45" customHeight="1" x14ac:dyDescent="0.25">
      <c r="A78" s="26"/>
      <c r="B78" s="213">
        <v>3.23</v>
      </c>
      <c r="C78" s="36" t="s">
        <v>237</v>
      </c>
      <c r="D78" s="38" t="s">
        <v>27</v>
      </c>
      <c r="E78" s="42">
        <v>1</v>
      </c>
      <c r="F78" s="37">
        <v>2568000</v>
      </c>
      <c r="G78" s="118">
        <f t="shared" si="2"/>
        <v>2568000</v>
      </c>
      <c r="H78" s="27"/>
      <c r="I78" s="123"/>
      <c r="J78" s="123"/>
      <c r="K78" s="185">
        <v>2568000</v>
      </c>
      <c r="L78" s="189">
        <f t="shared" si="3"/>
        <v>0</v>
      </c>
    </row>
    <row r="79" spans="1:16" ht="82.9" customHeight="1" x14ac:dyDescent="0.25">
      <c r="A79" s="26"/>
      <c r="B79" s="209">
        <v>3.24</v>
      </c>
      <c r="C79" s="36" t="s">
        <v>238</v>
      </c>
      <c r="D79" s="38" t="s">
        <v>27</v>
      </c>
      <c r="E79" s="42">
        <v>1</v>
      </c>
      <c r="F79" s="37">
        <v>4784000</v>
      </c>
      <c r="G79" s="118">
        <f t="shared" si="2"/>
        <v>4784000</v>
      </c>
      <c r="H79" s="27"/>
      <c r="I79" s="123"/>
      <c r="J79" s="123"/>
      <c r="K79" s="185">
        <v>4784000</v>
      </c>
      <c r="L79" s="189">
        <f t="shared" si="3"/>
        <v>0</v>
      </c>
    </row>
    <row r="80" spans="1:16" ht="24" customHeight="1" x14ac:dyDescent="0.25">
      <c r="A80" s="26"/>
      <c r="B80" s="305" t="s">
        <v>431</v>
      </c>
      <c r="C80" s="306"/>
      <c r="D80" s="306"/>
      <c r="E80" s="306"/>
      <c r="F80" s="100"/>
      <c r="G80" s="101" t="e">
        <f>SUM(G55:G79)</f>
        <v>#REF!</v>
      </c>
      <c r="H80" s="27"/>
      <c r="L80" s="189">
        <f t="shared" si="3"/>
        <v>0</v>
      </c>
    </row>
    <row r="81" spans="1:20" ht="34.5" customHeight="1" x14ac:dyDescent="0.25">
      <c r="A81" s="26"/>
      <c r="B81" s="28">
        <v>4</v>
      </c>
      <c r="C81" s="29" t="s">
        <v>433</v>
      </c>
      <c r="D81" s="30" t="s">
        <v>27</v>
      </c>
      <c r="E81" s="83" t="s">
        <v>28</v>
      </c>
      <c r="F81" s="30" t="s">
        <v>29</v>
      </c>
      <c r="G81" s="32" t="s">
        <v>30</v>
      </c>
      <c r="H81" s="27"/>
      <c r="K81" s="185" t="s">
        <v>29</v>
      </c>
      <c r="L81" s="189"/>
    </row>
    <row r="82" spans="1:20" s="40" customFormat="1" x14ac:dyDescent="0.25">
      <c r="A82" s="39"/>
      <c r="B82" s="211">
        <v>4.0999999999999996</v>
      </c>
      <c r="C82" s="212" t="s">
        <v>358</v>
      </c>
      <c r="D82" s="34" t="s">
        <v>34</v>
      </c>
      <c r="E82" s="42" t="e">
        <f>+#REF!</f>
        <v>#REF!</v>
      </c>
      <c r="F82" s="37">
        <v>152350</v>
      </c>
      <c r="G82" s="35" t="e">
        <f t="shared" ref="G82:G106" si="4">+E82*F82</f>
        <v>#REF!</v>
      </c>
      <c r="H82" s="27"/>
      <c r="I82" s="159"/>
      <c r="J82" s="159"/>
      <c r="K82" s="187">
        <v>152350</v>
      </c>
      <c r="L82" s="189">
        <f>+K82-F82</f>
        <v>0</v>
      </c>
      <c r="Q82" s="40">
        <f>+O82*1.4</f>
        <v>0</v>
      </c>
    </row>
    <row r="83" spans="1:20" s="40" customFormat="1" ht="38.25" x14ac:dyDescent="0.25">
      <c r="A83" s="39"/>
      <c r="B83" s="210">
        <v>4.2</v>
      </c>
      <c r="C83" s="115" t="s">
        <v>424</v>
      </c>
      <c r="D83" s="38" t="s">
        <v>389</v>
      </c>
      <c r="E83" s="43" t="e">
        <f>+#REF!</f>
        <v>#REF!</v>
      </c>
      <c r="F83" s="117">
        <v>171293</v>
      </c>
      <c r="G83" s="118" t="e">
        <f t="shared" si="4"/>
        <v>#REF!</v>
      </c>
      <c r="H83" s="27"/>
      <c r="I83" s="159"/>
      <c r="J83" s="159"/>
      <c r="K83" s="187"/>
      <c r="L83" s="189"/>
    </row>
    <row r="84" spans="1:20" s="40" customFormat="1" x14ac:dyDescent="0.25">
      <c r="A84" s="39"/>
      <c r="B84" s="211">
        <v>4.3</v>
      </c>
      <c r="C84" s="115" t="s">
        <v>425</v>
      </c>
      <c r="D84" s="38" t="s">
        <v>389</v>
      </c>
      <c r="E84" s="43" t="e">
        <f>+#REF!</f>
        <v>#REF!</v>
      </c>
      <c r="F84" s="117">
        <v>27410</v>
      </c>
      <c r="G84" s="118" t="e">
        <f t="shared" si="4"/>
        <v>#REF!</v>
      </c>
      <c r="H84" s="27"/>
      <c r="I84" s="159"/>
      <c r="J84" s="159"/>
      <c r="K84" s="187"/>
      <c r="L84" s="189"/>
    </row>
    <row r="85" spans="1:20" s="40" customFormat="1" x14ac:dyDescent="0.25">
      <c r="A85" s="39"/>
      <c r="B85" s="210">
        <v>4.4000000000000004</v>
      </c>
      <c r="C85" s="115" t="s">
        <v>426</v>
      </c>
      <c r="D85" s="38" t="s">
        <v>389</v>
      </c>
      <c r="E85" s="43" t="e">
        <f>+#REF!</f>
        <v>#REF!</v>
      </c>
      <c r="F85" s="117">
        <v>25002</v>
      </c>
      <c r="G85" s="118" t="e">
        <f t="shared" si="4"/>
        <v>#REF!</v>
      </c>
      <c r="H85" s="27"/>
      <c r="I85" s="159"/>
      <c r="J85" s="159"/>
      <c r="K85" s="187"/>
      <c r="L85" s="189"/>
    </row>
    <row r="86" spans="1:20" s="40" customFormat="1" ht="16.5" x14ac:dyDescent="0.25">
      <c r="A86" s="39"/>
      <c r="B86" s="211">
        <v>4.5</v>
      </c>
      <c r="C86" s="115" t="s">
        <v>427</v>
      </c>
      <c r="D86" s="38" t="s">
        <v>34</v>
      </c>
      <c r="E86" s="43" t="e">
        <f>+#REF!</f>
        <v>#REF!</v>
      </c>
      <c r="F86" s="117">
        <v>118800</v>
      </c>
      <c r="G86" s="118" t="e">
        <f t="shared" si="4"/>
        <v>#REF!</v>
      </c>
      <c r="H86" s="27"/>
      <c r="I86" s="159"/>
      <c r="J86" s="159"/>
      <c r="K86" s="187"/>
      <c r="L86" s="189"/>
    </row>
    <row r="87" spans="1:20" s="40" customFormat="1" ht="38.25" x14ac:dyDescent="0.25">
      <c r="A87" s="39"/>
      <c r="B87" s="210">
        <v>4.5999999999999996</v>
      </c>
      <c r="C87" s="115" t="s">
        <v>428</v>
      </c>
      <c r="D87" s="38" t="s">
        <v>389</v>
      </c>
      <c r="E87" s="43" t="e">
        <f>+#REF!</f>
        <v>#REF!</v>
      </c>
      <c r="F87" s="117">
        <v>10773</v>
      </c>
      <c r="G87" s="118" t="e">
        <f t="shared" si="4"/>
        <v>#REF!</v>
      </c>
      <c r="H87" s="27"/>
      <c r="I87" s="159"/>
      <c r="J87" s="159"/>
      <c r="K87" s="187"/>
      <c r="L87" s="189"/>
    </row>
    <row r="88" spans="1:20" s="40" customFormat="1" ht="16.5" x14ac:dyDescent="0.25">
      <c r="A88" s="39"/>
      <c r="B88" s="211">
        <v>4.7</v>
      </c>
      <c r="C88" s="115" t="s">
        <v>429</v>
      </c>
      <c r="D88" s="38" t="s">
        <v>389</v>
      </c>
      <c r="E88" s="43" t="e">
        <f>+#REF!</f>
        <v>#REF!</v>
      </c>
      <c r="F88" s="117">
        <v>61222</v>
      </c>
      <c r="G88" s="118" t="e">
        <f t="shared" si="4"/>
        <v>#REF!</v>
      </c>
      <c r="H88" s="27"/>
      <c r="I88" s="159">
        <f>54663*1.13</f>
        <v>61769.189999999995</v>
      </c>
      <c r="J88" s="159"/>
      <c r="K88" s="187"/>
      <c r="L88" s="189"/>
    </row>
    <row r="89" spans="1:20" ht="38.25" x14ac:dyDescent="0.25">
      <c r="A89" s="26"/>
      <c r="B89" s="211">
        <v>4.8</v>
      </c>
      <c r="C89" s="212" t="s">
        <v>515</v>
      </c>
      <c r="D89" s="34" t="s">
        <v>389</v>
      </c>
      <c r="E89" s="42" t="e">
        <f>+#REF!</f>
        <v>#REF!</v>
      </c>
      <c r="F89" s="37">
        <v>76867.12</v>
      </c>
      <c r="G89" s="35" t="e">
        <f t="shared" si="4"/>
        <v>#REF!</v>
      </c>
      <c r="H89" s="216"/>
      <c r="I89" s="123"/>
      <c r="J89" s="123"/>
      <c r="K89" s="218"/>
      <c r="L89" s="189"/>
    </row>
    <row r="90" spans="1:20" ht="79.900000000000006" customHeight="1" x14ac:dyDescent="0.25">
      <c r="A90" s="26"/>
      <c r="B90" s="211">
        <v>4.9000000000000004</v>
      </c>
      <c r="C90" s="115" t="s">
        <v>223</v>
      </c>
      <c r="D90" s="38" t="s">
        <v>27</v>
      </c>
      <c r="E90" s="42">
        <v>1</v>
      </c>
      <c r="F90" s="37">
        <v>9201198</v>
      </c>
      <c r="G90" s="118">
        <f t="shared" si="4"/>
        <v>9201198</v>
      </c>
      <c r="H90" s="27"/>
      <c r="I90" s="123"/>
      <c r="J90" s="123"/>
      <c r="K90" s="185">
        <v>9201198</v>
      </c>
      <c r="L90" s="189">
        <v>5300000</v>
      </c>
      <c r="M90" s="189">
        <f>+K90-L90</f>
        <v>3901198</v>
      </c>
      <c r="N90" s="189"/>
      <c r="O90" s="197">
        <f>+M90/L90</f>
        <v>0.73607509433962259</v>
      </c>
      <c r="P90" s="199">
        <f>+O90-1.19</f>
        <v>-0.45392490566037735</v>
      </c>
      <c r="Q90" s="7">
        <f>+F90*1.25</f>
        <v>11501497.5</v>
      </c>
      <c r="R90" s="121">
        <f>+Q90*0.2</f>
        <v>2300299.5</v>
      </c>
      <c r="S90" s="198">
        <f>+Q90-L90-R90-Q90*0.0883</f>
        <v>2885615.7707500001</v>
      </c>
      <c r="T90" s="199">
        <f>+S90/Q90</f>
        <v>0.2508904402013738</v>
      </c>
    </row>
    <row r="91" spans="1:20" ht="87" customHeight="1" x14ac:dyDescent="0.25">
      <c r="A91" s="26"/>
      <c r="B91" s="213">
        <v>4.0999999999999996</v>
      </c>
      <c r="C91" s="36" t="s">
        <v>224</v>
      </c>
      <c r="D91" s="38" t="s">
        <v>27</v>
      </c>
      <c r="E91" s="42">
        <v>1</v>
      </c>
      <c r="F91" s="37">
        <v>1372799</v>
      </c>
      <c r="G91" s="118">
        <f t="shared" si="4"/>
        <v>1372799</v>
      </c>
      <c r="H91" s="27"/>
      <c r="I91" s="123"/>
      <c r="J91" s="123"/>
      <c r="K91" s="185">
        <v>1372799</v>
      </c>
      <c r="L91" s="189">
        <f t="shared" ref="L91:L107" si="5">+K91-F91</f>
        <v>0</v>
      </c>
    </row>
    <row r="92" spans="1:20" ht="85.15" customHeight="1" x14ac:dyDescent="0.25">
      <c r="A92" s="26"/>
      <c r="B92" s="209">
        <v>4.1100000000000003</v>
      </c>
      <c r="C92" s="36" t="s">
        <v>225</v>
      </c>
      <c r="D92" s="38" t="s">
        <v>27</v>
      </c>
      <c r="E92" s="42">
        <v>1</v>
      </c>
      <c r="F92" s="37">
        <v>8079175</v>
      </c>
      <c r="G92" s="118">
        <f t="shared" si="4"/>
        <v>8079175</v>
      </c>
      <c r="H92" s="27"/>
      <c r="I92" s="123"/>
      <c r="J92" s="123"/>
      <c r="K92" s="185">
        <v>8079175</v>
      </c>
      <c r="L92" s="189">
        <f t="shared" si="5"/>
        <v>0</v>
      </c>
      <c r="P92" s="200"/>
    </row>
    <row r="93" spans="1:20" ht="78" customHeight="1" x14ac:dyDescent="0.25">
      <c r="A93" s="26"/>
      <c r="B93" s="213">
        <v>4.12</v>
      </c>
      <c r="C93" s="36" t="s">
        <v>227</v>
      </c>
      <c r="D93" s="38" t="s">
        <v>27</v>
      </c>
      <c r="E93" s="42">
        <v>1</v>
      </c>
      <c r="F93" s="37">
        <v>2420664</v>
      </c>
      <c r="G93" s="118">
        <f t="shared" si="4"/>
        <v>2420664</v>
      </c>
      <c r="H93" s="27"/>
      <c r="I93" s="123"/>
      <c r="J93" s="123"/>
      <c r="K93" s="185">
        <v>2420664</v>
      </c>
      <c r="L93" s="189">
        <f t="shared" si="5"/>
        <v>0</v>
      </c>
      <c r="P93" s="200"/>
    </row>
    <row r="94" spans="1:20" ht="80.45" customHeight="1" x14ac:dyDescent="0.25">
      <c r="A94" s="26"/>
      <c r="B94" s="209">
        <v>4.13</v>
      </c>
      <c r="C94" s="36" t="s">
        <v>226</v>
      </c>
      <c r="D94" s="38" t="s">
        <v>27</v>
      </c>
      <c r="E94" s="42">
        <v>1</v>
      </c>
      <c r="F94" s="37">
        <v>6250503</v>
      </c>
      <c r="G94" s="118">
        <f t="shared" si="4"/>
        <v>6250503</v>
      </c>
      <c r="H94" s="27"/>
      <c r="I94" s="123"/>
      <c r="J94" s="123"/>
      <c r="K94" s="185">
        <v>6250503</v>
      </c>
      <c r="L94" s="189">
        <f t="shared" si="5"/>
        <v>0</v>
      </c>
    </row>
    <row r="95" spans="1:20" ht="91.5" customHeight="1" x14ac:dyDescent="0.25">
      <c r="A95" s="26"/>
      <c r="B95" s="213">
        <v>4.1399999999999997</v>
      </c>
      <c r="C95" s="36" t="s">
        <v>367</v>
      </c>
      <c r="D95" s="38" t="s">
        <v>27</v>
      </c>
      <c r="E95" s="42">
        <v>1</v>
      </c>
      <c r="F95" s="37">
        <v>2504932</v>
      </c>
      <c r="G95" s="118">
        <f t="shared" si="4"/>
        <v>2504932</v>
      </c>
      <c r="H95" s="27"/>
      <c r="I95" s="123"/>
      <c r="J95" s="123"/>
      <c r="K95" s="185">
        <v>2504932</v>
      </c>
      <c r="L95" s="189">
        <f t="shared" si="5"/>
        <v>0</v>
      </c>
    </row>
    <row r="96" spans="1:20" ht="78.599999999999994" customHeight="1" x14ac:dyDescent="0.25">
      <c r="A96" s="26"/>
      <c r="B96" s="209">
        <v>4.1500000000000004</v>
      </c>
      <c r="C96" s="36" t="s">
        <v>228</v>
      </c>
      <c r="D96" s="38" t="s">
        <v>27</v>
      </c>
      <c r="E96" s="42">
        <v>1</v>
      </c>
      <c r="F96" s="37">
        <v>854470</v>
      </c>
      <c r="G96" s="118">
        <f t="shared" si="4"/>
        <v>854470</v>
      </c>
      <c r="H96" s="27"/>
      <c r="I96" s="123"/>
      <c r="J96" s="123"/>
      <c r="K96" s="185">
        <v>854470</v>
      </c>
      <c r="L96" s="189">
        <f t="shared" si="5"/>
        <v>0</v>
      </c>
    </row>
    <row r="97" spans="1:17" ht="60.6" customHeight="1" x14ac:dyDescent="0.25">
      <c r="A97" s="26"/>
      <c r="B97" s="213">
        <v>4.16</v>
      </c>
      <c r="C97" s="36" t="s">
        <v>229</v>
      </c>
      <c r="D97" s="38" t="s">
        <v>27</v>
      </c>
      <c r="E97" s="42">
        <v>1</v>
      </c>
      <c r="F97" s="37">
        <v>1723199</v>
      </c>
      <c r="G97" s="118">
        <f t="shared" si="4"/>
        <v>1723199</v>
      </c>
      <c r="H97" s="27"/>
      <c r="I97" s="123"/>
      <c r="J97" s="123"/>
      <c r="K97" s="185">
        <v>1723199</v>
      </c>
      <c r="L97" s="189">
        <f t="shared" si="5"/>
        <v>0</v>
      </c>
    </row>
    <row r="98" spans="1:17" ht="70.150000000000006" customHeight="1" x14ac:dyDescent="0.25">
      <c r="A98" s="26"/>
      <c r="B98" s="209">
        <v>4.17</v>
      </c>
      <c r="C98" s="36" t="s">
        <v>230</v>
      </c>
      <c r="D98" s="38" t="s">
        <v>27</v>
      </c>
      <c r="E98" s="42">
        <v>1</v>
      </c>
      <c r="F98" s="37">
        <v>2014817</v>
      </c>
      <c r="G98" s="118">
        <f t="shared" si="4"/>
        <v>2014817</v>
      </c>
      <c r="H98" s="27"/>
      <c r="I98" s="123"/>
      <c r="J98" s="123"/>
      <c r="K98" s="185">
        <v>2014817</v>
      </c>
      <c r="L98" s="189">
        <f t="shared" si="5"/>
        <v>0</v>
      </c>
    </row>
    <row r="99" spans="1:17" ht="65.45" customHeight="1" x14ac:dyDescent="0.25">
      <c r="A99" s="26"/>
      <c r="B99" s="213">
        <v>4.18</v>
      </c>
      <c r="C99" s="36" t="s">
        <v>231</v>
      </c>
      <c r="D99" s="38" t="s">
        <v>27</v>
      </c>
      <c r="E99" s="42">
        <v>1</v>
      </c>
      <c r="F99" s="37">
        <v>2081094</v>
      </c>
      <c r="G99" s="118">
        <f t="shared" si="4"/>
        <v>2081094</v>
      </c>
      <c r="H99" s="27"/>
      <c r="I99" s="123"/>
      <c r="J99" s="123"/>
      <c r="K99" s="185">
        <v>2081094</v>
      </c>
      <c r="L99" s="189">
        <f t="shared" si="5"/>
        <v>0</v>
      </c>
    </row>
    <row r="100" spans="1:17" ht="88.15" customHeight="1" x14ac:dyDescent="0.25">
      <c r="A100" s="26"/>
      <c r="B100" s="209">
        <v>4.1900000000000004</v>
      </c>
      <c r="C100" s="36" t="s">
        <v>232</v>
      </c>
      <c r="D100" s="38" t="s">
        <v>27</v>
      </c>
      <c r="E100" s="42">
        <v>1</v>
      </c>
      <c r="F100" s="37">
        <v>10929600</v>
      </c>
      <c r="G100" s="118">
        <f t="shared" si="4"/>
        <v>10929600</v>
      </c>
      <c r="H100" s="27"/>
      <c r="I100" s="123"/>
      <c r="J100" s="123"/>
      <c r="K100" s="185">
        <v>10929600</v>
      </c>
      <c r="L100" s="189">
        <f t="shared" si="5"/>
        <v>0</v>
      </c>
    </row>
    <row r="101" spans="1:17" ht="88.15" customHeight="1" x14ac:dyDescent="0.25">
      <c r="A101" s="26"/>
      <c r="B101" s="213">
        <v>4.2</v>
      </c>
      <c r="C101" s="36" t="s">
        <v>233</v>
      </c>
      <c r="D101" s="38" t="s">
        <v>27</v>
      </c>
      <c r="E101" s="42">
        <v>1</v>
      </c>
      <c r="F101" s="37">
        <v>12028500</v>
      </c>
      <c r="G101" s="118">
        <f t="shared" si="4"/>
        <v>12028500</v>
      </c>
      <c r="H101" s="27"/>
      <c r="I101" s="123"/>
      <c r="J101" s="123"/>
      <c r="K101" s="185">
        <v>12028500</v>
      </c>
      <c r="L101" s="189">
        <f t="shared" si="5"/>
        <v>0</v>
      </c>
    </row>
    <row r="102" spans="1:17" ht="87" customHeight="1" x14ac:dyDescent="0.25">
      <c r="A102" s="26"/>
      <c r="B102" s="209">
        <v>4.21</v>
      </c>
      <c r="C102" s="36" t="s">
        <v>234</v>
      </c>
      <c r="D102" s="38" t="s">
        <v>27</v>
      </c>
      <c r="E102" s="42">
        <v>1</v>
      </c>
      <c r="F102" s="37">
        <v>10453500</v>
      </c>
      <c r="G102" s="118">
        <f t="shared" si="4"/>
        <v>10453500</v>
      </c>
      <c r="H102" s="27"/>
      <c r="I102" s="123"/>
      <c r="J102" s="123"/>
      <c r="K102" s="185">
        <v>10453500</v>
      </c>
      <c r="L102" s="189">
        <f t="shared" si="5"/>
        <v>0</v>
      </c>
    </row>
    <row r="103" spans="1:17" ht="87" customHeight="1" x14ac:dyDescent="0.25">
      <c r="A103" s="26"/>
      <c r="B103" s="213">
        <v>4.22</v>
      </c>
      <c r="C103" s="36" t="s">
        <v>235</v>
      </c>
      <c r="D103" s="38" t="s">
        <v>27</v>
      </c>
      <c r="E103" s="42">
        <v>1</v>
      </c>
      <c r="F103" s="37">
        <v>8806500</v>
      </c>
      <c r="G103" s="118">
        <f t="shared" si="4"/>
        <v>8806500</v>
      </c>
      <c r="H103" s="27"/>
      <c r="I103" s="123"/>
      <c r="J103" s="123"/>
      <c r="K103" s="185">
        <v>8806500</v>
      </c>
      <c r="L103" s="189">
        <f t="shared" si="5"/>
        <v>0</v>
      </c>
    </row>
    <row r="104" spans="1:17" ht="84" customHeight="1" x14ac:dyDescent="0.25">
      <c r="A104" s="26"/>
      <c r="B104" s="209">
        <v>4.2300000000000004</v>
      </c>
      <c r="C104" s="36" t="s">
        <v>236</v>
      </c>
      <c r="D104" s="38" t="s">
        <v>27</v>
      </c>
      <c r="E104" s="42">
        <v>1</v>
      </c>
      <c r="F104" s="37">
        <v>1166400</v>
      </c>
      <c r="G104" s="118">
        <f t="shared" si="4"/>
        <v>1166400</v>
      </c>
      <c r="H104" s="27"/>
      <c r="I104" s="123"/>
      <c r="J104" s="123"/>
      <c r="K104" s="185">
        <v>1166400</v>
      </c>
      <c r="L104" s="189">
        <f t="shared" si="5"/>
        <v>0</v>
      </c>
    </row>
    <row r="105" spans="1:17" ht="80.45" customHeight="1" x14ac:dyDescent="0.25">
      <c r="A105" s="26"/>
      <c r="B105" s="213">
        <v>4.24</v>
      </c>
      <c r="C105" s="36" t="s">
        <v>237</v>
      </c>
      <c r="D105" s="38" t="s">
        <v>27</v>
      </c>
      <c r="E105" s="42">
        <v>1</v>
      </c>
      <c r="F105" s="37">
        <v>2568000</v>
      </c>
      <c r="G105" s="118">
        <f t="shared" si="4"/>
        <v>2568000</v>
      </c>
      <c r="H105" s="27"/>
      <c r="I105" s="123"/>
      <c r="J105" s="123"/>
      <c r="K105" s="185">
        <v>2568000</v>
      </c>
      <c r="L105" s="189">
        <f t="shared" si="5"/>
        <v>0</v>
      </c>
    </row>
    <row r="106" spans="1:17" ht="82.9" customHeight="1" x14ac:dyDescent="0.25">
      <c r="A106" s="26"/>
      <c r="B106" s="209">
        <v>4.25</v>
      </c>
      <c r="C106" s="36" t="s">
        <v>238</v>
      </c>
      <c r="D106" s="38" t="s">
        <v>27</v>
      </c>
      <c r="E106" s="42">
        <v>1</v>
      </c>
      <c r="F106" s="37">
        <v>4784000</v>
      </c>
      <c r="G106" s="118">
        <f t="shared" si="4"/>
        <v>4784000</v>
      </c>
      <c r="H106" s="27"/>
      <c r="I106" s="123"/>
      <c r="J106" s="123"/>
      <c r="K106" s="185">
        <v>4784000</v>
      </c>
      <c r="L106" s="189">
        <f t="shared" si="5"/>
        <v>0</v>
      </c>
    </row>
    <row r="107" spans="1:17" ht="24" customHeight="1" x14ac:dyDescent="0.25">
      <c r="A107" s="26"/>
      <c r="B107" s="305" t="s">
        <v>434</v>
      </c>
      <c r="C107" s="306"/>
      <c r="D107" s="306"/>
      <c r="E107" s="306"/>
      <c r="F107" s="100"/>
      <c r="G107" s="101" t="e">
        <f>SUM(G82:G106)</f>
        <v>#REF!</v>
      </c>
      <c r="H107" s="27"/>
      <c r="L107" s="189">
        <f t="shared" si="5"/>
        <v>0</v>
      </c>
    </row>
    <row r="108" spans="1:17" ht="34.5" customHeight="1" x14ac:dyDescent="0.25">
      <c r="A108" s="26"/>
      <c r="B108" s="28">
        <v>5</v>
      </c>
      <c r="C108" s="29" t="s">
        <v>435</v>
      </c>
      <c r="D108" s="30" t="s">
        <v>27</v>
      </c>
      <c r="E108" s="83" t="s">
        <v>28</v>
      </c>
      <c r="F108" s="30" t="s">
        <v>29</v>
      </c>
      <c r="G108" s="32" t="s">
        <v>30</v>
      </c>
      <c r="H108" s="27"/>
      <c r="K108" s="185" t="s">
        <v>29</v>
      </c>
      <c r="L108" s="189"/>
    </row>
    <row r="109" spans="1:17" s="40" customFormat="1" x14ac:dyDescent="0.25">
      <c r="A109" s="39"/>
      <c r="B109" s="211">
        <v>5.0999999999999996</v>
      </c>
      <c r="C109" s="212" t="s">
        <v>358</v>
      </c>
      <c r="D109" s="34" t="s">
        <v>34</v>
      </c>
      <c r="E109" s="42" t="e">
        <f>+#REF!</f>
        <v>#REF!</v>
      </c>
      <c r="F109" s="37">
        <v>152350</v>
      </c>
      <c r="G109" s="35" t="e">
        <f t="shared" ref="G109:G133" si="6">+E109*F109</f>
        <v>#REF!</v>
      </c>
      <c r="H109" s="27"/>
      <c r="I109" s="159"/>
      <c r="J109" s="159"/>
      <c r="K109" s="187">
        <v>152350</v>
      </c>
      <c r="L109" s="189">
        <f>+K109-F109</f>
        <v>0</v>
      </c>
      <c r="Q109" s="40">
        <f>+O109*1.4</f>
        <v>0</v>
      </c>
    </row>
    <row r="110" spans="1:17" s="40" customFormat="1" ht="38.25" x14ac:dyDescent="0.25">
      <c r="A110" s="39"/>
      <c r="B110" s="210">
        <v>5.2</v>
      </c>
      <c r="C110" s="115" t="s">
        <v>424</v>
      </c>
      <c r="D110" s="38" t="s">
        <v>389</v>
      </c>
      <c r="E110" s="43" t="e">
        <f>+#REF!</f>
        <v>#REF!</v>
      </c>
      <c r="F110" s="117">
        <v>171293</v>
      </c>
      <c r="G110" s="118" t="e">
        <f t="shared" si="6"/>
        <v>#REF!</v>
      </c>
      <c r="H110" s="27"/>
      <c r="I110" s="159"/>
      <c r="J110" s="159"/>
      <c r="K110" s="187"/>
      <c r="L110" s="189"/>
    </row>
    <row r="111" spans="1:17" s="40" customFormat="1" x14ac:dyDescent="0.25">
      <c r="A111" s="39"/>
      <c r="B111" s="211">
        <v>5.3</v>
      </c>
      <c r="C111" s="115" t="s">
        <v>425</v>
      </c>
      <c r="D111" s="38" t="s">
        <v>389</v>
      </c>
      <c r="E111" s="43" t="e">
        <f>+#REF!</f>
        <v>#REF!</v>
      </c>
      <c r="F111" s="117">
        <v>27410</v>
      </c>
      <c r="G111" s="118" t="e">
        <f t="shared" si="6"/>
        <v>#REF!</v>
      </c>
      <c r="H111" s="27"/>
      <c r="I111" s="159"/>
      <c r="J111" s="159"/>
      <c r="K111" s="187"/>
      <c r="L111" s="189"/>
    </row>
    <row r="112" spans="1:17" s="40" customFormat="1" x14ac:dyDescent="0.25">
      <c r="A112" s="39"/>
      <c r="B112" s="210">
        <v>5.4</v>
      </c>
      <c r="C112" s="115" t="s">
        <v>426</v>
      </c>
      <c r="D112" s="38" t="s">
        <v>389</v>
      </c>
      <c r="E112" s="43" t="e">
        <f>+#REF!</f>
        <v>#REF!</v>
      </c>
      <c r="F112" s="117">
        <v>25002</v>
      </c>
      <c r="G112" s="118" t="e">
        <f t="shared" si="6"/>
        <v>#REF!</v>
      </c>
      <c r="H112" s="27"/>
      <c r="I112" s="159"/>
      <c r="J112" s="159"/>
      <c r="K112" s="187"/>
      <c r="L112" s="189"/>
    </row>
    <row r="113" spans="1:20" s="40" customFormat="1" ht="16.5" x14ac:dyDescent="0.25">
      <c r="A113" s="39"/>
      <c r="B113" s="211">
        <v>5.5</v>
      </c>
      <c r="C113" s="115" t="s">
        <v>427</v>
      </c>
      <c r="D113" s="38" t="s">
        <v>34</v>
      </c>
      <c r="E113" s="43" t="e">
        <f>+#REF!</f>
        <v>#REF!</v>
      </c>
      <c r="F113" s="117">
        <v>118800</v>
      </c>
      <c r="G113" s="118" t="e">
        <f t="shared" si="6"/>
        <v>#REF!</v>
      </c>
      <c r="H113" s="27"/>
      <c r="I113" s="159"/>
      <c r="J113" s="159"/>
      <c r="K113" s="187"/>
      <c r="L113" s="189"/>
    </row>
    <row r="114" spans="1:20" s="40" customFormat="1" ht="38.25" x14ac:dyDescent="0.25">
      <c r="A114" s="39"/>
      <c r="B114" s="210">
        <v>5.6</v>
      </c>
      <c r="C114" s="115" t="s">
        <v>428</v>
      </c>
      <c r="D114" s="38" t="s">
        <v>389</v>
      </c>
      <c r="E114" s="43" t="e">
        <f>+#REF!</f>
        <v>#REF!</v>
      </c>
      <c r="F114" s="117">
        <v>10773</v>
      </c>
      <c r="G114" s="118" t="e">
        <f t="shared" si="6"/>
        <v>#REF!</v>
      </c>
      <c r="H114" s="27"/>
      <c r="I114" s="159"/>
      <c r="J114" s="159"/>
      <c r="K114" s="187"/>
      <c r="L114" s="189"/>
    </row>
    <row r="115" spans="1:20" s="40" customFormat="1" ht="16.5" x14ac:dyDescent="0.25">
      <c r="A115" s="39"/>
      <c r="B115" s="211">
        <v>5.7</v>
      </c>
      <c r="C115" s="115" t="s">
        <v>429</v>
      </c>
      <c r="D115" s="38" t="s">
        <v>389</v>
      </c>
      <c r="E115" s="43" t="e">
        <f>+#REF!</f>
        <v>#REF!</v>
      </c>
      <c r="F115" s="117">
        <v>61222</v>
      </c>
      <c r="G115" s="118" t="e">
        <f t="shared" si="6"/>
        <v>#REF!</v>
      </c>
      <c r="H115" s="27"/>
      <c r="I115" s="159">
        <f>54663*1.13</f>
        <v>61769.189999999995</v>
      </c>
      <c r="J115" s="159"/>
      <c r="K115" s="187"/>
      <c r="L115" s="189"/>
    </row>
    <row r="116" spans="1:20" ht="38.25" x14ac:dyDescent="0.25">
      <c r="A116" s="26"/>
      <c r="B116" s="211">
        <v>5.8</v>
      </c>
      <c r="C116" s="212" t="s">
        <v>515</v>
      </c>
      <c r="D116" s="34" t="s">
        <v>389</v>
      </c>
      <c r="E116" s="42" t="e">
        <f>+#REF!</f>
        <v>#REF!</v>
      </c>
      <c r="F116" s="37">
        <v>76867.12</v>
      </c>
      <c r="G116" s="35" t="e">
        <f t="shared" si="6"/>
        <v>#REF!</v>
      </c>
      <c r="H116" s="216"/>
      <c r="I116" s="123"/>
      <c r="J116" s="123"/>
      <c r="K116" s="218"/>
      <c r="L116" s="189"/>
    </row>
    <row r="117" spans="1:20" ht="79.900000000000006" customHeight="1" x14ac:dyDescent="0.25">
      <c r="A117" s="26"/>
      <c r="B117" s="210">
        <v>5.9</v>
      </c>
      <c r="C117" s="115" t="s">
        <v>223</v>
      </c>
      <c r="D117" s="38" t="s">
        <v>27</v>
      </c>
      <c r="E117" s="42">
        <v>1</v>
      </c>
      <c r="F117" s="37">
        <v>9201198</v>
      </c>
      <c r="G117" s="118">
        <f t="shared" si="6"/>
        <v>9201198</v>
      </c>
      <c r="H117" s="27"/>
      <c r="I117" s="123"/>
      <c r="J117" s="123"/>
      <c r="K117" s="185">
        <v>9201198</v>
      </c>
      <c r="L117" s="189">
        <v>5300000</v>
      </c>
      <c r="M117" s="189">
        <f>+K117-L117</f>
        <v>3901198</v>
      </c>
      <c r="N117" s="189"/>
      <c r="O117" s="197">
        <f>+M117/L117</f>
        <v>0.73607509433962259</v>
      </c>
      <c r="P117" s="199">
        <f>+O117-1.19</f>
        <v>-0.45392490566037735</v>
      </c>
      <c r="Q117" s="7">
        <f>+F117*1.25</f>
        <v>11501497.5</v>
      </c>
      <c r="R117" s="121">
        <f>+Q117*0.2</f>
        <v>2300299.5</v>
      </c>
      <c r="S117" s="198">
        <f>+Q117-L117-R117-Q117*0.0883</f>
        <v>2885615.7707500001</v>
      </c>
      <c r="T117" s="199">
        <f>+S117/Q117</f>
        <v>0.2508904402013738</v>
      </c>
    </row>
    <row r="118" spans="1:20" ht="87" customHeight="1" x14ac:dyDescent="0.25">
      <c r="A118" s="26"/>
      <c r="B118" s="211">
        <v>5.0999999999999996</v>
      </c>
      <c r="C118" s="36" t="s">
        <v>224</v>
      </c>
      <c r="D118" s="38" t="s">
        <v>27</v>
      </c>
      <c r="E118" s="42">
        <v>1</v>
      </c>
      <c r="F118" s="37">
        <v>1372799</v>
      </c>
      <c r="G118" s="118">
        <f t="shared" si="6"/>
        <v>1372799</v>
      </c>
      <c r="H118" s="27"/>
      <c r="I118" s="123"/>
      <c r="J118" s="123"/>
      <c r="K118" s="185">
        <v>1372799</v>
      </c>
      <c r="L118" s="189">
        <f t="shared" ref="L118:L134" si="7">+K118-F118</f>
        <v>0</v>
      </c>
    </row>
    <row r="119" spans="1:20" ht="85.15" customHeight="1" x14ac:dyDescent="0.25">
      <c r="A119" s="26"/>
      <c r="B119" s="209">
        <v>5.1100000000000003</v>
      </c>
      <c r="C119" s="36" t="s">
        <v>225</v>
      </c>
      <c r="D119" s="38" t="s">
        <v>27</v>
      </c>
      <c r="E119" s="42">
        <v>1</v>
      </c>
      <c r="F119" s="37">
        <v>8079175</v>
      </c>
      <c r="G119" s="118">
        <f t="shared" si="6"/>
        <v>8079175</v>
      </c>
      <c r="H119" s="27"/>
      <c r="I119" s="123"/>
      <c r="J119" s="123"/>
      <c r="K119" s="185">
        <v>8079175</v>
      </c>
      <c r="L119" s="189">
        <f t="shared" si="7"/>
        <v>0</v>
      </c>
      <c r="P119" s="200"/>
    </row>
    <row r="120" spans="1:20" ht="78" customHeight="1" x14ac:dyDescent="0.25">
      <c r="A120" s="26"/>
      <c r="B120" s="213">
        <v>5.12</v>
      </c>
      <c r="C120" s="36" t="s">
        <v>227</v>
      </c>
      <c r="D120" s="38" t="s">
        <v>27</v>
      </c>
      <c r="E120" s="42">
        <v>1</v>
      </c>
      <c r="F120" s="37">
        <v>2420664</v>
      </c>
      <c r="G120" s="118">
        <f t="shared" si="6"/>
        <v>2420664</v>
      </c>
      <c r="H120" s="27"/>
      <c r="I120" s="123"/>
      <c r="J120" s="123"/>
      <c r="K120" s="185">
        <v>2420664</v>
      </c>
      <c r="L120" s="189">
        <f t="shared" si="7"/>
        <v>0</v>
      </c>
      <c r="P120" s="200"/>
    </row>
    <row r="121" spans="1:20" ht="80.45" customHeight="1" x14ac:dyDescent="0.25">
      <c r="A121" s="26"/>
      <c r="B121" s="209">
        <v>5.13</v>
      </c>
      <c r="C121" s="36" t="s">
        <v>226</v>
      </c>
      <c r="D121" s="38" t="s">
        <v>27</v>
      </c>
      <c r="E121" s="42">
        <v>1</v>
      </c>
      <c r="F121" s="37">
        <v>6250503</v>
      </c>
      <c r="G121" s="118">
        <f t="shared" si="6"/>
        <v>6250503</v>
      </c>
      <c r="H121" s="27"/>
      <c r="I121" s="123"/>
      <c r="J121" s="123"/>
      <c r="K121" s="185">
        <v>6250503</v>
      </c>
      <c r="L121" s="189">
        <f t="shared" si="7"/>
        <v>0</v>
      </c>
    </row>
    <row r="122" spans="1:20" ht="91.5" customHeight="1" x14ac:dyDescent="0.25">
      <c r="A122" s="26"/>
      <c r="B122" s="213">
        <v>5.14</v>
      </c>
      <c r="C122" s="36" t="s">
        <v>367</v>
      </c>
      <c r="D122" s="38" t="s">
        <v>27</v>
      </c>
      <c r="E122" s="42">
        <v>1</v>
      </c>
      <c r="F122" s="37">
        <v>2504932</v>
      </c>
      <c r="G122" s="118">
        <f t="shared" si="6"/>
        <v>2504932</v>
      </c>
      <c r="H122" s="27"/>
      <c r="I122" s="123"/>
      <c r="J122" s="123"/>
      <c r="K122" s="185">
        <v>2504932</v>
      </c>
      <c r="L122" s="189">
        <f t="shared" si="7"/>
        <v>0</v>
      </c>
    </row>
    <row r="123" spans="1:20" ht="78.599999999999994" customHeight="1" x14ac:dyDescent="0.25">
      <c r="A123" s="26"/>
      <c r="B123" s="209">
        <v>5.15</v>
      </c>
      <c r="C123" s="36" t="s">
        <v>228</v>
      </c>
      <c r="D123" s="38" t="s">
        <v>27</v>
      </c>
      <c r="E123" s="42">
        <v>1</v>
      </c>
      <c r="F123" s="37">
        <v>854470</v>
      </c>
      <c r="G123" s="118">
        <f t="shared" si="6"/>
        <v>854470</v>
      </c>
      <c r="H123" s="27"/>
      <c r="I123" s="123"/>
      <c r="J123" s="123"/>
      <c r="K123" s="185">
        <v>854470</v>
      </c>
      <c r="L123" s="189">
        <f t="shared" si="7"/>
        <v>0</v>
      </c>
    </row>
    <row r="124" spans="1:20" ht="60.6" customHeight="1" x14ac:dyDescent="0.25">
      <c r="A124" s="26"/>
      <c r="B124" s="213">
        <v>5.16</v>
      </c>
      <c r="C124" s="36" t="s">
        <v>229</v>
      </c>
      <c r="D124" s="38" t="s">
        <v>27</v>
      </c>
      <c r="E124" s="42">
        <v>1</v>
      </c>
      <c r="F124" s="37">
        <v>1723199</v>
      </c>
      <c r="G124" s="118">
        <f t="shared" si="6"/>
        <v>1723199</v>
      </c>
      <c r="H124" s="27"/>
      <c r="I124" s="123"/>
      <c r="J124" s="123"/>
      <c r="K124" s="185">
        <v>1723199</v>
      </c>
      <c r="L124" s="189">
        <f t="shared" si="7"/>
        <v>0</v>
      </c>
    </row>
    <row r="125" spans="1:20" ht="70.150000000000006" customHeight="1" x14ac:dyDescent="0.25">
      <c r="A125" s="26"/>
      <c r="B125" s="209">
        <v>5.17</v>
      </c>
      <c r="C125" s="36" t="s">
        <v>230</v>
      </c>
      <c r="D125" s="38" t="s">
        <v>27</v>
      </c>
      <c r="E125" s="42">
        <v>1</v>
      </c>
      <c r="F125" s="37">
        <v>2014817</v>
      </c>
      <c r="G125" s="118">
        <f t="shared" si="6"/>
        <v>2014817</v>
      </c>
      <c r="H125" s="27"/>
      <c r="I125" s="123"/>
      <c r="J125" s="123"/>
      <c r="K125" s="185">
        <v>2014817</v>
      </c>
      <c r="L125" s="189">
        <f t="shared" si="7"/>
        <v>0</v>
      </c>
    </row>
    <row r="126" spans="1:20" ht="65.45" customHeight="1" x14ac:dyDescent="0.25">
      <c r="A126" s="26"/>
      <c r="B126" s="213">
        <v>5.18</v>
      </c>
      <c r="C126" s="36" t="s">
        <v>231</v>
      </c>
      <c r="D126" s="38" t="s">
        <v>27</v>
      </c>
      <c r="E126" s="42">
        <v>1</v>
      </c>
      <c r="F126" s="37">
        <v>2081094</v>
      </c>
      <c r="G126" s="118">
        <f t="shared" si="6"/>
        <v>2081094</v>
      </c>
      <c r="H126" s="27"/>
      <c r="I126" s="123"/>
      <c r="J126" s="123"/>
      <c r="K126" s="185">
        <v>2081094</v>
      </c>
      <c r="L126" s="189">
        <f t="shared" si="7"/>
        <v>0</v>
      </c>
    </row>
    <row r="127" spans="1:20" ht="88.15" customHeight="1" x14ac:dyDescent="0.25">
      <c r="A127" s="26"/>
      <c r="B127" s="209">
        <v>5.19</v>
      </c>
      <c r="C127" s="36" t="s">
        <v>232</v>
      </c>
      <c r="D127" s="38" t="s">
        <v>27</v>
      </c>
      <c r="E127" s="42">
        <v>1</v>
      </c>
      <c r="F127" s="37">
        <v>10929600</v>
      </c>
      <c r="G127" s="118">
        <f t="shared" si="6"/>
        <v>10929600</v>
      </c>
      <c r="H127" s="27"/>
      <c r="I127" s="123"/>
      <c r="J127" s="123"/>
      <c r="K127" s="185">
        <v>10929600</v>
      </c>
      <c r="L127" s="189">
        <f t="shared" si="7"/>
        <v>0</v>
      </c>
    </row>
    <row r="128" spans="1:20" ht="88.15" customHeight="1" x14ac:dyDescent="0.25">
      <c r="A128" s="26"/>
      <c r="B128" s="213">
        <v>5.2</v>
      </c>
      <c r="C128" s="36" t="s">
        <v>233</v>
      </c>
      <c r="D128" s="38" t="s">
        <v>27</v>
      </c>
      <c r="E128" s="42">
        <v>1</v>
      </c>
      <c r="F128" s="37">
        <v>12028500</v>
      </c>
      <c r="G128" s="118">
        <f t="shared" si="6"/>
        <v>12028500</v>
      </c>
      <c r="H128" s="27"/>
      <c r="I128" s="123"/>
      <c r="J128" s="123"/>
      <c r="K128" s="185">
        <v>12028500</v>
      </c>
      <c r="L128" s="189">
        <f t="shared" si="7"/>
        <v>0</v>
      </c>
    </row>
    <row r="129" spans="1:20" ht="87" customHeight="1" x14ac:dyDescent="0.25">
      <c r="A129" s="26"/>
      <c r="B129" s="209">
        <v>5.21</v>
      </c>
      <c r="C129" s="36" t="s">
        <v>234</v>
      </c>
      <c r="D129" s="38" t="s">
        <v>27</v>
      </c>
      <c r="E129" s="42">
        <v>1</v>
      </c>
      <c r="F129" s="37">
        <v>10453500</v>
      </c>
      <c r="G129" s="118">
        <f t="shared" si="6"/>
        <v>10453500</v>
      </c>
      <c r="H129" s="27"/>
      <c r="I129" s="123"/>
      <c r="J129" s="123"/>
      <c r="K129" s="185">
        <v>10453500</v>
      </c>
      <c r="L129" s="189">
        <f t="shared" si="7"/>
        <v>0</v>
      </c>
    </row>
    <row r="130" spans="1:20" ht="87" customHeight="1" x14ac:dyDescent="0.25">
      <c r="A130" s="26"/>
      <c r="B130" s="213">
        <v>5.22</v>
      </c>
      <c r="C130" s="36" t="s">
        <v>235</v>
      </c>
      <c r="D130" s="38" t="s">
        <v>27</v>
      </c>
      <c r="E130" s="42">
        <v>1</v>
      </c>
      <c r="F130" s="37">
        <v>8806500</v>
      </c>
      <c r="G130" s="118">
        <f t="shared" si="6"/>
        <v>8806500</v>
      </c>
      <c r="H130" s="27"/>
      <c r="I130" s="123"/>
      <c r="J130" s="123"/>
      <c r="K130" s="185">
        <v>8806500</v>
      </c>
      <c r="L130" s="189">
        <f t="shared" si="7"/>
        <v>0</v>
      </c>
    </row>
    <row r="131" spans="1:20" ht="84" customHeight="1" x14ac:dyDescent="0.25">
      <c r="A131" s="26"/>
      <c r="B131" s="209">
        <v>5.23</v>
      </c>
      <c r="C131" s="36" t="s">
        <v>236</v>
      </c>
      <c r="D131" s="38" t="s">
        <v>27</v>
      </c>
      <c r="E131" s="42">
        <v>1</v>
      </c>
      <c r="F131" s="37">
        <v>1166400</v>
      </c>
      <c r="G131" s="118">
        <f t="shared" si="6"/>
        <v>1166400</v>
      </c>
      <c r="H131" s="27"/>
      <c r="I131" s="123"/>
      <c r="J131" s="123"/>
      <c r="K131" s="185">
        <v>1166400</v>
      </c>
      <c r="L131" s="189">
        <f t="shared" si="7"/>
        <v>0</v>
      </c>
    </row>
    <row r="132" spans="1:20" ht="80.45" customHeight="1" x14ac:dyDescent="0.25">
      <c r="A132" s="26"/>
      <c r="B132" s="213">
        <v>5.24</v>
      </c>
      <c r="C132" s="36" t="s">
        <v>237</v>
      </c>
      <c r="D132" s="38" t="s">
        <v>27</v>
      </c>
      <c r="E132" s="42">
        <v>1</v>
      </c>
      <c r="F132" s="37">
        <v>2568000</v>
      </c>
      <c r="G132" s="118">
        <f t="shared" si="6"/>
        <v>2568000</v>
      </c>
      <c r="H132" s="27"/>
      <c r="I132" s="123"/>
      <c r="J132" s="123"/>
      <c r="K132" s="185">
        <v>2568000</v>
      </c>
      <c r="L132" s="189">
        <f t="shared" si="7"/>
        <v>0</v>
      </c>
    </row>
    <row r="133" spans="1:20" ht="82.9" customHeight="1" x14ac:dyDescent="0.25">
      <c r="A133" s="26"/>
      <c r="B133" s="209">
        <v>5.25</v>
      </c>
      <c r="C133" s="36" t="s">
        <v>238</v>
      </c>
      <c r="D133" s="38" t="s">
        <v>27</v>
      </c>
      <c r="E133" s="42">
        <v>1</v>
      </c>
      <c r="F133" s="37">
        <v>4784000</v>
      </c>
      <c r="G133" s="118">
        <f t="shared" si="6"/>
        <v>4784000</v>
      </c>
      <c r="H133" s="27"/>
      <c r="I133" s="123"/>
      <c r="J133" s="123"/>
      <c r="K133" s="185">
        <v>4784000</v>
      </c>
      <c r="L133" s="189">
        <f t="shared" si="7"/>
        <v>0</v>
      </c>
    </row>
    <row r="134" spans="1:20" ht="24" customHeight="1" x14ac:dyDescent="0.25">
      <c r="A134" s="26"/>
      <c r="B134" s="305" t="s">
        <v>436</v>
      </c>
      <c r="C134" s="306"/>
      <c r="D134" s="306"/>
      <c r="E134" s="306"/>
      <c r="F134" s="100"/>
      <c r="G134" s="101" t="e">
        <f>SUM(G109:G133)</f>
        <v>#REF!</v>
      </c>
      <c r="H134" s="27"/>
      <c r="L134" s="189">
        <f t="shared" si="7"/>
        <v>0</v>
      </c>
    </row>
    <row r="135" spans="1:20" ht="34.5" customHeight="1" x14ac:dyDescent="0.25">
      <c r="A135" s="26"/>
      <c r="B135" s="28">
        <v>6</v>
      </c>
      <c r="C135" s="29" t="s">
        <v>438</v>
      </c>
      <c r="D135" s="30" t="s">
        <v>27</v>
      </c>
      <c r="E135" s="83" t="s">
        <v>28</v>
      </c>
      <c r="F135" s="30" t="s">
        <v>29</v>
      </c>
      <c r="G135" s="32" t="s">
        <v>30</v>
      </c>
      <c r="H135" s="27"/>
      <c r="K135" s="185" t="s">
        <v>29</v>
      </c>
      <c r="L135" s="189"/>
    </row>
    <row r="136" spans="1:20" s="40" customFormat="1" x14ac:dyDescent="0.25">
      <c r="A136" s="39"/>
      <c r="B136" s="211">
        <v>6.1</v>
      </c>
      <c r="C136" s="212" t="s">
        <v>358</v>
      </c>
      <c r="D136" s="34" t="s">
        <v>34</v>
      </c>
      <c r="E136" s="42" t="e">
        <f>+#REF!</f>
        <v>#REF!</v>
      </c>
      <c r="F136" s="37">
        <v>152350</v>
      </c>
      <c r="G136" s="35" t="e">
        <f t="shared" ref="G136:G160" si="8">+E136*F136</f>
        <v>#REF!</v>
      </c>
      <c r="H136" s="27"/>
      <c r="I136" s="159"/>
      <c r="J136" s="159"/>
      <c r="K136" s="187">
        <v>152350</v>
      </c>
      <c r="L136" s="189">
        <f>+K136-F136</f>
        <v>0</v>
      </c>
      <c r="Q136" s="40">
        <f>+O136*1.4</f>
        <v>0</v>
      </c>
    </row>
    <row r="137" spans="1:20" s="40" customFormat="1" ht="38.25" x14ac:dyDescent="0.25">
      <c r="A137" s="39"/>
      <c r="B137" s="210">
        <v>6.2</v>
      </c>
      <c r="C137" s="115" t="s">
        <v>424</v>
      </c>
      <c r="D137" s="38" t="s">
        <v>389</v>
      </c>
      <c r="E137" s="43" t="e">
        <f>+#REF!</f>
        <v>#REF!</v>
      </c>
      <c r="F137" s="117">
        <v>171293</v>
      </c>
      <c r="G137" s="118" t="e">
        <f t="shared" si="8"/>
        <v>#REF!</v>
      </c>
      <c r="H137" s="27"/>
      <c r="I137" s="159"/>
      <c r="J137" s="159"/>
      <c r="K137" s="187"/>
      <c r="L137" s="189"/>
    </row>
    <row r="138" spans="1:20" s="40" customFormat="1" x14ac:dyDescent="0.25">
      <c r="A138" s="39"/>
      <c r="B138" s="211">
        <v>6.3</v>
      </c>
      <c r="C138" s="115" t="s">
        <v>425</v>
      </c>
      <c r="D138" s="38" t="s">
        <v>389</v>
      </c>
      <c r="E138" s="43" t="e">
        <f>+#REF!</f>
        <v>#REF!</v>
      </c>
      <c r="F138" s="117">
        <v>27410</v>
      </c>
      <c r="G138" s="118" t="e">
        <f t="shared" si="8"/>
        <v>#REF!</v>
      </c>
      <c r="H138" s="27"/>
      <c r="I138" s="159"/>
      <c r="J138" s="159"/>
      <c r="K138" s="187"/>
      <c r="L138" s="189"/>
    </row>
    <row r="139" spans="1:20" s="40" customFormat="1" x14ac:dyDescent="0.25">
      <c r="A139" s="39"/>
      <c r="B139" s="210">
        <v>6.4</v>
      </c>
      <c r="C139" s="115" t="s">
        <v>426</v>
      </c>
      <c r="D139" s="38" t="s">
        <v>389</v>
      </c>
      <c r="E139" s="43" t="e">
        <f>+#REF!</f>
        <v>#REF!</v>
      </c>
      <c r="F139" s="117">
        <v>25002</v>
      </c>
      <c r="G139" s="118" t="e">
        <f t="shared" si="8"/>
        <v>#REF!</v>
      </c>
      <c r="H139" s="27"/>
      <c r="I139" s="159"/>
      <c r="J139" s="159"/>
      <c r="K139" s="187"/>
      <c r="L139" s="189"/>
    </row>
    <row r="140" spans="1:20" s="40" customFormat="1" ht="16.5" x14ac:dyDescent="0.25">
      <c r="A140" s="39"/>
      <c r="B140" s="211">
        <v>6.5</v>
      </c>
      <c r="C140" s="115" t="s">
        <v>427</v>
      </c>
      <c r="D140" s="38" t="s">
        <v>34</v>
      </c>
      <c r="E140" s="43" t="e">
        <f>+#REF!</f>
        <v>#REF!</v>
      </c>
      <c r="F140" s="117">
        <v>118800</v>
      </c>
      <c r="G140" s="118" t="e">
        <f t="shared" si="8"/>
        <v>#REF!</v>
      </c>
      <c r="H140" s="27"/>
      <c r="I140" s="159"/>
      <c r="J140" s="159"/>
      <c r="K140" s="187"/>
      <c r="L140" s="189"/>
    </row>
    <row r="141" spans="1:20" s="40" customFormat="1" ht="38.25" x14ac:dyDescent="0.25">
      <c r="A141" s="39"/>
      <c r="B141" s="210">
        <v>6.6</v>
      </c>
      <c r="C141" s="115" t="s">
        <v>428</v>
      </c>
      <c r="D141" s="38" t="s">
        <v>389</v>
      </c>
      <c r="E141" s="43" t="e">
        <f>+#REF!</f>
        <v>#REF!</v>
      </c>
      <c r="F141" s="117">
        <v>10773</v>
      </c>
      <c r="G141" s="118" t="e">
        <f t="shared" si="8"/>
        <v>#REF!</v>
      </c>
      <c r="H141" s="27"/>
      <c r="I141" s="159"/>
      <c r="J141" s="159"/>
      <c r="K141" s="187"/>
      <c r="L141" s="189"/>
    </row>
    <row r="142" spans="1:20" s="40" customFormat="1" ht="16.5" x14ac:dyDescent="0.25">
      <c r="A142" s="39"/>
      <c r="B142" s="211">
        <v>6.7</v>
      </c>
      <c r="C142" s="115" t="s">
        <v>429</v>
      </c>
      <c r="D142" s="38" t="s">
        <v>389</v>
      </c>
      <c r="E142" s="43" t="e">
        <f>+#REF!</f>
        <v>#REF!</v>
      </c>
      <c r="F142" s="117">
        <v>61222</v>
      </c>
      <c r="G142" s="118" t="e">
        <f t="shared" si="8"/>
        <v>#REF!</v>
      </c>
      <c r="H142" s="27"/>
      <c r="I142" s="159">
        <f>54663*1.13</f>
        <v>61769.189999999995</v>
      </c>
      <c r="J142" s="159"/>
      <c r="K142" s="187"/>
      <c r="L142" s="189"/>
    </row>
    <row r="143" spans="1:20" ht="38.25" x14ac:dyDescent="0.25">
      <c r="A143" s="26"/>
      <c r="B143" s="211">
        <v>6.8</v>
      </c>
      <c r="C143" s="212" t="s">
        <v>515</v>
      </c>
      <c r="D143" s="34" t="s">
        <v>389</v>
      </c>
      <c r="E143" s="42" t="e">
        <f>+#REF!</f>
        <v>#REF!</v>
      </c>
      <c r="F143" s="37">
        <v>76867.12</v>
      </c>
      <c r="G143" s="35" t="e">
        <f t="shared" si="8"/>
        <v>#REF!</v>
      </c>
      <c r="H143" s="216"/>
      <c r="I143" s="123"/>
      <c r="J143" s="123"/>
      <c r="K143" s="218"/>
      <c r="L143" s="189"/>
    </row>
    <row r="144" spans="1:20" ht="79.900000000000006" customHeight="1" x14ac:dyDescent="0.25">
      <c r="A144" s="26"/>
      <c r="B144" s="211">
        <v>6.9</v>
      </c>
      <c r="C144" s="115" t="s">
        <v>223</v>
      </c>
      <c r="D144" s="38" t="s">
        <v>27</v>
      </c>
      <c r="E144" s="42">
        <v>1</v>
      </c>
      <c r="F144" s="37">
        <v>9201198</v>
      </c>
      <c r="G144" s="118">
        <f t="shared" si="8"/>
        <v>9201198</v>
      </c>
      <c r="H144" s="27"/>
      <c r="I144" s="123"/>
      <c r="J144" s="123"/>
      <c r="K144" s="185">
        <v>9201198</v>
      </c>
      <c r="L144" s="189">
        <v>5300000</v>
      </c>
      <c r="M144" s="189">
        <f>+K144-L144</f>
        <v>3901198</v>
      </c>
      <c r="N144" s="189"/>
      <c r="O144" s="197">
        <f>+M144/L144</f>
        <v>0.73607509433962259</v>
      </c>
      <c r="P144" s="199">
        <f>+O144-1.19</f>
        <v>-0.45392490566037735</v>
      </c>
      <c r="Q144" s="7">
        <f>+F144*1.25</f>
        <v>11501497.5</v>
      </c>
      <c r="R144" s="121">
        <f>+Q144*0.2</f>
        <v>2300299.5</v>
      </c>
      <c r="S144" s="198">
        <f>+Q144-L144-R144-Q144*0.0883</f>
        <v>2885615.7707500001</v>
      </c>
      <c r="T144" s="199">
        <f>+S144/Q144</f>
        <v>0.2508904402013738</v>
      </c>
    </row>
    <row r="145" spans="1:16" ht="87" customHeight="1" x14ac:dyDescent="0.25">
      <c r="A145" s="26"/>
      <c r="B145" s="210">
        <v>6.1</v>
      </c>
      <c r="C145" s="36" t="s">
        <v>224</v>
      </c>
      <c r="D145" s="38" t="s">
        <v>27</v>
      </c>
      <c r="E145" s="42">
        <v>1</v>
      </c>
      <c r="F145" s="37">
        <v>1372799</v>
      </c>
      <c r="G145" s="118">
        <f t="shared" si="8"/>
        <v>1372799</v>
      </c>
      <c r="H145" s="27"/>
      <c r="I145" s="123"/>
      <c r="J145" s="123"/>
      <c r="K145" s="185">
        <v>1372799</v>
      </c>
      <c r="L145" s="189">
        <f t="shared" ref="L145:L161" si="9">+K145-F145</f>
        <v>0</v>
      </c>
    </row>
    <row r="146" spans="1:16" ht="85.15" customHeight="1" x14ac:dyDescent="0.25">
      <c r="A146" s="26"/>
      <c r="B146" s="209">
        <v>6.11</v>
      </c>
      <c r="C146" s="36" t="s">
        <v>225</v>
      </c>
      <c r="D146" s="38" t="s">
        <v>27</v>
      </c>
      <c r="E146" s="42">
        <v>1</v>
      </c>
      <c r="F146" s="37">
        <v>8079175</v>
      </c>
      <c r="G146" s="118">
        <f t="shared" si="8"/>
        <v>8079175</v>
      </c>
      <c r="H146" s="27"/>
      <c r="I146" s="123"/>
      <c r="J146" s="123"/>
      <c r="K146" s="185">
        <v>8079175</v>
      </c>
      <c r="L146" s="189">
        <f t="shared" si="9"/>
        <v>0</v>
      </c>
      <c r="P146" s="200"/>
    </row>
    <row r="147" spans="1:16" ht="78" customHeight="1" x14ac:dyDescent="0.25">
      <c r="A147" s="26"/>
      <c r="B147" s="209">
        <v>6.12</v>
      </c>
      <c r="C147" s="36" t="s">
        <v>227</v>
      </c>
      <c r="D147" s="38" t="s">
        <v>27</v>
      </c>
      <c r="E147" s="42">
        <v>1</v>
      </c>
      <c r="F147" s="37">
        <v>2420664</v>
      </c>
      <c r="G147" s="118">
        <f t="shared" si="8"/>
        <v>2420664</v>
      </c>
      <c r="H147" s="27"/>
      <c r="I147" s="123"/>
      <c r="J147" s="123"/>
      <c r="K147" s="185">
        <v>2420664</v>
      </c>
      <c r="L147" s="189">
        <f t="shared" si="9"/>
        <v>0</v>
      </c>
      <c r="P147" s="200"/>
    </row>
    <row r="148" spans="1:16" ht="80.45" customHeight="1" x14ac:dyDescent="0.25">
      <c r="A148" s="26"/>
      <c r="B148" s="209">
        <v>6.13</v>
      </c>
      <c r="C148" s="36" t="s">
        <v>226</v>
      </c>
      <c r="D148" s="38" t="s">
        <v>27</v>
      </c>
      <c r="E148" s="42">
        <v>1</v>
      </c>
      <c r="F148" s="37">
        <v>6250503</v>
      </c>
      <c r="G148" s="118">
        <f t="shared" si="8"/>
        <v>6250503</v>
      </c>
      <c r="H148" s="27"/>
      <c r="I148" s="123"/>
      <c r="J148" s="123"/>
      <c r="K148" s="185">
        <v>6250503</v>
      </c>
      <c r="L148" s="189">
        <f t="shared" si="9"/>
        <v>0</v>
      </c>
    </row>
    <row r="149" spans="1:16" ht="91.5" customHeight="1" x14ac:dyDescent="0.25">
      <c r="A149" s="26"/>
      <c r="B149" s="209">
        <v>6.14</v>
      </c>
      <c r="C149" s="36" t="s">
        <v>367</v>
      </c>
      <c r="D149" s="38" t="s">
        <v>27</v>
      </c>
      <c r="E149" s="42">
        <v>1</v>
      </c>
      <c r="F149" s="37">
        <v>2504932</v>
      </c>
      <c r="G149" s="118">
        <f t="shared" si="8"/>
        <v>2504932</v>
      </c>
      <c r="H149" s="27"/>
      <c r="I149" s="123"/>
      <c r="J149" s="123"/>
      <c r="K149" s="185">
        <v>2504932</v>
      </c>
      <c r="L149" s="189">
        <f t="shared" si="9"/>
        <v>0</v>
      </c>
    </row>
    <row r="150" spans="1:16" ht="78.599999999999994" customHeight="1" x14ac:dyDescent="0.25">
      <c r="A150" s="26"/>
      <c r="B150" s="209">
        <v>6.15</v>
      </c>
      <c r="C150" s="36" t="s">
        <v>228</v>
      </c>
      <c r="D150" s="38" t="s">
        <v>27</v>
      </c>
      <c r="E150" s="42">
        <v>1</v>
      </c>
      <c r="F150" s="37">
        <v>854470</v>
      </c>
      <c r="G150" s="118">
        <f t="shared" si="8"/>
        <v>854470</v>
      </c>
      <c r="H150" s="27"/>
      <c r="I150" s="123"/>
      <c r="J150" s="123"/>
      <c r="K150" s="185">
        <v>854470</v>
      </c>
      <c r="L150" s="189">
        <f t="shared" si="9"/>
        <v>0</v>
      </c>
    </row>
    <row r="151" spans="1:16" ht="60.6" customHeight="1" x14ac:dyDescent="0.25">
      <c r="A151" s="26"/>
      <c r="B151" s="209">
        <v>6.16</v>
      </c>
      <c r="C151" s="36" t="s">
        <v>229</v>
      </c>
      <c r="D151" s="38" t="s">
        <v>27</v>
      </c>
      <c r="E151" s="42">
        <v>1</v>
      </c>
      <c r="F151" s="37">
        <v>1723199</v>
      </c>
      <c r="G151" s="118">
        <f t="shared" si="8"/>
        <v>1723199</v>
      </c>
      <c r="H151" s="27"/>
      <c r="I151" s="123"/>
      <c r="J151" s="123"/>
      <c r="K151" s="185">
        <v>1723199</v>
      </c>
      <c r="L151" s="189">
        <f t="shared" si="9"/>
        <v>0</v>
      </c>
    </row>
    <row r="152" spans="1:16" ht="70.150000000000006" customHeight="1" x14ac:dyDescent="0.25">
      <c r="A152" s="26"/>
      <c r="B152" s="209">
        <v>6.17</v>
      </c>
      <c r="C152" s="36" t="s">
        <v>230</v>
      </c>
      <c r="D152" s="38" t="s">
        <v>27</v>
      </c>
      <c r="E152" s="42">
        <v>1</v>
      </c>
      <c r="F152" s="37">
        <v>2014817</v>
      </c>
      <c r="G152" s="118">
        <f t="shared" si="8"/>
        <v>2014817</v>
      </c>
      <c r="H152" s="27"/>
      <c r="I152" s="123"/>
      <c r="J152" s="123"/>
      <c r="K152" s="185">
        <v>2014817</v>
      </c>
      <c r="L152" s="189">
        <f t="shared" si="9"/>
        <v>0</v>
      </c>
    </row>
    <row r="153" spans="1:16" ht="65.45" customHeight="1" x14ac:dyDescent="0.25">
      <c r="A153" s="26"/>
      <c r="B153" s="209">
        <v>6.18</v>
      </c>
      <c r="C153" s="36" t="s">
        <v>231</v>
      </c>
      <c r="D153" s="38" t="s">
        <v>27</v>
      </c>
      <c r="E153" s="42">
        <v>1</v>
      </c>
      <c r="F153" s="37">
        <v>2081094</v>
      </c>
      <c r="G153" s="118">
        <f t="shared" si="8"/>
        <v>2081094</v>
      </c>
      <c r="H153" s="27"/>
      <c r="I153" s="123"/>
      <c r="J153" s="123"/>
      <c r="K153" s="185">
        <v>2081094</v>
      </c>
      <c r="L153" s="189">
        <f t="shared" si="9"/>
        <v>0</v>
      </c>
    </row>
    <row r="154" spans="1:16" ht="88.15" customHeight="1" x14ac:dyDescent="0.25">
      <c r="A154" s="26"/>
      <c r="B154" s="209">
        <v>6.19</v>
      </c>
      <c r="C154" s="36" t="s">
        <v>232</v>
      </c>
      <c r="D154" s="38" t="s">
        <v>27</v>
      </c>
      <c r="E154" s="42">
        <v>1</v>
      </c>
      <c r="F154" s="37">
        <v>10929600</v>
      </c>
      <c r="G154" s="118">
        <f t="shared" si="8"/>
        <v>10929600</v>
      </c>
      <c r="H154" s="27"/>
      <c r="I154" s="123"/>
      <c r="J154" s="123"/>
      <c r="K154" s="185">
        <v>10929600</v>
      </c>
      <c r="L154" s="189">
        <f t="shared" si="9"/>
        <v>0</v>
      </c>
    </row>
    <row r="155" spans="1:16" ht="88.15" customHeight="1" x14ac:dyDescent="0.25">
      <c r="A155" s="26"/>
      <c r="B155" s="209">
        <v>6.2</v>
      </c>
      <c r="C155" s="36" t="s">
        <v>233</v>
      </c>
      <c r="D155" s="38" t="s">
        <v>27</v>
      </c>
      <c r="E155" s="42">
        <v>1</v>
      </c>
      <c r="F155" s="37">
        <v>12028500</v>
      </c>
      <c r="G155" s="118">
        <f t="shared" si="8"/>
        <v>12028500</v>
      </c>
      <c r="H155" s="27"/>
      <c r="I155" s="123"/>
      <c r="J155" s="123"/>
      <c r="K155" s="185">
        <v>12028500</v>
      </c>
      <c r="L155" s="189">
        <f t="shared" si="9"/>
        <v>0</v>
      </c>
    </row>
    <row r="156" spans="1:16" ht="87" customHeight="1" x14ac:dyDescent="0.25">
      <c r="A156" s="26"/>
      <c r="B156" s="209">
        <v>6.21</v>
      </c>
      <c r="C156" s="36" t="s">
        <v>234</v>
      </c>
      <c r="D156" s="38" t="s">
        <v>27</v>
      </c>
      <c r="E156" s="42">
        <v>1</v>
      </c>
      <c r="F156" s="37">
        <v>10453500</v>
      </c>
      <c r="G156" s="118">
        <f t="shared" si="8"/>
        <v>10453500</v>
      </c>
      <c r="H156" s="27"/>
      <c r="I156" s="123"/>
      <c r="J156" s="123"/>
      <c r="K156" s="185">
        <v>10453500</v>
      </c>
      <c r="L156" s="189">
        <f t="shared" si="9"/>
        <v>0</v>
      </c>
    </row>
    <row r="157" spans="1:16" ht="87" customHeight="1" x14ac:dyDescent="0.25">
      <c r="A157" s="26"/>
      <c r="B157" s="209">
        <v>6.22</v>
      </c>
      <c r="C157" s="36" t="s">
        <v>235</v>
      </c>
      <c r="D157" s="38" t="s">
        <v>27</v>
      </c>
      <c r="E157" s="42">
        <v>1</v>
      </c>
      <c r="F157" s="37">
        <v>8806500</v>
      </c>
      <c r="G157" s="118">
        <f t="shared" si="8"/>
        <v>8806500</v>
      </c>
      <c r="H157" s="27"/>
      <c r="I157" s="123"/>
      <c r="J157" s="123"/>
      <c r="K157" s="185">
        <v>8806500</v>
      </c>
      <c r="L157" s="189">
        <f t="shared" si="9"/>
        <v>0</v>
      </c>
    </row>
    <row r="158" spans="1:16" ht="84" customHeight="1" x14ac:dyDescent="0.25">
      <c r="A158" s="26"/>
      <c r="B158" s="209">
        <v>6.23</v>
      </c>
      <c r="C158" s="36" t="s">
        <v>236</v>
      </c>
      <c r="D158" s="38" t="s">
        <v>27</v>
      </c>
      <c r="E158" s="42">
        <v>1</v>
      </c>
      <c r="F158" s="37">
        <v>1166400</v>
      </c>
      <c r="G158" s="118">
        <f t="shared" si="8"/>
        <v>1166400</v>
      </c>
      <c r="H158" s="27"/>
      <c r="I158" s="123"/>
      <c r="J158" s="123"/>
      <c r="K158" s="185">
        <v>1166400</v>
      </c>
      <c r="L158" s="189">
        <f t="shared" si="9"/>
        <v>0</v>
      </c>
    </row>
    <row r="159" spans="1:16" ht="80.45" customHeight="1" x14ac:dyDescent="0.25">
      <c r="A159" s="26"/>
      <c r="B159" s="209">
        <v>6.24</v>
      </c>
      <c r="C159" s="36" t="s">
        <v>237</v>
      </c>
      <c r="D159" s="38" t="s">
        <v>27</v>
      </c>
      <c r="E159" s="42">
        <v>1</v>
      </c>
      <c r="F159" s="37">
        <v>2568000</v>
      </c>
      <c r="G159" s="118">
        <f t="shared" si="8"/>
        <v>2568000</v>
      </c>
      <c r="H159" s="27"/>
      <c r="I159" s="123"/>
      <c r="J159" s="123"/>
      <c r="K159" s="185">
        <v>2568000</v>
      </c>
      <c r="L159" s="189">
        <f t="shared" si="9"/>
        <v>0</v>
      </c>
    </row>
    <row r="160" spans="1:16" ht="82.9" customHeight="1" x14ac:dyDescent="0.25">
      <c r="A160" s="26"/>
      <c r="B160" s="209">
        <v>6.25</v>
      </c>
      <c r="C160" s="36" t="s">
        <v>238</v>
      </c>
      <c r="D160" s="38" t="s">
        <v>27</v>
      </c>
      <c r="E160" s="42">
        <v>1</v>
      </c>
      <c r="F160" s="37">
        <v>4784000</v>
      </c>
      <c r="G160" s="118">
        <f t="shared" si="8"/>
        <v>4784000</v>
      </c>
      <c r="H160" s="27"/>
      <c r="I160" s="123"/>
      <c r="J160" s="123"/>
      <c r="K160" s="185">
        <v>4784000</v>
      </c>
      <c r="L160" s="189">
        <f t="shared" si="9"/>
        <v>0</v>
      </c>
    </row>
    <row r="161" spans="1:20" ht="24" customHeight="1" x14ac:dyDescent="0.25">
      <c r="A161" s="26"/>
      <c r="B161" s="305" t="s">
        <v>437</v>
      </c>
      <c r="C161" s="306"/>
      <c r="D161" s="306"/>
      <c r="E161" s="306"/>
      <c r="F161" s="100"/>
      <c r="G161" s="101" t="e">
        <f>SUM(G136:G160)</f>
        <v>#REF!</v>
      </c>
      <c r="H161" s="27"/>
      <c r="L161" s="189">
        <f t="shared" si="9"/>
        <v>0</v>
      </c>
    </row>
    <row r="162" spans="1:20" ht="34.5" customHeight="1" x14ac:dyDescent="0.25">
      <c r="A162" s="26"/>
      <c r="B162" s="28">
        <v>7</v>
      </c>
      <c r="C162" s="29" t="s">
        <v>439</v>
      </c>
      <c r="D162" s="30" t="s">
        <v>27</v>
      </c>
      <c r="E162" s="83" t="s">
        <v>28</v>
      </c>
      <c r="F162" s="30" t="s">
        <v>29</v>
      </c>
      <c r="G162" s="32" t="s">
        <v>30</v>
      </c>
      <c r="H162" s="27"/>
      <c r="K162" s="185" t="s">
        <v>29</v>
      </c>
      <c r="L162" s="189"/>
    </row>
    <row r="163" spans="1:20" s="40" customFormat="1" x14ac:dyDescent="0.25">
      <c r="A163" s="39"/>
      <c r="B163" s="211">
        <v>7.1</v>
      </c>
      <c r="C163" s="212" t="s">
        <v>358</v>
      </c>
      <c r="D163" s="34" t="s">
        <v>34</v>
      </c>
      <c r="E163" s="42" t="e">
        <f>+#REF!</f>
        <v>#REF!</v>
      </c>
      <c r="F163" s="37">
        <v>152350</v>
      </c>
      <c r="G163" s="35" t="e">
        <f t="shared" ref="G163:G187" si="10">+E163*F163</f>
        <v>#REF!</v>
      </c>
      <c r="H163" s="27"/>
      <c r="I163" s="159"/>
      <c r="J163" s="159"/>
      <c r="K163" s="187">
        <v>152350</v>
      </c>
      <c r="L163" s="189">
        <f>+K163-F163</f>
        <v>0</v>
      </c>
      <c r="Q163" s="40">
        <f>+O163*1.4</f>
        <v>0</v>
      </c>
    </row>
    <row r="164" spans="1:20" s="40" customFormat="1" ht="38.25" x14ac:dyDescent="0.25">
      <c r="A164" s="39"/>
      <c r="B164" s="210">
        <v>7.2</v>
      </c>
      <c r="C164" s="115" t="s">
        <v>424</v>
      </c>
      <c r="D164" s="38" t="s">
        <v>389</v>
      </c>
      <c r="E164" s="43" t="e">
        <f>+#REF!</f>
        <v>#REF!</v>
      </c>
      <c r="F164" s="117">
        <v>171293</v>
      </c>
      <c r="G164" s="118" t="e">
        <f t="shared" si="10"/>
        <v>#REF!</v>
      </c>
      <c r="H164" s="27"/>
      <c r="I164" s="159"/>
      <c r="J164" s="159"/>
      <c r="K164" s="187"/>
      <c r="L164" s="189"/>
    </row>
    <row r="165" spans="1:20" s="40" customFormat="1" x14ac:dyDescent="0.25">
      <c r="A165" s="39"/>
      <c r="B165" s="211">
        <v>7.3</v>
      </c>
      <c r="C165" s="115" t="s">
        <v>425</v>
      </c>
      <c r="D165" s="38" t="s">
        <v>389</v>
      </c>
      <c r="E165" s="43" t="e">
        <f>+#REF!</f>
        <v>#REF!</v>
      </c>
      <c r="F165" s="117">
        <v>27410</v>
      </c>
      <c r="G165" s="118" t="e">
        <f t="shared" si="10"/>
        <v>#REF!</v>
      </c>
      <c r="H165" s="27"/>
      <c r="I165" s="159"/>
      <c r="J165" s="159"/>
      <c r="K165" s="187"/>
      <c r="L165" s="189"/>
    </row>
    <row r="166" spans="1:20" s="40" customFormat="1" x14ac:dyDescent="0.25">
      <c r="A166" s="39"/>
      <c r="B166" s="210">
        <v>7.4</v>
      </c>
      <c r="C166" s="115" t="s">
        <v>426</v>
      </c>
      <c r="D166" s="38" t="s">
        <v>389</v>
      </c>
      <c r="E166" s="43" t="e">
        <f>+#REF!</f>
        <v>#REF!</v>
      </c>
      <c r="F166" s="117">
        <v>25002</v>
      </c>
      <c r="G166" s="118" t="e">
        <f t="shared" si="10"/>
        <v>#REF!</v>
      </c>
      <c r="H166" s="27"/>
      <c r="I166" s="159"/>
      <c r="J166" s="159"/>
      <c r="K166" s="187"/>
      <c r="L166" s="189"/>
    </row>
    <row r="167" spans="1:20" s="40" customFormat="1" ht="16.5" x14ac:dyDescent="0.25">
      <c r="A167" s="39"/>
      <c r="B167" s="211">
        <v>7.5</v>
      </c>
      <c r="C167" s="115" t="s">
        <v>427</v>
      </c>
      <c r="D167" s="38" t="s">
        <v>34</v>
      </c>
      <c r="E167" s="43" t="e">
        <f>+#REF!</f>
        <v>#REF!</v>
      </c>
      <c r="F167" s="117">
        <v>118800</v>
      </c>
      <c r="G167" s="118" t="e">
        <f t="shared" si="10"/>
        <v>#REF!</v>
      </c>
      <c r="H167" s="27"/>
      <c r="I167" s="159"/>
      <c r="J167" s="159"/>
      <c r="K167" s="187"/>
      <c r="L167" s="189"/>
    </row>
    <row r="168" spans="1:20" s="40" customFormat="1" ht="38.25" x14ac:dyDescent="0.25">
      <c r="A168" s="39"/>
      <c r="B168" s="210">
        <v>7.6</v>
      </c>
      <c r="C168" s="115" t="s">
        <v>428</v>
      </c>
      <c r="D168" s="38" t="s">
        <v>389</v>
      </c>
      <c r="E168" s="43" t="e">
        <f>+#REF!</f>
        <v>#REF!</v>
      </c>
      <c r="F168" s="117">
        <v>10773</v>
      </c>
      <c r="G168" s="118" t="e">
        <f t="shared" si="10"/>
        <v>#REF!</v>
      </c>
      <c r="H168" s="27"/>
      <c r="I168" s="159"/>
      <c r="J168" s="159"/>
      <c r="K168" s="187"/>
      <c r="L168" s="189"/>
    </row>
    <row r="169" spans="1:20" s="40" customFormat="1" ht="16.5" x14ac:dyDescent="0.25">
      <c r="A169" s="39"/>
      <c r="B169" s="211">
        <v>7.7</v>
      </c>
      <c r="C169" s="115" t="s">
        <v>429</v>
      </c>
      <c r="D169" s="38" t="s">
        <v>389</v>
      </c>
      <c r="E169" s="43" t="e">
        <f>+#REF!</f>
        <v>#REF!</v>
      </c>
      <c r="F169" s="117">
        <v>61222</v>
      </c>
      <c r="G169" s="118" t="e">
        <f t="shared" si="10"/>
        <v>#REF!</v>
      </c>
      <c r="H169" s="27"/>
      <c r="I169" s="159">
        <f>54663*1.13</f>
        <v>61769.189999999995</v>
      </c>
      <c r="J169" s="159"/>
      <c r="K169" s="187"/>
      <c r="L169" s="189"/>
    </row>
    <row r="170" spans="1:20" ht="38.25" x14ac:dyDescent="0.25">
      <c r="A170" s="26"/>
      <c r="B170" s="211">
        <v>7.8</v>
      </c>
      <c r="C170" s="212" t="s">
        <v>515</v>
      </c>
      <c r="D170" s="34" t="s">
        <v>389</v>
      </c>
      <c r="E170" s="42" t="e">
        <f>+#REF!</f>
        <v>#REF!</v>
      </c>
      <c r="F170" s="37">
        <v>76867.12</v>
      </c>
      <c r="G170" s="35" t="e">
        <f t="shared" si="10"/>
        <v>#REF!</v>
      </c>
      <c r="H170" s="216"/>
      <c r="I170" s="123"/>
      <c r="J170" s="123"/>
      <c r="K170" s="218"/>
      <c r="L170" s="189"/>
    </row>
    <row r="171" spans="1:20" ht="79.900000000000006" customHeight="1" x14ac:dyDescent="0.25">
      <c r="A171" s="26"/>
      <c r="B171" s="210">
        <v>7.9</v>
      </c>
      <c r="C171" s="115" t="s">
        <v>223</v>
      </c>
      <c r="D171" s="38" t="s">
        <v>27</v>
      </c>
      <c r="E171" s="42">
        <v>1</v>
      </c>
      <c r="F171" s="37">
        <v>9201198</v>
      </c>
      <c r="G171" s="118">
        <f t="shared" si="10"/>
        <v>9201198</v>
      </c>
      <c r="H171" s="27"/>
      <c r="I171" s="123"/>
      <c r="J171" s="123"/>
      <c r="K171" s="185">
        <v>9201198</v>
      </c>
      <c r="L171" s="189">
        <v>5300000</v>
      </c>
      <c r="M171" s="189">
        <f>+K171-L171</f>
        <v>3901198</v>
      </c>
      <c r="N171" s="189"/>
      <c r="O171" s="197">
        <f>+M171/L171</f>
        <v>0.73607509433962259</v>
      </c>
      <c r="P171" s="199">
        <f>+O171-1.19</f>
        <v>-0.45392490566037735</v>
      </c>
      <c r="Q171" s="7">
        <f>+F171*1.25</f>
        <v>11501497.5</v>
      </c>
      <c r="R171" s="121">
        <f>+Q171*0.2</f>
        <v>2300299.5</v>
      </c>
      <c r="S171" s="198">
        <f>+Q171-L171-R171-Q171*0.0883</f>
        <v>2885615.7707500001</v>
      </c>
      <c r="T171" s="199">
        <f>+S171/Q171</f>
        <v>0.2508904402013738</v>
      </c>
    </row>
    <row r="172" spans="1:20" ht="87" customHeight="1" x14ac:dyDescent="0.25">
      <c r="A172" s="26"/>
      <c r="B172" s="211">
        <v>7.1</v>
      </c>
      <c r="C172" s="36" t="s">
        <v>224</v>
      </c>
      <c r="D172" s="38" t="s">
        <v>27</v>
      </c>
      <c r="E172" s="42">
        <v>1</v>
      </c>
      <c r="F172" s="37">
        <v>1372799</v>
      </c>
      <c r="G172" s="118">
        <f t="shared" si="10"/>
        <v>1372799</v>
      </c>
      <c r="H172" s="27"/>
      <c r="I172" s="123"/>
      <c r="J172" s="123"/>
      <c r="K172" s="185">
        <v>1372799</v>
      </c>
      <c r="L172" s="189">
        <f t="shared" ref="L172:L188" si="11">+K172-F172</f>
        <v>0</v>
      </c>
    </row>
    <row r="173" spans="1:20" ht="85.15" customHeight="1" x14ac:dyDescent="0.25">
      <c r="A173" s="26"/>
      <c r="B173" s="209">
        <v>7.11</v>
      </c>
      <c r="C173" s="36" t="s">
        <v>225</v>
      </c>
      <c r="D173" s="38" t="s">
        <v>27</v>
      </c>
      <c r="E173" s="42">
        <v>1</v>
      </c>
      <c r="F173" s="37">
        <v>8079175</v>
      </c>
      <c r="G173" s="118">
        <f t="shared" si="10"/>
        <v>8079175</v>
      </c>
      <c r="H173" s="27"/>
      <c r="I173" s="123"/>
      <c r="J173" s="123"/>
      <c r="K173" s="185">
        <v>8079175</v>
      </c>
      <c r="L173" s="189">
        <f t="shared" si="11"/>
        <v>0</v>
      </c>
      <c r="P173" s="200"/>
    </row>
    <row r="174" spans="1:20" ht="78" customHeight="1" x14ac:dyDescent="0.25">
      <c r="A174" s="26"/>
      <c r="B174" s="213">
        <v>7.12</v>
      </c>
      <c r="C174" s="36" t="s">
        <v>227</v>
      </c>
      <c r="D174" s="38" t="s">
        <v>27</v>
      </c>
      <c r="E174" s="42">
        <v>1</v>
      </c>
      <c r="F174" s="37">
        <v>2420664</v>
      </c>
      <c r="G174" s="118">
        <f t="shared" si="10"/>
        <v>2420664</v>
      </c>
      <c r="H174" s="27"/>
      <c r="I174" s="123"/>
      <c r="J174" s="123"/>
      <c r="K174" s="185">
        <v>2420664</v>
      </c>
      <c r="L174" s="189">
        <f t="shared" si="11"/>
        <v>0</v>
      </c>
      <c r="P174" s="200"/>
    </row>
    <row r="175" spans="1:20" ht="80.45" customHeight="1" x14ac:dyDescent="0.25">
      <c r="A175" s="26"/>
      <c r="B175" s="209">
        <v>7.13</v>
      </c>
      <c r="C175" s="36" t="s">
        <v>226</v>
      </c>
      <c r="D175" s="38" t="s">
        <v>27</v>
      </c>
      <c r="E175" s="42">
        <v>1</v>
      </c>
      <c r="F175" s="37">
        <v>6250503</v>
      </c>
      <c r="G175" s="118">
        <f t="shared" si="10"/>
        <v>6250503</v>
      </c>
      <c r="H175" s="27"/>
      <c r="I175" s="123"/>
      <c r="J175" s="123"/>
      <c r="K175" s="185">
        <v>6250503</v>
      </c>
      <c r="L175" s="189">
        <f t="shared" si="11"/>
        <v>0</v>
      </c>
    </row>
    <row r="176" spans="1:20" ht="91.5" customHeight="1" x14ac:dyDescent="0.25">
      <c r="A176" s="26"/>
      <c r="B176" s="213">
        <v>7.14</v>
      </c>
      <c r="C176" s="36" t="s">
        <v>367</v>
      </c>
      <c r="D176" s="38" t="s">
        <v>27</v>
      </c>
      <c r="E176" s="42">
        <v>1</v>
      </c>
      <c r="F176" s="37">
        <v>2504932</v>
      </c>
      <c r="G176" s="118">
        <f t="shared" si="10"/>
        <v>2504932</v>
      </c>
      <c r="H176" s="27"/>
      <c r="I176" s="123"/>
      <c r="J176" s="123"/>
      <c r="K176" s="185">
        <v>2504932</v>
      </c>
      <c r="L176" s="189">
        <f t="shared" si="11"/>
        <v>0</v>
      </c>
    </row>
    <row r="177" spans="1:17" ht="78.599999999999994" customHeight="1" x14ac:dyDescent="0.25">
      <c r="A177" s="26"/>
      <c r="B177" s="209">
        <v>7.15</v>
      </c>
      <c r="C177" s="36" t="s">
        <v>228</v>
      </c>
      <c r="D177" s="38" t="s">
        <v>27</v>
      </c>
      <c r="E177" s="42">
        <v>1</v>
      </c>
      <c r="F177" s="37">
        <v>854470</v>
      </c>
      <c r="G177" s="118">
        <f t="shared" si="10"/>
        <v>854470</v>
      </c>
      <c r="H177" s="27"/>
      <c r="I177" s="123"/>
      <c r="J177" s="123"/>
      <c r="K177" s="185">
        <v>854470</v>
      </c>
      <c r="L177" s="189">
        <f t="shared" si="11"/>
        <v>0</v>
      </c>
    </row>
    <row r="178" spans="1:17" ht="60.6" customHeight="1" x14ac:dyDescent="0.25">
      <c r="A178" s="26"/>
      <c r="B178" s="213">
        <v>7.16</v>
      </c>
      <c r="C178" s="36" t="s">
        <v>229</v>
      </c>
      <c r="D178" s="38" t="s">
        <v>27</v>
      </c>
      <c r="E178" s="42">
        <v>1</v>
      </c>
      <c r="F178" s="37">
        <v>1723199</v>
      </c>
      <c r="G178" s="118">
        <f t="shared" si="10"/>
        <v>1723199</v>
      </c>
      <c r="H178" s="27"/>
      <c r="I178" s="123"/>
      <c r="J178" s="123"/>
      <c r="K178" s="185">
        <v>1723199</v>
      </c>
      <c r="L178" s="189">
        <f t="shared" si="11"/>
        <v>0</v>
      </c>
    </row>
    <row r="179" spans="1:17" ht="70.150000000000006" customHeight="1" x14ac:dyDescent="0.25">
      <c r="A179" s="26"/>
      <c r="B179" s="209">
        <v>7.17</v>
      </c>
      <c r="C179" s="36" t="s">
        <v>230</v>
      </c>
      <c r="D179" s="38" t="s">
        <v>27</v>
      </c>
      <c r="E179" s="42">
        <v>1</v>
      </c>
      <c r="F179" s="37">
        <v>2014817</v>
      </c>
      <c r="G179" s="118">
        <f t="shared" si="10"/>
        <v>2014817</v>
      </c>
      <c r="H179" s="27"/>
      <c r="I179" s="123"/>
      <c r="J179" s="123"/>
      <c r="K179" s="185">
        <v>2014817</v>
      </c>
      <c r="L179" s="189">
        <f t="shared" si="11"/>
        <v>0</v>
      </c>
    </row>
    <row r="180" spans="1:17" ht="65.45" customHeight="1" x14ac:dyDescent="0.25">
      <c r="A180" s="26"/>
      <c r="B180" s="213">
        <v>7.18</v>
      </c>
      <c r="C180" s="36" t="s">
        <v>231</v>
      </c>
      <c r="D180" s="38" t="s">
        <v>27</v>
      </c>
      <c r="E180" s="42">
        <v>1</v>
      </c>
      <c r="F180" s="37">
        <v>2081094</v>
      </c>
      <c r="G180" s="118">
        <f t="shared" si="10"/>
        <v>2081094</v>
      </c>
      <c r="H180" s="27"/>
      <c r="I180" s="123"/>
      <c r="J180" s="123"/>
      <c r="K180" s="185">
        <v>2081094</v>
      </c>
      <c r="L180" s="189">
        <f t="shared" si="11"/>
        <v>0</v>
      </c>
    </row>
    <row r="181" spans="1:17" ht="88.15" customHeight="1" x14ac:dyDescent="0.25">
      <c r="A181" s="26"/>
      <c r="B181" s="209">
        <v>7.19</v>
      </c>
      <c r="C181" s="36" t="s">
        <v>232</v>
      </c>
      <c r="D181" s="38" t="s">
        <v>27</v>
      </c>
      <c r="E181" s="42">
        <v>1</v>
      </c>
      <c r="F181" s="37">
        <v>10929600</v>
      </c>
      <c r="G181" s="118">
        <f t="shared" si="10"/>
        <v>10929600</v>
      </c>
      <c r="H181" s="27"/>
      <c r="I181" s="123"/>
      <c r="J181" s="123"/>
      <c r="K181" s="185">
        <v>10929600</v>
      </c>
      <c r="L181" s="189">
        <f t="shared" si="11"/>
        <v>0</v>
      </c>
    </row>
    <row r="182" spans="1:17" ht="88.15" customHeight="1" x14ac:dyDescent="0.25">
      <c r="A182" s="26"/>
      <c r="B182" s="213">
        <v>7.2</v>
      </c>
      <c r="C182" s="36" t="s">
        <v>233</v>
      </c>
      <c r="D182" s="38" t="s">
        <v>27</v>
      </c>
      <c r="E182" s="42">
        <v>1</v>
      </c>
      <c r="F182" s="37">
        <v>12028500</v>
      </c>
      <c r="G182" s="118">
        <f t="shared" si="10"/>
        <v>12028500</v>
      </c>
      <c r="H182" s="27"/>
      <c r="I182" s="123"/>
      <c r="J182" s="123"/>
      <c r="K182" s="185">
        <v>12028500</v>
      </c>
      <c r="L182" s="189">
        <f t="shared" si="11"/>
        <v>0</v>
      </c>
    </row>
    <row r="183" spans="1:17" ht="87" customHeight="1" x14ac:dyDescent="0.25">
      <c r="A183" s="26"/>
      <c r="B183" s="209">
        <v>7.21</v>
      </c>
      <c r="C183" s="36" t="s">
        <v>234</v>
      </c>
      <c r="D183" s="38" t="s">
        <v>27</v>
      </c>
      <c r="E183" s="42">
        <v>1</v>
      </c>
      <c r="F183" s="37">
        <v>10453500</v>
      </c>
      <c r="G183" s="118">
        <f t="shared" si="10"/>
        <v>10453500</v>
      </c>
      <c r="H183" s="27"/>
      <c r="I183" s="123"/>
      <c r="J183" s="123"/>
      <c r="K183" s="185">
        <v>10453500</v>
      </c>
      <c r="L183" s="189">
        <f t="shared" si="11"/>
        <v>0</v>
      </c>
    </row>
    <row r="184" spans="1:17" ht="87" customHeight="1" x14ac:dyDescent="0.25">
      <c r="A184" s="26"/>
      <c r="B184" s="213">
        <v>7.22</v>
      </c>
      <c r="C184" s="36" t="s">
        <v>235</v>
      </c>
      <c r="D184" s="38" t="s">
        <v>27</v>
      </c>
      <c r="E184" s="42">
        <v>1</v>
      </c>
      <c r="F184" s="37">
        <v>8806500</v>
      </c>
      <c r="G184" s="118">
        <f t="shared" si="10"/>
        <v>8806500</v>
      </c>
      <c r="H184" s="27"/>
      <c r="I184" s="123"/>
      <c r="J184" s="123"/>
      <c r="K184" s="185">
        <v>8806500</v>
      </c>
      <c r="L184" s="189">
        <f t="shared" si="11"/>
        <v>0</v>
      </c>
    </row>
    <row r="185" spans="1:17" ht="84" customHeight="1" x14ac:dyDescent="0.25">
      <c r="A185" s="26"/>
      <c r="B185" s="209">
        <v>7.23</v>
      </c>
      <c r="C185" s="36" t="s">
        <v>236</v>
      </c>
      <c r="D185" s="38" t="s">
        <v>27</v>
      </c>
      <c r="E185" s="42">
        <v>1</v>
      </c>
      <c r="F185" s="37">
        <v>1166400</v>
      </c>
      <c r="G185" s="118">
        <f t="shared" si="10"/>
        <v>1166400</v>
      </c>
      <c r="H185" s="27"/>
      <c r="I185" s="123"/>
      <c r="J185" s="123"/>
      <c r="K185" s="185">
        <v>1166400</v>
      </c>
      <c r="L185" s="189">
        <f t="shared" si="11"/>
        <v>0</v>
      </c>
    </row>
    <row r="186" spans="1:17" ht="80.45" customHeight="1" x14ac:dyDescent="0.25">
      <c r="A186" s="26"/>
      <c r="B186" s="213">
        <v>7.24</v>
      </c>
      <c r="C186" s="36" t="s">
        <v>237</v>
      </c>
      <c r="D186" s="38" t="s">
        <v>27</v>
      </c>
      <c r="E186" s="42">
        <v>1</v>
      </c>
      <c r="F186" s="37">
        <v>2568000</v>
      </c>
      <c r="G186" s="118">
        <f t="shared" si="10"/>
        <v>2568000</v>
      </c>
      <c r="H186" s="27"/>
      <c r="I186" s="123"/>
      <c r="J186" s="123"/>
      <c r="K186" s="185">
        <v>2568000</v>
      </c>
      <c r="L186" s="189">
        <f t="shared" si="11"/>
        <v>0</v>
      </c>
    </row>
    <row r="187" spans="1:17" ht="82.9" customHeight="1" x14ac:dyDescent="0.25">
      <c r="A187" s="26"/>
      <c r="B187" s="209">
        <v>7.25</v>
      </c>
      <c r="C187" s="36" t="s">
        <v>238</v>
      </c>
      <c r="D187" s="38" t="s">
        <v>27</v>
      </c>
      <c r="E187" s="42">
        <v>1</v>
      </c>
      <c r="F187" s="37">
        <v>4784000</v>
      </c>
      <c r="G187" s="118">
        <f t="shared" si="10"/>
        <v>4784000</v>
      </c>
      <c r="H187" s="27"/>
      <c r="I187" s="123"/>
      <c r="J187" s="123"/>
      <c r="K187" s="185">
        <v>4784000</v>
      </c>
      <c r="L187" s="189">
        <f t="shared" si="11"/>
        <v>0</v>
      </c>
    </row>
    <row r="188" spans="1:17" ht="24" customHeight="1" x14ac:dyDescent="0.25">
      <c r="A188" s="26"/>
      <c r="B188" s="305" t="s">
        <v>440</v>
      </c>
      <c r="C188" s="306"/>
      <c r="D188" s="306"/>
      <c r="E188" s="306"/>
      <c r="F188" s="100"/>
      <c r="G188" s="101" t="e">
        <f>SUM(G163:G187)</f>
        <v>#REF!</v>
      </c>
      <c r="H188" s="27"/>
      <c r="L188" s="189">
        <f t="shared" si="11"/>
        <v>0</v>
      </c>
    </row>
    <row r="189" spans="1:17" ht="34.5" customHeight="1" x14ac:dyDescent="0.25">
      <c r="A189" s="26"/>
      <c r="B189" s="28">
        <v>8</v>
      </c>
      <c r="C189" s="29" t="s">
        <v>441</v>
      </c>
      <c r="D189" s="30" t="s">
        <v>27</v>
      </c>
      <c r="E189" s="83" t="s">
        <v>28</v>
      </c>
      <c r="F189" s="30" t="s">
        <v>29</v>
      </c>
      <c r="G189" s="32" t="s">
        <v>30</v>
      </c>
      <c r="H189" s="27"/>
      <c r="K189" s="185" t="s">
        <v>29</v>
      </c>
      <c r="L189" s="189"/>
    </row>
    <row r="190" spans="1:17" s="40" customFormat="1" x14ac:dyDescent="0.25">
      <c r="A190" s="39"/>
      <c r="B190" s="211">
        <v>8.1</v>
      </c>
      <c r="C190" s="212" t="s">
        <v>358</v>
      </c>
      <c r="D190" s="34" t="s">
        <v>34</v>
      </c>
      <c r="E190" s="42" t="e">
        <f>+#REF!</f>
        <v>#REF!</v>
      </c>
      <c r="F190" s="37">
        <v>152350</v>
      </c>
      <c r="G190" s="35" t="e">
        <f t="shared" ref="G190:G214" si="12">+E190*F190</f>
        <v>#REF!</v>
      </c>
      <c r="H190" s="27"/>
      <c r="I190" s="159"/>
      <c r="J190" s="159"/>
      <c r="K190" s="187">
        <v>152350</v>
      </c>
      <c r="L190" s="189">
        <f>+K190-F190</f>
        <v>0</v>
      </c>
      <c r="Q190" s="40">
        <f>+O190*1.4</f>
        <v>0</v>
      </c>
    </row>
    <row r="191" spans="1:17" s="40" customFormat="1" ht="38.25" x14ac:dyDescent="0.25">
      <c r="A191" s="39"/>
      <c r="B191" s="210">
        <v>8.1999999999999993</v>
      </c>
      <c r="C191" s="115" t="s">
        <v>424</v>
      </c>
      <c r="D191" s="38" t="s">
        <v>389</v>
      </c>
      <c r="E191" s="43" t="e">
        <f>+#REF!</f>
        <v>#REF!</v>
      </c>
      <c r="F191" s="117">
        <v>171293</v>
      </c>
      <c r="G191" s="118" t="e">
        <f t="shared" si="12"/>
        <v>#REF!</v>
      </c>
      <c r="H191" s="27"/>
      <c r="I191" s="159"/>
      <c r="J191" s="159"/>
      <c r="K191" s="187"/>
      <c r="L191" s="189"/>
    </row>
    <row r="192" spans="1:17" s="40" customFormat="1" x14ac:dyDescent="0.25">
      <c r="A192" s="39"/>
      <c r="B192" s="211">
        <v>8.3000000000000007</v>
      </c>
      <c r="C192" s="115" t="s">
        <v>425</v>
      </c>
      <c r="D192" s="38" t="s">
        <v>389</v>
      </c>
      <c r="E192" s="43" t="e">
        <f>+#REF!</f>
        <v>#REF!</v>
      </c>
      <c r="F192" s="117">
        <v>27410</v>
      </c>
      <c r="G192" s="118" t="e">
        <f t="shared" si="12"/>
        <v>#REF!</v>
      </c>
      <c r="H192" s="27"/>
      <c r="I192" s="159"/>
      <c r="J192" s="159"/>
      <c r="K192" s="187"/>
      <c r="L192" s="189"/>
    </row>
    <row r="193" spans="1:20" s="40" customFormat="1" x14ac:dyDescent="0.25">
      <c r="A193" s="39"/>
      <c r="B193" s="210">
        <v>8.4</v>
      </c>
      <c r="C193" s="115" t="s">
        <v>426</v>
      </c>
      <c r="D193" s="38" t="s">
        <v>389</v>
      </c>
      <c r="E193" s="43" t="e">
        <f>+#REF!</f>
        <v>#REF!</v>
      </c>
      <c r="F193" s="117">
        <v>25002</v>
      </c>
      <c r="G193" s="118" t="e">
        <f t="shared" si="12"/>
        <v>#REF!</v>
      </c>
      <c r="H193" s="27"/>
      <c r="I193" s="159"/>
      <c r="J193" s="159"/>
      <c r="K193" s="187"/>
      <c r="L193" s="189"/>
    </row>
    <row r="194" spans="1:20" s="40" customFormat="1" ht="16.5" x14ac:dyDescent="0.25">
      <c r="A194" s="39"/>
      <c r="B194" s="211">
        <v>8.5</v>
      </c>
      <c r="C194" s="115" t="s">
        <v>427</v>
      </c>
      <c r="D194" s="38" t="s">
        <v>34</v>
      </c>
      <c r="E194" s="43" t="e">
        <f>+#REF!</f>
        <v>#REF!</v>
      </c>
      <c r="F194" s="117">
        <v>118800</v>
      </c>
      <c r="G194" s="118" t="e">
        <f t="shared" si="12"/>
        <v>#REF!</v>
      </c>
      <c r="H194" s="27"/>
      <c r="I194" s="159"/>
      <c r="J194" s="159"/>
      <c r="K194" s="187"/>
      <c r="L194" s="189"/>
    </row>
    <row r="195" spans="1:20" s="40" customFormat="1" ht="38.25" x14ac:dyDescent="0.25">
      <c r="A195" s="39"/>
      <c r="B195" s="210">
        <v>8.6</v>
      </c>
      <c r="C195" s="115" t="s">
        <v>428</v>
      </c>
      <c r="D195" s="38" t="s">
        <v>389</v>
      </c>
      <c r="E195" s="43" t="e">
        <f>+#REF!</f>
        <v>#REF!</v>
      </c>
      <c r="F195" s="117">
        <v>10773</v>
      </c>
      <c r="G195" s="118" t="e">
        <f t="shared" si="12"/>
        <v>#REF!</v>
      </c>
      <c r="H195" s="27"/>
      <c r="I195" s="159"/>
      <c r="J195" s="159"/>
      <c r="K195" s="187"/>
      <c r="L195" s="189"/>
    </row>
    <row r="196" spans="1:20" s="40" customFormat="1" ht="16.5" x14ac:dyDescent="0.25">
      <c r="A196" s="39"/>
      <c r="B196" s="211">
        <v>8.6999999999999993</v>
      </c>
      <c r="C196" s="115" t="s">
        <v>429</v>
      </c>
      <c r="D196" s="38" t="s">
        <v>389</v>
      </c>
      <c r="E196" s="43" t="e">
        <f>+#REF!</f>
        <v>#REF!</v>
      </c>
      <c r="F196" s="117">
        <v>61222</v>
      </c>
      <c r="G196" s="118" t="e">
        <f t="shared" si="12"/>
        <v>#REF!</v>
      </c>
      <c r="H196" s="27"/>
      <c r="I196" s="159">
        <f>54663*1.13</f>
        <v>61769.189999999995</v>
      </c>
      <c r="J196" s="159"/>
      <c r="K196" s="187"/>
      <c r="L196" s="189"/>
    </row>
    <row r="197" spans="1:20" ht="38.25" x14ac:dyDescent="0.25">
      <c r="A197" s="26"/>
      <c r="B197" s="211">
        <v>8.8000000000000007</v>
      </c>
      <c r="C197" s="212" t="s">
        <v>515</v>
      </c>
      <c r="D197" s="34" t="s">
        <v>389</v>
      </c>
      <c r="E197" s="42" t="e">
        <f>+#REF!</f>
        <v>#REF!</v>
      </c>
      <c r="F197" s="37">
        <v>76867.12</v>
      </c>
      <c r="G197" s="35" t="e">
        <f t="shared" si="12"/>
        <v>#REF!</v>
      </c>
      <c r="H197" s="216"/>
      <c r="I197" s="123"/>
      <c r="J197" s="123"/>
      <c r="K197" s="218"/>
      <c r="L197" s="189"/>
    </row>
    <row r="198" spans="1:20" ht="79.900000000000006" customHeight="1" x14ac:dyDescent="0.25">
      <c r="A198" s="26"/>
      <c r="B198" s="210">
        <v>8.9</v>
      </c>
      <c r="C198" s="115" t="s">
        <v>223</v>
      </c>
      <c r="D198" s="38" t="s">
        <v>27</v>
      </c>
      <c r="E198" s="42">
        <v>1</v>
      </c>
      <c r="F198" s="37">
        <v>9201198</v>
      </c>
      <c r="G198" s="118">
        <f t="shared" si="12"/>
        <v>9201198</v>
      </c>
      <c r="H198" s="27"/>
      <c r="I198" s="123"/>
      <c r="J198" s="123"/>
      <c r="K198" s="185">
        <v>9201198</v>
      </c>
      <c r="L198" s="189">
        <v>5300000</v>
      </c>
      <c r="M198" s="189">
        <f>+K198-L198</f>
        <v>3901198</v>
      </c>
      <c r="N198" s="189"/>
      <c r="O198" s="197">
        <f>+M198/L198</f>
        <v>0.73607509433962259</v>
      </c>
      <c r="P198" s="199">
        <f>+O198-1.19</f>
        <v>-0.45392490566037735</v>
      </c>
      <c r="Q198" s="7">
        <f>+F198*1.25</f>
        <v>11501497.5</v>
      </c>
      <c r="R198" s="121">
        <f>+Q198*0.2</f>
        <v>2300299.5</v>
      </c>
      <c r="S198" s="198">
        <f>+Q198-L198-R198-Q198*0.0883</f>
        <v>2885615.7707500001</v>
      </c>
      <c r="T198" s="199">
        <f>+S198/Q198</f>
        <v>0.2508904402013738</v>
      </c>
    </row>
    <row r="199" spans="1:20" ht="87" customHeight="1" x14ac:dyDescent="0.25">
      <c r="A199" s="26"/>
      <c r="B199" s="211">
        <v>8.1</v>
      </c>
      <c r="C199" s="36" t="s">
        <v>224</v>
      </c>
      <c r="D199" s="38" t="s">
        <v>27</v>
      </c>
      <c r="E199" s="42">
        <v>1</v>
      </c>
      <c r="F199" s="37">
        <v>1372799</v>
      </c>
      <c r="G199" s="118">
        <f t="shared" si="12"/>
        <v>1372799</v>
      </c>
      <c r="H199" s="27"/>
      <c r="I199" s="123"/>
      <c r="J199" s="123"/>
      <c r="K199" s="185">
        <v>1372799</v>
      </c>
      <c r="L199" s="189">
        <f t="shared" ref="L199:L215" si="13">+K199-F199</f>
        <v>0</v>
      </c>
    </row>
    <row r="200" spans="1:20" ht="85.15" customHeight="1" x14ac:dyDescent="0.25">
      <c r="A200" s="26"/>
      <c r="B200" s="209">
        <v>8.11</v>
      </c>
      <c r="C200" s="36" t="s">
        <v>225</v>
      </c>
      <c r="D200" s="38" t="s">
        <v>27</v>
      </c>
      <c r="E200" s="42">
        <v>1</v>
      </c>
      <c r="F200" s="37">
        <v>8079175</v>
      </c>
      <c r="G200" s="118">
        <f t="shared" si="12"/>
        <v>8079175</v>
      </c>
      <c r="H200" s="27"/>
      <c r="I200" s="123"/>
      <c r="J200" s="123"/>
      <c r="K200" s="185">
        <v>8079175</v>
      </c>
      <c r="L200" s="189">
        <f t="shared" si="13"/>
        <v>0</v>
      </c>
      <c r="P200" s="200"/>
    </row>
    <row r="201" spans="1:20" ht="78" customHeight="1" x14ac:dyDescent="0.25">
      <c r="A201" s="26"/>
      <c r="B201" s="213">
        <v>8.1199999999999992</v>
      </c>
      <c r="C201" s="36" t="s">
        <v>227</v>
      </c>
      <c r="D201" s="38" t="s">
        <v>27</v>
      </c>
      <c r="E201" s="42">
        <v>1</v>
      </c>
      <c r="F201" s="37">
        <v>2420664</v>
      </c>
      <c r="G201" s="118">
        <f t="shared" si="12"/>
        <v>2420664</v>
      </c>
      <c r="H201" s="27"/>
      <c r="I201" s="123"/>
      <c r="J201" s="123"/>
      <c r="K201" s="185">
        <v>2420664</v>
      </c>
      <c r="L201" s="189">
        <f t="shared" si="13"/>
        <v>0</v>
      </c>
      <c r="P201" s="200"/>
    </row>
    <row r="202" spans="1:20" ht="80.45" customHeight="1" x14ac:dyDescent="0.25">
      <c r="A202" s="26"/>
      <c r="B202" s="209">
        <v>8.1300000000000008</v>
      </c>
      <c r="C202" s="36" t="s">
        <v>226</v>
      </c>
      <c r="D202" s="38" t="s">
        <v>27</v>
      </c>
      <c r="E202" s="42">
        <v>1</v>
      </c>
      <c r="F202" s="37">
        <v>6250503</v>
      </c>
      <c r="G202" s="118">
        <f t="shared" si="12"/>
        <v>6250503</v>
      </c>
      <c r="H202" s="27"/>
      <c r="I202" s="123"/>
      <c r="J202" s="123"/>
      <c r="K202" s="185">
        <v>6250503</v>
      </c>
      <c r="L202" s="189">
        <f t="shared" si="13"/>
        <v>0</v>
      </c>
    </row>
    <row r="203" spans="1:20" ht="91.5" customHeight="1" x14ac:dyDescent="0.25">
      <c r="A203" s="26"/>
      <c r="B203" s="213">
        <v>8.14</v>
      </c>
      <c r="C203" s="36" t="s">
        <v>367</v>
      </c>
      <c r="D203" s="38" t="s">
        <v>27</v>
      </c>
      <c r="E203" s="42">
        <v>1</v>
      </c>
      <c r="F203" s="37">
        <v>2504932</v>
      </c>
      <c r="G203" s="118">
        <f t="shared" si="12"/>
        <v>2504932</v>
      </c>
      <c r="H203" s="27"/>
      <c r="I203" s="123"/>
      <c r="J203" s="123"/>
      <c r="K203" s="185">
        <v>2504932</v>
      </c>
      <c r="L203" s="189">
        <f t="shared" si="13"/>
        <v>0</v>
      </c>
    </row>
    <row r="204" spans="1:20" ht="78.599999999999994" customHeight="1" x14ac:dyDescent="0.25">
      <c r="A204" s="26"/>
      <c r="B204" s="209">
        <v>8.15</v>
      </c>
      <c r="C204" s="36" t="s">
        <v>228</v>
      </c>
      <c r="D204" s="38" t="s">
        <v>27</v>
      </c>
      <c r="E204" s="42">
        <v>1</v>
      </c>
      <c r="F204" s="37">
        <v>854470</v>
      </c>
      <c r="G204" s="118">
        <f t="shared" si="12"/>
        <v>854470</v>
      </c>
      <c r="H204" s="27"/>
      <c r="I204" s="123"/>
      <c r="J204" s="123"/>
      <c r="K204" s="185">
        <v>854470</v>
      </c>
      <c r="L204" s="189">
        <f t="shared" si="13"/>
        <v>0</v>
      </c>
    </row>
    <row r="205" spans="1:20" ht="60.6" customHeight="1" x14ac:dyDescent="0.25">
      <c r="A205" s="26"/>
      <c r="B205" s="213">
        <v>8.16</v>
      </c>
      <c r="C205" s="36" t="s">
        <v>229</v>
      </c>
      <c r="D205" s="38" t="s">
        <v>27</v>
      </c>
      <c r="E205" s="42">
        <v>1</v>
      </c>
      <c r="F205" s="37">
        <v>1723199</v>
      </c>
      <c r="G205" s="118">
        <f t="shared" si="12"/>
        <v>1723199</v>
      </c>
      <c r="H205" s="27"/>
      <c r="I205" s="123"/>
      <c r="J205" s="123"/>
      <c r="K205" s="185">
        <v>1723199</v>
      </c>
      <c r="L205" s="189">
        <f t="shared" si="13"/>
        <v>0</v>
      </c>
    </row>
    <row r="206" spans="1:20" ht="70.150000000000006" customHeight="1" x14ac:dyDescent="0.25">
      <c r="A206" s="26"/>
      <c r="B206" s="209">
        <v>8.17</v>
      </c>
      <c r="C206" s="36" t="s">
        <v>230</v>
      </c>
      <c r="D206" s="38" t="s">
        <v>27</v>
      </c>
      <c r="E206" s="42">
        <v>1</v>
      </c>
      <c r="F206" s="37">
        <v>2014817</v>
      </c>
      <c r="G206" s="118">
        <f t="shared" si="12"/>
        <v>2014817</v>
      </c>
      <c r="H206" s="27"/>
      <c r="I206" s="123"/>
      <c r="J206" s="123"/>
      <c r="K206" s="185">
        <v>2014817</v>
      </c>
      <c r="L206" s="189">
        <f t="shared" si="13"/>
        <v>0</v>
      </c>
    </row>
    <row r="207" spans="1:20" ht="65.45" customHeight="1" x14ac:dyDescent="0.25">
      <c r="A207" s="26"/>
      <c r="B207" s="213">
        <v>8.18</v>
      </c>
      <c r="C207" s="36" t="s">
        <v>231</v>
      </c>
      <c r="D207" s="38" t="s">
        <v>27</v>
      </c>
      <c r="E207" s="42">
        <v>1</v>
      </c>
      <c r="F207" s="37">
        <v>2081094</v>
      </c>
      <c r="G207" s="118">
        <f t="shared" si="12"/>
        <v>2081094</v>
      </c>
      <c r="H207" s="27"/>
      <c r="I207" s="123"/>
      <c r="J207" s="123"/>
      <c r="K207" s="185">
        <v>2081094</v>
      </c>
      <c r="L207" s="189">
        <f t="shared" si="13"/>
        <v>0</v>
      </c>
    </row>
    <row r="208" spans="1:20" ht="88.15" customHeight="1" x14ac:dyDescent="0.25">
      <c r="A208" s="26"/>
      <c r="B208" s="209">
        <v>8.19</v>
      </c>
      <c r="C208" s="36" t="s">
        <v>232</v>
      </c>
      <c r="D208" s="38" t="s">
        <v>27</v>
      </c>
      <c r="E208" s="42">
        <v>1</v>
      </c>
      <c r="F208" s="37">
        <v>10929600</v>
      </c>
      <c r="G208" s="118">
        <f t="shared" si="12"/>
        <v>10929600</v>
      </c>
      <c r="H208" s="27"/>
      <c r="I208" s="123"/>
      <c r="J208" s="123"/>
      <c r="K208" s="185">
        <v>10929600</v>
      </c>
      <c r="L208" s="189">
        <f t="shared" si="13"/>
        <v>0</v>
      </c>
    </row>
    <row r="209" spans="1:17" ht="88.15" customHeight="1" x14ac:dyDescent="0.25">
      <c r="A209" s="26"/>
      <c r="B209" s="213">
        <v>8.1999999999999993</v>
      </c>
      <c r="C209" s="36" t="s">
        <v>233</v>
      </c>
      <c r="D209" s="38" t="s">
        <v>27</v>
      </c>
      <c r="E209" s="42">
        <v>1</v>
      </c>
      <c r="F209" s="37">
        <v>12028500</v>
      </c>
      <c r="G209" s="118">
        <f t="shared" si="12"/>
        <v>12028500</v>
      </c>
      <c r="H209" s="27"/>
      <c r="I209" s="123"/>
      <c r="J209" s="123"/>
      <c r="K209" s="185">
        <v>12028500</v>
      </c>
      <c r="L209" s="189">
        <f t="shared" si="13"/>
        <v>0</v>
      </c>
    </row>
    <row r="210" spans="1:17" ht="87" customHeight="1" x14ac:dyDescent="0.25">
      <c r="A210" s="26"/>
      <c r="B210" s="209">
        <v>8.2100000000000009</v>
      </c>
      <c r="C210" s="36" t="s">
        <v>234</v>
      </c>
      <c r="D210" s="38" t="s">
        <v>27</v>
      </c>
      <c r="E210" s="42">
        <v>1</v>
      </c>
      <c r="F210" s="37">
        <v>10453500</v>
      </c>
      <c r="G210" s="118">
        <f t="shared" si="12"/>
        <v>10453500</v>
      </c>
      <c r="H210" s="27"/>
      <c r="I210" s="123"/>
      <c r="J210" s="123"/>
      <c r="K210" s="185">
        <v>10453500</v>
      </c>
      <c r="L210" s="189">
        <f t="shared" si="13"/>
        <v>0</v>
      </c>
    </row>
    <row r="211" spans="1:17" ht="87" customHeight="1" x14ac:dyDescent="0.25">
      <c r="A211" s="26"/>
      <c r="B211" s="213">
        <v>8.2200000000000006</v>
      </c>
      <c r="C211" s="36" t="s">
        <v>235</v>
      </c>
      <c r="D211" s="38" t="s">
        <v>27</v>
      </c>
      <c r="E211" s="42">
        <v>1</v>
      </c>
      <c r="F211" s="37">
        <v>8806500</v>
      </c>
      <c r="G211" s="118">
        <f t="shared" si="12"/>
        <v>8806500</v>
      </c>
      <c r="H211" s="27"/>
      <c r="I211" s="123"/>
      <c r="J211" s="123"/>
      <c r="K211" s="185">
        <v>8806500</v>
      </c>
      <c r="L211" s="189">
        <f t="shared" si="13"/>
        <v>0</v>
      </c>
    </row>
    <row r="212" spans="1:17" ht="84" customHeight="1" x14ac:dyDescent="0.25">
      <c r="A212" s="26"/>
      <c r="B212" s="209">
        <v>8.23</v>
      </c>
      <c r="C212" s="36" t="s">
        <v>236</v>
      </c>
      <c r="D212" s="38" t="s">
        <v>27</v>
      </c>
      <c r="E212" s="42">
        <v>1</v>
      </c>
      <c r="F212" s="37">
        <v>1166400</v>
      </c>
      <c r="G212" s="118">
        <f t="shared" si="12"/>
        <v>1166400</v>
      </c>
      <c r="H212" s="27"/>
      <c r="I212" s="123"/>
      <c r="J212" s="123"/>
      <c r="K212" s="185">
        <v>1166400</v>
      </c>
      <c r="L212" s="189">
        <f t="shared" si="13"/>
        <v>0</v>
      </c>
    </row>
    <row r="213" spans="1:17" ht="80.45" customHeight="1" x14ac:dyDescent="0.25">
      <c r="A213" s="26"/>
      <c r="B213" s="213">
        <v>8.24</v>
      </c>
      <c r="C213" s="36" t="s">
        <v>237</v>
      </c>
      <c r="D213" s="38" t="s">
        <v>27</v>
      </c>
      <c r="E213" s="42">
        <v>1</v>
      </c>
      <c r="F213" s="37">
        <v>2568000</v>
      </c>
      <c r="G213" s="118">
        <f t="shared" si="12"/>
        <v>2568000</v>
      </c>
      <c r="H213" s="27"/>
      <c r="I213" s="123"/>
      <c r="J213" s="123"/>
      <c r="K213" s="185">
        <v>2568000</v>
      </c>
      <c r="L213" s="189">
        <f t="shared" si="13"/>
        <v>0</v>
      </c>
    </row>
    <row r="214" spans="1:17" ht="82.9" customHeight="1" x14ac:dyDescent="0.25">
      <c r="A214" s="26"/>
      <c r="B214" s="209">
        <v>8.25</v>
      </c>
      <c r="C214" s="36" t="s">
        <v>238</v>
      </c>
      <c r="D214" s="38" t="s">
        <v>27</v>
      </c>
      <c r="E214" s="42">
        <v>1</v>
      </c>
      <c r="F214" s="37">
        <v>4784000</v>
      </c>
      <c r="G214" s="118">
        <f t="shared" si="12"/>
        <v>4784000</v>
      </c>
      <c r="H214" s="27"/>
      <c r="I214" s="123"/>
      <c r="J214" s="123"/>
      <c r="K214" s="185">
        <v>4784000</v>
      </c>
      <c r="L214" s="189">
        <f t="shared" si="13"/>
        <v>0</v>
      </c>
    </row>
    <row r="215" spans="1:17" ht="24" customHeight="1" x14ac:dyDescent="0.25">
      <c r="A215" s="26"/>
      <c r="B215" s="305" t="s">
        <v>442</v>
      </c>
      <c r="C215" s="306"/>
      <c r="D215" s="306"/>
      <c r="E215" s="306"/>
      <c r="F215" s="100"/>
      <c r="G215" s="101" t="e">
        <f>SUM(G190:G214)</f>
        <v>#REF!</v>
      </c>
      <c r="H215" s="27"/>
      <c r="L215" s="189">
        <f t="shared" si="13"/>
        <v>0</v>
      </c>
    </row>
    <row r="216" spans="1:17" ht="34.5" customHeight="1" x14ac:dyDescent="0.25">
      <c r="A216" s="26"/>
      <c r="B216" s="28">
        <v>9</v>
      </c>
      <c r="C216" s="29" t="s">
        <v>443</v>
      </c>
      <c r="D216" s="30" t="s">
        <v>27</v>
      </c>
      <c r="E216" s="83" t="s">
        <v>28</v>
      </c>
      <c r="F216" s="30" t="s">
        <v>29</v>
      </c>
      <c r="G216" s="32" t="s">
        <v>30</v>
      </c>
      <c r="H216" s="27"/>
      <c r="K216" s="185" t="s">
        <v>29</v>
      </c>
      <c r="L216" s="189"/>
    </row>
    <row r="217" spans="1:17" s="40" customFormat="1" x14ac:dyDescent="0.25">
      <c r="A217" s="39"/>
      <c r="B217" s="211">
        <v>9.1</v>
      </c>
      <c r="C217" s="212" t="s">
        <v>358</v>
      </c>
      <c r="D217" s="34" t="s">
        <v>34</v>
      </c>
      <c r="E217" s="42" t="e">
        <f>+#REF!</f>
        <v>#REF!</v>
      </c>
      <c r="F217" s="37">
        <v>152350</v>
      </c>
      <c r="G217" s="35" t="e">
        <f t="shared" ref="G217:G241" si="14">+E217*F217</f>
        <v>#REF!</v>
      </c>
      <c r="H217" s="27"/>
      <c r="I217" s="159"/>
      <c r="J217" s="159"/>
      <c r="K217" s="187">
        <v>152350</v>
      </c>
      <c r="L217" s="189">
        <f>+K217-F217</f>
        <v>0</v>
      </c>
      <c r="Q217" s="40">
        <f>+O217*1.4</f>
        <v>0</v>
      </c>
    </row>
    <row r="218" spans="1:17" s="40" customFormat="1" ht="38.25" x14ac:dyDescent="0.25">
      <c r="A218" s="39"/>
      <c r="B218" s="210">
        <v>9.1999999999999993</v>
      </c>
      <c r="C218" s="115" t="s">
        <v>424</v>
      </c>
      <c r="D218" s="38" t="s">
        <v>389</v>
      </c>
      <c r="E218" s="43" t="e">
        <f>+#REF!</f>
        <v>#REF!</v>
      </c>
      <c r="F218" s="117">
        <v>171293</v>
      </c>
      <c r="G218" s="118" t="e">
        <f t="shared" si="14"/>
        <v>#REF!</v>
      </c>
      <c r="H218" s="27"/>
      <c r="I218" s="159"/>
      <c r="J218" s="159"/>
      <c r="K218" s="187"/>
      <c r="L218" s="189"/>
    </row>
    <row r="219" spans="1:17" s="40" customFormat="1" x14ac:dyDescent="0.25">
      <c r="A219" s="39"/>
      <c r="B219" s="211">
        <v>9.3000000000000007</v>
      </c>
      <c r="C219" s="115" t="s">
        <v>425</v>
      </c>
      <c r="D219" s="38" t="s">
        <v>389</v>
      </c>
      <c r="E219" s="43" t="e">
        <f>+#REF!</f>
        <v>#REF!</v>
      </c>
      <c r="F219" s="117">
        <v>27410</v>
      </c>
      <c r="G219" s="118" t="e">
        <f t="shared" si="14"/>
        <v>#REF!</v>
      </c>
      <c r="H219" s="27"/>
      <c r="I219" s="159"/>
      <c r="J219" s="159"/>
      <c r="K219" s="187"/>
      <c r="L219" s="189"/>
    </row>
    <row r="220" spans="1:17" s="40" customFormat="1" x14ac:dyDescent="0.25">
      <c r="A220" s="39"/>
      <c r="B220" s="210">
        <v>9.4</v>
      </c>
      <c r="C220" s="115" t="s">
        <v>426</v>
      </c>
      <c r="D220" s="38" t="s">
        <v>389</v>
      </c>
      <c r="E220" s="43" t="e">
        <f>+#REF!</f>
        <v>#REF!</v>
      </c>
      <c r="F220" s="117">
        <v>25002</v>
      </c>
      <c r="G220" s="118" t="e">
        <f t="shared" si="14"/>
        <v>#REF!</v>
      </c>
      <c r="H220" s="27"/>
      <c r="I220" s="159"/>
      <c r="J220" s="159"/>
      <c r="K220" s="187"/>
      <c r="L220" s="189"/>
    </row>
    <row r="221" spans="1:17" s="40" customFormat="1" ht="16.5" x14ac:dyDescent="0.25">
      <c r="A221" s="39"/>
      <c r="B221" s="211">
        <v>9.5</v>
      </c>
      <c r="C221" s="115" t="s">
        <v>427</v>
      </c>
      <c r="D221" s="38" t="s">
        <v>34</v>
      </c>
      <c r="E221" s="43" t="e">
        <f>+#REF!</f>
        <v>#REF!</v>
      </c>
      <c r="F221" s="117">
        <v>118800</v>
      </c>
      <c r="G221" s="118" t="e">
        <f t="shared" si="14"/>
        <v>#REF!</v>
      </c>
      <c r="H221" s="27"/>
      <c r="I221" s="159"/>
      <c r="J221" s="159"/>
      <c r="K221" s="187"/>
      <c r="L221" s="189"/>
    </row>
    <row r="222" spans="1:17" s="40" customFormat="1" ht="38.25" x14ac:dyDescent="0.25">
      <c r="A222" s="39"/>
      <c r="B222" s="210">
        <v>9.6</v>
      </c>
      <c r="C222" s="115" t="s">
        <v>428</v>
      </c>
      <c r="D222" s="38" t="s">
        <v>389</v>
      </c>
      <c r="E222" s="43" t="e">
        <f>+#REF!</f>
        <v>#REF!</v>
      </c>
      <c r="F222" s="117">
        <v>10773</v>
      </c>
      <c r="G222" s="118" t="e">
        <f t="shared" si="14"/>
        <v>#REF!</v>
      </c>
      <c r="H222" s="27"/>
      <c r="I222" s="159"/>
      <c r="J222" s="159"/>
      <c r="K222" s="187"/>
      <c r="L222" s="189"/>
    </row>
    <row r="223" spans="1:17" s="40" customFormat="1" ht="16.5" x14ac:dyDescent="0.25">
      <c r="A223" s="39"/>
      <c r="B223" s="211">
        <v>9.6999999999999993</v>
      </c>
      <c r="C223" s="115" t="s">
        <v>429</v>
      </c>
      <c r="D223" s="38" t="s">
        <v>389</v>
      </c>
      <c r="E223" s="43">
        <v>1</v>
      </c>
      <c r="F223" s="117">
        <v>61222</v>
      </c>
      <c r="G223" s="118">
        <f t="shared" si="14"/>
        <v>61222</v>
      </c>
      <c r="H223" s="27"/>
      <c r="I223" s="159">
        <f>54663*1.13</f>
        <v>61769.189999999995</v>
      </c>
      <c r="J223" s="159"/>
      <c r="K223" s="187"/>
      <c r="L223" s="189"/>
    </row>
    <row r="224" spans="1:17" ht="38.25" x14ac:dyDescent="0.25">
      <c r="A224" s="26"/>
      <c r="B224" s="211">
        <v>9.8000000000000007</v>
      </c>
      <c r="C224" s="212" t="s">
        <v>515</v>
      </c>
      <c r="D224" s="34" t="s">
        <v>389</v>
      </c>
      <c r="E224" s="42" t="e">
        <f>+#REF!</f>
        <v>#REF!</v>
      </c>
      <c r="F224" s="37">
        <v>76867.12</v>
      </c>
      <c r="G224" s="35" t="e">
        <f t="shared" si="14"/>
        <v>#REF!</v>
      </c>
      <c r="H224" s="216"/>
      <c r="I224" s="123"/>
      <c r="J224" s="123"/>
      <c r="K224" s="218"/>
      <c r="L224" s="189"/>
    </row>
    <row r="225" spans="1:20" ht="79.900000000000006" customHeight="1" x14ac:dyDescent="0.25">
      <c r="A225" s="26"/>
      <c r="B225" s="210">
        <v>9.9</v>
      </c>
      <c r="C225" s="115" t="s">
        <v>223</v>
      </c>
      <c r="D225" s="38" t="s">
        <v>27</v>
      </c>
      <c r="E225" s="42">
        <v>1</v>
      </c>
      <c r="F225" s="37">
        <v>9201198</v>
      </c>
      <c r="G225" s="118">
        <f t="shared" si="14"/>
        <v>9201198</v>
      </c>
      <c r="H225" s="27"/>
      <c r="I225" s="123"/>
      <c r="J225" s="123"/>
      <c r="K225" s="185">
        <v>9201198</v>
      </c>
      <c r="L225" s="189">
        <v>5300000</v>
      </c>
      <c r="M225" s="189">
        <f>+K225-L225</f>
        <v>3901198</v>
      </c>
      <c r="N225" s="189"/>
      <c r="O225" s="197">
        <f>+M225/L225</f>
        <v>0.73607509433962259</v>
      </c>
      <c r="P225" s="199">
        <f>+O225-1.19</f>
        <v>-0.45392490566037735</v>
      </c>
      <c r="Q225" s="7">
        <f>+F225*1.25</f>
        <v>11501497.5</v>
      </c>
      <c r="R225" s="121">
        <f>+Q225*0.2</f>
        <v>2300299.5</v>
      </c>
      <c r="S225" s="198">
        <f>+Q225-L225-R225-Q225*0.0883</f>
        <v>2885615.7707500001</v>
      </c>
      <c r="T225" s="199">
        <f>+S225/Q225</f>
        <v>0.2508904402013738</v>
      </c>
    </row>
    <row r="226" spans="1:20" ht="87" customHeight="1" x14ac:dyDescent="0.25">
      <c r="A226" s="26"/>
      <c r="B226" s="213">
        <v>9.1</v>
      </c>
      <c r="C226" s="36" t="s">
        <v>224</v>
      </c>
      <c r="D226" s="38" t="s">
        <v>27</v>
      </c>
      <c r="E226" s="42">
        <v>1</v>
      </c>
      <c r="F226" s="37">
        <v>1372799</v>
      </c>
      <c r="G226" s="118">
        <f t="shared" si="14"/>
        <v>1372799</v>
      </c>
      <c r="H226" s="27"/>
      <c r="I226" s="123"/>
      <c r="J226" s="123"/>
      <c r="K226" s="185">
        <v>1372799</v>
      </c>
      <c r="L226" s="189">
        <f t="shared" ref="L226:L242" si="15">+K226-F226</f>
        <v>0</v>
      </c>
    </row>
    <row r="227" spans="1:20" ht="85.15" customHeight="1" x14ac:dyDescent="0.25">
      <c r="A227" s="26"/>
      <c r="B227" s="209">
        <v>9.11</v>
      </c>
      <c r="C227" s="36" t="s">
        <v>225</v>
      </c>
      <c r="D227" s="38" t="s">
        <v>27</v>
      </c>
      <c r="E227" s="42">
        <v>1</v>
      </c>
      <c r="F227" s="37">
        <v>8079175</v>
      </c>
      <c r="G227" s="118">
        <f t="shared" si="14"/>
        <v>8079175</v>
      </c>
      <c r="H227" s="27"/>
      <c r="I227" s="123"/>
      <c r="J227" s="123"/>
      <c r="K227" s="185">
        <v>8079175</v>
      </c>
      <c r="L227" s="189">
        <f t="shared" si="15"/>
        <v>0</v>
      </c>
      <c r="P227" s="200"/>
    </row>
    <row r="228" spans="1:20" ht="78" customHeight="1" x14ac:dyDescent="0.25">
      <c r="A228" s="26"/>
      <c r="B228" s="213">
        <v>9.1199999999999992</v>
      </c>
      <c r="C228" s="36" t="s">
        <v>227</v>
      </c>
      <c r="D228" s="38" t="s">
        <v>27</v>
      </c>
      <c r="E228" s="42">
        <v>1</v>
      </c>
      <c r="F228" s="37">
        <v>2420664</v>
      </c>
      <c r="G228" s="118">
        <f t="shared" si="14"/>
        <v>2420664</v>
      </c>
      <c r="H228" s="27"/>
      <c r="I228" s="123">
        <f>2.3+2.3</f>
        <v>4.5999999999999996</v>
      </c>
      <c r="J228" s="123"/>
      <c r="K228" s="185">
        <v>2420664</v>
      </c>
      <c r="L228" s="189">
        <f t="shared" si="15"/>
        <v>0</v>
      </c>
      <c r="P228" s="200"/>
    </row>
    <row r="229" spans="1:20" ht="80.45" customHeight="1" x14ac:dyDescent="0.25">
      <c r="A229" s="26"/>
      <c r="B229" s="209">
        <v>9.1300000000000008</v>
      </c>
      <c r="C229" s="36" t="s">
        <v>226</v>
      </c>
      <c r="D229" s="38" t="s">
        <v>27</v>
      </c>
      <c r="E229" s="42">
        <v>1</v>
      </c>
      <c r="F229" s="37">
        <v>6250503</v>
      </c>
      <c r="G229" s="118">
        <f t="shared" si="14"/>
        <v>6250503</v>
      </c>
      <c r="H229" s="27"/>
      <c r="I229" s="123">
        <v>1.9</v>
      </c>
      <c r="J229" s="123"/>
      <c r="K229" s="185">
        <v>6250503</v>
      </c>
      <c r="L229" s="189">
        <f t="shared" si="15"/>
        <v>0</v>
      </c>
    </row>
    <row r="230" spans="1:20" ht="91.5" customHeight="1" x14ac:dyDescent="0.25">
      <c r="A230" s="26"/>
      <c r="B230" s="213">
        <v>9.14</v>
      </c>
      <c r="C230" s="36" t="s">
        <v>367</v>
      </c>
      <c r="D230" s="38" t="s">
        <v>27</v>
      </c>
      <c r="E230" s="42">
        <v>1</v>
      </c>
      <c r="F230" s="37">
        <v>2504932</v>
      </c>
      <c r="G230" s="118">
        <f t="shared" si="14"/>
        <v>2504932</v>
      </c>
      <c r="H230" s="27"/>
      <c r="I230" s="123">
        <f>+I228+I229</f>
        <v>6.5</v>
      </c>
      <c r="J230" s="225">
        <f>+I230*F218</f>
        <v>1113404.5</v>
      </c>
      <c r="K230" s="185">
        <v>2504932</v>
      </c>
      <c r="L230" s="189">
        <f t="shared" si="15"/>
        <v>0</v>
      </c>
    </row>
    <row r="231" spans="1:20" ht="78.599999999999994" customHeight="1" x14ac:dyDescent="0.25">
      <c r="A231" s="26"/>
      <c r="B231" s="209">
        <v>9.15</v>
      </c>
      <c r="C231" s="36" t="s">
        <v>228</v>
      </c>
      <c r="D231" s="38" t="s">
        <v>27</v>
      </c>
      <c r="E231" s="42">
        <v>1</v>
      </c>
      <c r="F231" s="37">
        <v>854470</v>
      </c>
      <c r="G231" s="118">
        <f t="shared" si="14"/>
        <v>854470</v>
      </c>
      <c r="H231" s="27"/>
      <c r="I231" s="123"/>
      <c r="J231" s="123"/>
      <c r="K231" s="185">
        <v>854470</v>
      </c>
      <c r="L231" s="189">
        <f t="shared" si="15"/>
        <v>0</v>
      </c>
    </row>
    <row r="232" spans="1:20" ht="60.6" customHeight="1" x14ac:dyDescent="0.25">
      <c r="A232" s="26"/>
      <c r="B232" s="213">
        <v>9.16</v>
      </c>
      <c r="C232" s="36" t="s">
        <v>229</v>
      </c>
      <c r="D232" s="38" t="s">
        <v>27</v>
      </c>
      <c r="E232" s="42">
        <v>1</v>
      </c>
      <c r="F232" s="37">
        <v>1723199</v>
      </c>
      <c r="G232" s="118">
        <f t="shared" si="14"/>
        <v>1723199</v>
      </c>
      <c r="H232" s="27"/>
      <c r="I232" s="123"/>
      <c r="J232" s="123"/>
      <c r="K232" s="185">
        <v>1723199</v>
      </c>
      <c r="L232" s="189">
        <f t="shared" si="15"/>
        <v>0</v>
      </c>
    </row>
    <row r="233" spans="1:20" ht="70.150000000000006" customHeight="1" x14ac:dyDescent="0.25">
      <c r="A233" s="26"/>
      <c r="B233" s="209">
        <v>9.17</v>
      </c>
      <c r="C233" s="36" t="s">
        <v>230</v>
      </c>
      <c r="D233" s="38" t="s">
        <v>27</v>
      </c>
      <c r="E233" s="42">
        <v>1</v>
      </c>
      <c r="F233" s="37">
        <v>2014817</v>
      </c>
      <c r="G233" s="118">
        <f t="shared" si="14"/>
        <v>2014817</v>
      </c>
      <c r="H233" s="27"/>
      <c r="I233" s="123"/>
      <c r="J233" s="123"/>
      <c r="K233" s="185">
        <v>2014817</v>
      </c>
      <c r="L233" s="189">
        <f t="shared" si="15"/>
        <v>0</v>
      </c>
    </row>
    <row r="234" spans="1:20" ht="65.45" customHeight="1" x14ac:dyDescent="0.25">
      <c r="A234" s="26"/>
      <c r="B234" s="213">
        <v>9.18</v>
      </c>
      <c r="C234" s="36" t="s">
        <v>231</v>
      </c>
      <c r="D234" s="38" t="s">
        <v>27</v>
      </c>
      <c r="E234" s="42">
        <v>1</v>
      </c>
      <c r="F234" s="37">
        <v>2081094</v>
      </c>
      <c r="G234" s="118">
        <f t="shared" si="14"/>
        <v>2081094</v>
      </c>
      <c r="H234" s="27"/>
      <c r="I234" s="123"/>
      <c r="J234" s="123"/>
      <c r="K234" s="185">
        <v>2081094</v>
      </c>
      <c r="L234" s="189">
        <f t="shared" si="15"/>
        <v>0</v>
      </c>
    </row>
    <row r="235" spans="1:20" ht="88.15" customHeight="1" x14ac:dyDescent="0.25">
      <c r="A235" s="26"/>
      <c r="B235" s="209">
        <v>9.19</v>
      </c>
      <c r="C235" s="36" t="s">
        <v>232</v>
      </c>
      <c r="D235" s="38" t="s">
        <v>27</v>
      </c>
      <c r="E235" s="42">
        <v>1</v>
      </c>
      <c r="F235" s="37">
        <v>10929600</v>
      </c>
      <c r="G235" s="118">
        <f t="shared" si="14"/>
        <v>10929600</v>
      </c>
      <c r="H235" s="27"/>
      <c r="I235" s="123"/>
      <c r="J235" s="123"/>
      <c r="K235" s="185">
        <v>10929600</v>
      </c>
      <c r="L235" s="189">
        <f t="shared" si="15"/>
        <v>0</v>
      </c>
    </row>
    <row r="236" spans="1:20" ht="88.15" customHeight="1" x14ac:dyDescent="0.25">
      <c r="A236" s="26"/>
      <c r="B236" s="213">
        <v>9.1999999999999993</v>
      </c>
      <c r="C236" s="36" t="s">
        <v>233</v>
      </c>
      <c r="D236" s="38" t="s">
        <v>27</v>
      </c>
      <c r="E236" s="42">
        <v>1</v>
      </c>
      <c r="F236" s="37">
        <v>12028500</v>
      </c>
      <c r="G236" s="118">
        <f t="shared" si="14"/>
        <v>12028500</v>
      </c>
      <c r="H236" s="27"/>
      <c r="I236" s="123"/>
      <c r="J236" s="123"/>
      <c r="K236" s="185">
        <v>12028500</v>
      </c>
      <c r="L236" s="189">
        <f t="shared" si="15"/>
        <v>0</v>
      </c>
    </row>
    <row r="237" spans="1:20" ht="87" customHeight="1" x14ac:dyDescent="0.25">
      <c r="A237" s="26"/>
      <c r="B237" s="209">
        <v>9.2100000000000009</v>
      </c>
      <c r="C237" s="36" t="s">
        <v>234</v>
      </c>
      <c r="D237" s="38" t="s">
        <v>27</v>
      </c>
      <c r="E237" s="42">
        <v>1</v>
      </c>
      <c r="F237" s="37">
        <v>10453500</v>
      </c>
      <c r="G237" s="118">
        <f t="shared" si="14"/>
        <v>10453500</v>
      </c>
      <c r="H237" s="27"/>
      <c r="I237" s="123"/>
      <c r="J237" s="123"/>
      <c r="K237" s="185">
        <v>10453500</v>
      </c>
      <c r="L237" s="189">
        <f t="shared" si="15"/>
        <v>0</v>
      </c>
    </row>
    <row r="238" spans="1:20" ht="87" customHeight="1" x14ac:dyDescent="0.25">
      <c r="A238" s="26"/>
      <c r="B238" s="213">
        <v>9.2200000000000006</v>
      </c>
      <c r="C238" s="36" t="s">
        <v>235</v>
      </c>
      <c r="D238" s="38" t="s">
        <v>27</v>
      </c>
      <c r="E238" s="42">
        <v>1</v>
      </c>
      <c r="F238" s="37">
        <v>8806500</v>
      </c>
      <c r="G238" s="118">
        <f t="shared" si="14"/>
        <v>8806500</v>
      </c>
      <c r="H238" s="27"/>
      <c r="I238" s="123"/>
      <c r="J238" s="123"/>
      <c r="K238" s="185">
        <v>8806500</v>
      </c>
      <c r="L238" s="189">
        <f t="shared" si="15"/>
        <v>0</v>
      </c>
      <c r="N238" s="120">
        <f>+J239+15000</f>
        <v>207307.69230769231</v>
      </c>
    </row>
    <row r="239" spans="1:20" ht="84" customHeight="1" x14ac:dyDescent="0.25">
      <c r="A239" s="26"/>
      <c r="B239" s="209">
        <v>9.23</v>
      </c>
      <c r="C239" s="36" t="s">
        <v>236</v>
      </c>
      <c r="D239" s="38" t="s">
        <v>27</v>
      </c>
      <c r="E239" s="42">
        <v>1</v>
      </c>
      <c r="F239" s="37">
        <v>1166400</v>
      </c>
      <c r="G239" s="118">
        <f t="shared" si="14"/>
        <v>1166400</v>
      </c>
      <c r="H239" s="27"/>
      <c r="I239" s="123"/>
      <c r="J239" s="215">
        <f>+J240/J241</f>
        <v>192307.69230769231</v>
      </c>
      <c r="K239" s="185">
        <v>1166400</v>
      </c>
      <c r="L239" s="189">
        <f t="shared" si="15"/>
        <v>0</v>
      </c>
      <c r="N239" s="121">
        <f>5000000/20.14</f>
        <v>248262.16484607744</v>
      </c>
    </row>
    <row r="240" spans="1:20" ht="80.45" customHeight="1" x14ac:dyDescent="0.25">
      <c r="A240" s="26"/>
      <c r="B240" s="213">
        <v>9.24</v>
      </c>
      <c r="C240" s="36" t="s">
        <v>237</v>
      </c>
      <c r="D240" s="38" t="s">
        <v>27</v>
      </c>
      <c r="E240" s="42">
        <v>1</v>
      </c>
      <c r="F240" s="37">
        <v>2568000</v>
      </c>
      <c r="G240" s="118">
        <f t="shared" si="14"/>
        <v>2568000</v>
      </c>
      <c r="H240" s="27"/>
      <c r="I240" s="123"/>
      <c r="J240" s="215">
        <v>1000000</v>
      </c>
      <c r="K240" s="185">
        <v>2568000</v>
      </c>
      <c r="L240" s="189">
        <f t="shared" si="15"/>
        <v>0</v>
      </c>
      <c r="N240" s="121"/>
    </row>
    <row r="241" spans="1:15" ht="82.9" customHeight="1" x14ac:dyDescent="0.25">
      <c r="A241" s="26"/>
      <c r="B241" s="209">
        <v>9.25</v>
      </c>
      <c r="C241" s="36" t="s">
        <v>238</v>
      </c>
      <c r="D241" s="38" t="s">
        <v>27</v>
      </c>
      <c r="E241" s="42">
        <v>1</v>
      </c>
      <c r="F241" s="37">
        <v>4784000</v>
      </c>
      <c r="G241" s="118">
        <f t="shared" si="14"/>
        <v>4784000</v>
      </c>
      <c r="H241" s="27"/>
      <c r="I241" s="123"/>
      <c r="J241" s="123">
        <f>2*2.6</f>
        <v>5.2</v>
      </c>
      <c r="K241" s="185">
        <v>4784000</v>
      </c>
      <c r="L241" s="189">
        <f t="shared" si="15"/>
        <v>0</v>
      </c>
    </row>
    <row r="242" spans="1:15" ht="24" customHeight="1" x14ac:dyDescent="0.25">
      <c r="A242" s="26"/>
      <c r="B242" s="305" t="s">
        <v>444</v>
      </c>
      <c r="C242" s="306"/>
      <c r="D242" s="306"/>
      <c r="E242" s="306"/>
      <c r="F242" s="100"/>
      <c r="G242" s="101" t="e">
        <f>SUM(G217:G241)</f>
        <v>#REF!</v>
      </c>
      <c r="H242" s="27"/>
      <c r="L242" s="189">
        <f t="shared" si="15"/>
        <v>0</v>
      </c>
    </row>
    <row r="243" spans="1:15" ht="48" customHeight="1" x14ac:dyDescent="0.25">
      <c r="A243" s="26"/>
      <c r="B243" s="28">
        <v>10</v>
      </c>
      <c r="C243" s="105" t="s">
        <v>490</v>
      </c>
      <c r="D243" s="30" t="s">
        <v>27</v>
      </c>
      <c r="E243" s="83" t="s">
        <v>28</v>
      </c>
      <c r="F243" s="30" t="s">
        <v>29</v>
      </c>
      <c r="G243" s="32" t="s">
        <v>30</v>
      </c>
      <c r="H243" s="27"/>
    </row>
    <row r="244" spans="1:15" ht="63.75" customHeight="1" x14ac:dyDescent="0.25">
      <c r="A244" s="26"/>
      <c r="B244" s="33">
        <v>10.1</v>
      </c>
      <c r="C244" s="41" t="s">
        <v>487</v>
      </c>
      <c r="D244" s="34" t="s">
        <v>34</v>
      </c>
      <c r="E244" s="42">
        <v>31</v>
      </c>
      <c r="F244" s="119">
        <v>37500</v>
      </c>
      <c r="G244" s="35">
        <f t="shared" ref="G244:G257" si="16">+E244*F244</f>
        <v>1162500</v>
      </c>
      <c r="H244" s="216"/>
      <c r="I244" s="123"/>
      <c r="J244" s="224">
        <f>20000*1.8</f>
        <v>36000</v>
      </c>
      <c r="K244" s="218"/>
      <c r="L244" s="189"/>
    </row>
    <row r="245" spans="1:15" ht="63.75" customHeight="1" x14ac:dyDescent="0.25">
      <c r="A245" s="26"/>
      <c r="B245" s="33">
        <v>10.199999999999999</v>
      </c>
      <c r="C245" s="41" t="s">
        <v>486</v>
      </c>
      <c r="D245" s="34" t="s">
        <v>34</v>
      </c>
      <c r="E245" s="42">
        <v>16</v>
      </c>
      <c r="F245" s="119">
        <v>46800</v>
      </c>
      <c r="G245" s="35">
        <f t="shared" si="16"/>
        <v>748800</v>
      </c>
      <c r="H245" s="216"/>
      <c r="I245" s="123"/>
      <c r="J245" s="224">
        <f>400000/16</f>
        <v>25000</v>
      </c>
      <c r="K245" s="218">
        <f>+J245*1.8</f>
        <v>45000</v>
      </c>
      <c r="L245" s="189"/>
    </row>
    <row r="246" spans="1:15" ht="51.75" customHeight="1" x14ac:dyDescent="0.25">
      <c r="A246" s="26"/>
      <c r="B246" s="33">
        <v>10.3</v>
      </c>
      <c r="C246" s="36" t="s">
        <v>459</v>
      </c>
      <c r="D246" s="38" t="s">
        <v>48</v>
      </c>
      <c r="E246" s="43">
        <f>62+2.5</f>
        <v>64.5</v>
      </c>
      <c r="F246" s="119">
        <f>171293+3000</f>
        <v>174293</v>
      </c>
      <c r="G246" s="35">
        <f t="shared" si="16"/>
        <v>11241898.5</v>
      </c>
      <c r="H246" s="27"/>
      <c r="I246" s="123"/>
      <c r="J246" s="215"/>
      <c r="L246" s="189"/>
    </row>
    <row r="247" spans="1:15" ht="46.5" customHeight="1" x14ac:dyDescent="0.25">
      <c r="A247" s="26"/>
      <c r="B247" s="33">
        <v>10.4</v>
      </c>
      <c r="C247" s="36" t="s">
        <v>465</v>
      </c>
      <c r="D247" s="38" t="s">
        <v>34</v>
      </c>
      <c r="E247" s="43">
        <f>5.08*2.69</f>
        <v>13.6652</v>
      </c>
      <c r="F247" s="119">
        <v>147320</v>
      </c>
      <c r="G247" s="35">
        <f t="shared" si="16"/>
        <v>2013157.264</v>
      </c>
      <c r="H247" s="27"/>
      <c r="I247" s="123"/>
      <c r="J247" s="215">
        <f>127000*1.16</f>
        <v>147320</v>
      </c>
      <c r="L247" s="189"/>
    </row>
    <row r="248" spans="1:15" ht="42" customHeight="1" x14ac:dyDescent="0.25">
      <c r="A248" s="26"/>
      <c r="B248" s="33">
        <v>10.5</v>
      </c>
      <c r="C248" s="36" t="s">
        <v>460</v>
      </c>
      <c r="D248" s="38" t="s">
        <v>34</v>
      </c>
      <c r="E248" s="43">
        <f>+E247</f>
        <v>13.6652</v>
      </c>
      <c r="F248" s="119">
        <v>98835</v>
      </c>
      <c r="G248" s="35">
        <f t="shared" si="16"/>
        <v>1350600.0420000001</v>
      </c>
      <c r="H248" s="27"/>
      <c r="I248" s="123"/>
      <c r="J248" s="215"/>
      <c r="L248" s="189"/>
    </row>
    <row r="249" spans="1:15" ht="51.75" customHeight="1" x14ac:dyDescent="0.25">
      <c r="A249" s="26"/>
      <c r="B249" s="33">
        <v>10.6</v>
      </c>
      <c r="C249" s="41" t="s">
        <v>478</v>
      </c>
      <c r="D249" s="34" t="s">
        <v>34</v>
      </c>
      <c r="E249" s="42">
        <v>13.5</v>
      </c>
      <c r="F249" s="119">
        <v>98150</v>
      </c>
      <c r="G249" s="35">
        <f t="shared" si="16"/>
        <v>1325025</v>
      </c>
      <c r="H249" s="27"/>
      <c r="I249" s="123"/>
      <c r="J249" s="215">
        <f>+F292-18000</f>
        <v>95151</v>
      </c>
      <c r="L249" s="189"/>
    </row>
    <row r="250" spans="1:15" ht="35.25" customHeight="1" x14ac:dyDescent="0.25">
      <c r="A250" s="26"/>
      <c r="B250" s="33">
        <v>10.7</v>
      </c>
      <c r="C250" s="41" t="s">
        <v>477</v>
      </c>
      <c r="D250" s="34" t="s">
        <v>27</v>
      </c>
      <c r="E250" s="42">
        <v>1</v>
      </c>
      <c r="F250" s="119">
        <v>187000</v>
      </c>
      <c r="G250" s="35">
        <f t="shared" si="16"/>
        <v>187000</v>
      </c>
      <c r="H250" s="27"/>
      <c r="I250" s="123"/>
      <c r="J250" s="215"/>
      <c r="L250" s="189"/>
    </row>
    <row r="251" spans="1:15" ht="35.25" customHeight="1" x14ac:dyDescent="0.25">
      <c r="A251" s="26"/>
      <c r="B251" s="33">
        <v>10.8</v>
      </c>
      <c r="C251" s="41" t="s">
        <v>502</v>
      </c>
      <c r="D251" s="34" t="s">
        <v>27</v>
      </c>
      <c r="E251" s="42">
        <v>2</v>
      </c>
      <c r="F251" s="119">
        <v>99900</v>
      </c>
      <c r="G251" s="35">
        <f t="shared" si="16"/>
        <v>199800</v>
      </c>
      <c r="H251" s="27"/>
      <c r="I251" s="123"/>
      <c r="J251" s="215">
        <f>5.4*F246</f>
        <v>941182.20000000007</v>
      </c>
      <c r="K251" s="185">
        <f>(30500+25000)*1.8</f>
        <v>99900</v>
      </c>
      <c r="L251" s="189"/>
    </row>
    <row r="252" spans="1:15" ht="51.75" customHeight="1" x14ac:dyDescent="0.25">
      <c r="A252" s="26"/>
      <c r="B252" s="33">
        <v>10.9</v>
      </c>
      <c r="C252" s="41" t="s">
        <v>468</v>
      </c>
      <c r="D252" s="34" t="s">
        <v>27</v>
      </c>
      <c r="E252" s="42">
        <v>1</v>
      </c>
      <c r="F252" s="119">
        <v>3158000</v>
      </c>
      <c r="G252" s="35">
        <f t="shared" si="16"/>
        <v>3158000</v>
      </c>
      <c r="H252" s="27"/>
      <c r="I252" s="123"/>
      <c r="J252" s="215"/>
      <c r="K252" s="185">
        <f>+J251+720000*1.7</f>
        <v>2165182.2000000002</v>
      </c>
      <c r="L252" s="189"/>
    </row>
    <row r="253" spans="1:15" ht="126.75" customHeight="1" x14ac:dyDescent="0.25">
      <c r="A253" s="26"/>
      <c r="B253" s="213">
        <v>10.1</v>
      </c>
      <c r="C253" s="41" t="s">
        <v>471</v>
      </c>
      <c r="D253" s="34" t="s">
        <v>27</v>
      </c>
      <c r="E253" s="42">
        <v>16</v>
      </c>
      <c r="F253" s="119">
        <v>294362</v>
      </c>
      <c r="G253" s="35">
        <f t="shared" si="16"/>
        <v>4709792</v>
      </c>
      <c r="H253" s="27"/>
      <c r="I253" s="123"/>
      <c r="J253" s="215">
        <f>235490*1.25</f>
        <v>294362.5</v>
      </c>
      <c r="L253" s="189"/>
      <c r="N253" s="7">
        <f>10200+25000</f>
        <v>35200</v>
      </c>
      <c r="O253" s="7">
        <f>+N253*1.8</f>
        <v>63360</v>
      </c>
    </row>
    <row r="254" spans="1:15" ht="39.75" customHeight="1" x14ac:dyDescent="0.25">
      <c r="A254" s="26"/>
      <c r="B254" s="33">
        <v>10.11</v>
      </c>
      <c r="C254" s="41" t="s">
        <v>501</v>
      </c>
      <c r="D254" s="34" t="s">
        <v>27</v>
      </c>
      <c r="E254" s="42">
        <v>2</v>
      </c>
      <c r="F254" s="119">
        <v>313458.2</v>
      </c>
      <c r="G254" s="35">
        <f t="shared" si="16"/>
        <v>626916.4</v>
      </c>
      <c r="H254" s="27"/>
      <c r="I254" s="123"/>
      <c r="J254" s="215">
        <f>284962*1.1</f>
        <v>313458.2</v>
      </c>
      <c r="K254" s="185">
        <f>+J254*1.8</f>
        <v>564224.76</v>
      </c>
      <c r="L254" s="189">
        <f>77158*1.15</f>
        <v>88731.7</v>
      </c>
    </row>
    <row r="255" spans="1:15" ht="63" customHeight="1" x14ac:dyDescent="0.25">
      <c r="A255" s="26"/>
      <c r="B255" s="213">
        <v>10.119999999999999</v>
      </c>
      <c r="C255" s="41" t="s">
        <v>500</v>
      </c>
      <c r="D255" s="34" t="s">
        <v>27</v>
      </c>
      <c r="E255" s="42">
        <v>5</v>
      </c>
      <c r="F255" s="119">
        <v>63360</v>
      </c>
      <c r="G255" s="35">
        <f t="shared" si="16"/>
        <v>316800</v>
      </c>
      <c r="H255" s="27"/>
      <c r="I255" s="123"/>
      <c r="J255" s="215"/>
      <c r="L255" s="189"/>
    </row>
    <row r="256" spans="1:15" ht="68.099999999999994" customHeight="1" x14ac:dyDescent="0.25">
      <c r="A256" s="26"/>
      <c r="B256" s="33">
        <v>10.130000000000001</v>
      </c>
      <c r="C256" s="41" t="s">
        <v>382</v>
      </c>
      <c r="D256" s="34" t="s">
        <v>27</v>
      </c>
      <c r="E256" s="42">
        <v>5</v>
      </c>
      <c r="F256" s="119">
        <v>371741</v>
      </c>
      <c r="G256" s="35">
        <f t="shared" si="16"/>
        <v>1858705</v>
      </c>
      <c r="H256" s="27"/>
      <c r="I256" s="123"/>
      <c r="J256" s="215">
        <f>297393*1.1</f>
        <v>327132.30000000005</v>
      </c>
      <c r="L256" s="189">
        <f>90000+20000</f>
        <v>110000</v>
      </c>
      <c r="M256" s="7">
        <f>+L256*1.7</f>
        <v>187000</v>
      </c>
    </row>
    <row r="257" spans="1:12" ht="58.5" customHeight="1" x14ac:dyDescent="0.25">
      <c r="A257" s="26"/>
      <c r="B257" s="213">
        <v>10.14</v>
      </c>
      <c r="C257" s="41" t="s">
        <v>484</v>
      </c>
      <c r="D257" s="34" t="s">
        <v>34</v>
      </c>
      <c r="E257" s="42">
        <f>+(2.3*0.32*4)+(5.4*1.2)</f>
        <v>9.4239999999999995</v>
      </c>
      <c r="F257" s="119">
        <v>375822</v>
      </c>
      <c r="G257" s="35">
        <f t="shared" si="16"/>
        <v>3541746.5279999999</v>
      </c>
      <c r="H257" s="216"/>
      <c r="I257" s="123"/>
      <c r="J257" s="224"/>
      <c r="K257" s="218"/>
      <c r="L257" s="189"/>
    </row>
    <row r="258" spans="1:12" ht="58.5" customHeight="1" x14ac:dyDescent="0.25">
      <c r="A258" s="26"/>
      <c r="B258" s="33">
        <v>10.15</v>
      </c>
      <c r="C258" s="41" t="s">
        <v>497</v>
      </c>
      <c r="D258" s="34" t="s">
        <v>48</v>
      </c>
      <c r="E258" s="42">
        <v>5.4</v>
      </c>
      <c r="F258" s="119">
        <v>71100</v>
      </c>
      <c r="G258" s="35">
        <f>+E258*F258</f>
        <v>383940</v>
      </c>
      <c r="H258" s="216"/>
      <c r="I258" s="123"/>
      <c r="J258" s="224">
        <f>20000*1.7</f>
        <v>34000</v>
      </c>
      <c r="K258" s="218">
        <f>+J258/3</f>
        <v>11333.333333333334</v>
      </c>
      <c r="L258" s="189">
        <f>+F258+K258</f>
        <v>82433.333333333328</v>
      </c>
    </row>
    <row r="259" spans="1:12" s="232" customFormat="1" ht="58.5" customHeight="1" x14ac:dyDescent="0.25">
      <c r="A259" s="226"/>
      <c r="B259" s="244">
        <v>10.16</v>
      </c>
      <c r="C259" s="219" t="s">
        <v>511</v>
      </c>
      <c r="D259" s="220" t="s">
        <v>34</v>
      </c>
      <c r="E259" s="221">
        <v>12.34</v>
      </c>
      <c r="F259" s="222">
        <v>296689</v>
      </c>
      <c r="G259" s="223">
        <f>+E259*F259</f>
        <v>3661142.26</v>
      </c>
      <c r="H259" s="227"/>
      <c r="I259" s="228"/>
      <c r="J259" s="229">
        <f>174523*1.7</f>
        <v>296689.09999999998</v>
      </c>
      <c r="K259" s="230"/>
      <c r="L259" s="231"/>
    </row>
    <row r="260" spans="1:12" s="232" customFormat="1" ht="58.5" customHeight="1" x14ac:dyDescent="0.25">
      <c r="A260" s="226"/>
      <c r="B260" s="245">
        <v>10.17</v>
      </c>
      <c r="C260" s="219" t="s">
        <v>512</v>
      </c>
      <c r="D260" s="220" t="s">
        <v>34</v>
      </c>
      <c r="E260" s="221">
        <v>12.34</v>
      </c>
      <c r="F260" s="222">
        <v>84800</v>
      </c>
      <c r="G260" s="223">
        <f>+E260*F260</f>
        <v>1046432</v>
      </c>
      <c r="H260" s="227"/>
      <c r="I260" s="228"/>
      <c r="J260" s="229">
        <f>49887*1.7</f>
        <v>84807.9</v>
      </c>
      <c r="K260" s="230"/>
      <c r="L260" s="231"/>
    </row>
    <row r="261" spans="1:12" s="232" customFormat="1" ht="58.5" customHeight="1" x14ac:dyDescent="0.25">
      <c r="A261" s="226"/>
      <c r="B261" s="244">
        <v>10.18</v>
      </c>
      <c r="C261" s="219" t="s">
        <v>510</v>
      </c>
      <c r="D261" s="220" t="s">
        <v>48</v>
      </c>
      <c r="E261" s="221">
        <v>10</v>
      </c>
      <c r="F261" s="222">
        <v>64416</v>
      </c>
      <c r="G261" s="223">
        <f>+E261*F261</f>
        <v>644160</v>
      </c>
      <c r="H261" s="227"/>
      <c r="I261" s="228"/>
      <c r="J261" s="229">
        <f>37892*1.7</f>
        <v>64416.4</v>
      </c>
      <c r="K261" s="230"/>
      <c r="L261" s="231"/>
    </row>
    <row r="262" spans="1:12" ht="51.75" customHeight="1" x14ac:dyDescent="0.25">
      <c r="A262" s="26"/>
      <c r="B262" s="33">
        <v>10.19</v>
      </c>
      <c r="C262" s="41" t="s">
        <v>475</v>
      </c>
      <c r="D262" s="34" t="s">
        <v>27</v>
      </c>
      <c r="E262" s="42">
        <v>8</v>
      </c>
      <c r="F262" s="119">
        <v>1360000</v>
      </c>
      <c r="G262" s="35">
        <f>+E262*F262</f>
        <v>10880000</v>
      </c>
      <c r="H262" s="27"/>
      <c r="I262" s="123"/>
      <c r="J262" s="215"/>
      <c r="K262" s="185">
        <f>800000*1.7</f>
        <v>1360000</v>
      </c>
      <c r="L262" s="189"/>
    </row>
    <row r="263" spans="1:12" ht="29.45" customHeight="1" x14ac:dyDescent="0.25">
      <c r="A263" s="26"/>
      <c r="B263" s="213">
        <v>10.199999999999999</v>
      </c>
      <c r="C263" s="36" t="s">
        <v>447</v>
      </c>
      <c r="D263" s="38" t="s">
        <v>27</v>
      </c>
      <c r="E263" s="43">
        <v>1</v>
      </c>
      <c r="F263" s="119">
        <v>3150000</v>
      </c>
      <c r="G263" s="35">
        <f t="shared" ref="G263:G273" si="17">+E263*F263</f>
        <v>3150000</v>
      </c>
      <c r="H263" s="27"/>
      <c r="I263" s="123"/>
      <c r="J263" s="215">
        <v>40000</v>
      </c>
      <c r="K263" s="185">
        <v>1115000</v>
      </c>
      <c r="L263" s="189">
        <f>+K263-F263</f>
        <v>-2035000</v>
      </c>
    </row>
    <row r="264" spans="1:12" ht="54" customHeight="1" x14ac:dyDescent="0.25">
      <c r="A264" s="26"/>
      <c r="B264" s="33">
        <v>10.210000000000001</v>
      </c>
      <c r="C264" s="36" t="s">
        <v>485</v>
      </c>
      <c r="D264" s="38" t="s">
        <v>450</v>
      </c>
      <c r="E264" s="43">
        <v>8</v>
      </c>
      <c r="F264" s="119">
        <v>59800</v>
      </c>
      <c r="G264" s="35">
        <f t="shared" si="17"/>
        <v>478400</v>
      </c>
      <c r="H264" s="27"/>
      <c r="I264" s="123"/>
      <c r="J264" s="215"/>
      <c r="L264" s="189"/>
    </row>
    <row r="265" spans="1:12" ht="43.9" customHeight="1" x14ac:dyDescent="0.25">
      <c r="A265" s="26"/>
      <c r="B265" s="213">
        <v>10.220000000000001</v>
      </c>
      <c r="C265" s="36" t="s">
        <v>449</v>
      </c>
      <c r="D265" s="38" t="s">
        <v>27</v>
      </c>
      <c r="E265" s="43">
        <v>1</v>
      </c>
      <c r="F265" s="119">
        <v>1050000</v>
      </c>
      <c r="G265" s="35">
        <f t="shared" si="17"/>
        <v>1050000</v>
      </c>
      <c r="H265" s="27"/>
      <c r="I265" s="123"/>
      <c r="J265" s="215">
        <f>+J309-J311-J312-J263</f>
        <v>25625</v>
      </c>
      <c r="K265" s="185">
        <v>1120000</v>
      </c>
      <c r="L265" s="189">
        <f>+K265-F265</f>
        <v>70000</v>
      </c>
    </row>
    <row r="266" spans="1:12" ht="55.5" customHeight="1" x14ac:dyDescent="0.25">
      <c r="A266" s="26"/>
      <c r="B266" s="33">
        <v>10.23</v>
      </c>
      <c r="C266" s="41" t="s">
        <v>451</v>
      </c>
      <c r="D266" s="38" t="s">
        <v>48</v>
      </c>
      <c r="E266" s="43">
        <v>128</v>
      </c>
      <c r="F266" s="119">
        <v>73400</v>
      </c>
      <c r="G266" s="35">
        <f t="shared" si="17"/>
        <v>9395200</v>
      </c>
      <c r="H266" s="27"/>
      <c r="I266" s="123"/>
      <c r="J266" s="215">
        <f>+J265/J309</f>
        <v>0.27333333333333332</v>
      </c>
      <c r="K266" s="185">
        <v>260000</v>
      </c>
      <c r="L266" s="189">
        <f>+K266-F266</f>
        <v>186600</v>
      </c>
    </row>
    <row r="267" spans="1:12" ht="51.75" customHeight="1" x14ac:dyDescent="0.25">
      <c r="A267" s="26"/>
      <c r="B267" s="213">
        <v>10.24</v>
      </c>
      <c r="C267" s="41" t="s">
        <v>495</v>
      </c>
      <c r="D267" s="34" t="s">
        <v>27</v>
      </c>
      <c r="E267" s="42">
        <v>6</v>
      </c>
      <c r="F267" s="119">
        <v>786400</v>
      </c>
      <c r="G267" s="35">
        <f t="shared" si="17"/>
        <v>4718400</v>
      </c>
      <c r="H267" s="216"/>
      <c r="I267" s="123"/>
      <c r="J267" s="224"/>
      <c r="K267" s="218"/>
      <c r="L267" s="189"/>
    </row>
    <row r="268" spans="1:12" ht="51.75" customHeight="1" x14ac:dyDescent="0.25">
      <c r="A268" s="26"/>
      <c r="B268" s="33">
        <v>10.25</v>
      </c>
      <c r="C268" s="41" t="s">
        <v>498</v>
      </c>
      <c r="D268" s="34" t="s">
        <v>27</v>
      </c>
      <c r="E268" s="42">
        <v>1</v>
      </c>
      <c r="F268" s="119">
        <v>3240000</v>
      </c>
      <c r="G268" s="35">
        <f t="shared" si="17"/>
        <v>3240000</v>
      </c>
      <c r="H268" s="216"/>
      <c r="I268" s="123"/>
      <c r="J268" s="224"/>
      <c r="K268" s="218">
        <f>1800000*1.8</f>
        <v>3240000</v>
      </c>
      <c r="L268" s="189"/>
    </row>
    <row r="269" spans="1:12" ht="51.75" customHeight="1" x14ac:dyDescent="0.25">
      <c r="A269" s="26"/>
      <c r="B269" s="213">
        <v>10.26</v>
      </c>
      <c r="C269" s="41" t="s">
        <v>499</v>
      </c>
      <c r="D269" s="34" t="s">
        <v>27</v>
      </c>
      <c r="E269" s="42">
        <v>1</v>
      </c>
      <c r="F269" s="119">
        <v>3960000</v>
      </c>
      <c r="G269" s="35">
        <f t="shared" si="17"/>
        <v>3960000</v>
      </c>
      <c r="H269" s="216"/>
      <c r="I269" s="123"/>
      <c r="J269" s="224">
        <f>2400000*1.65</f>
        <v>3960000</v>
      </c>
      <c r="K269" s="218"/>
      <c r="L269" s="189"/>
    </row>
    <row r="270" spans="1:12" ht="51.75" customHeight="1" x14ac:dyDescent="0.25">
      <c r="A270" s="26"/>
      <c r="B270" s="33">
        <v>10.27</v>
      </c>
      <c r="C270" s="41" t="s">
        <v>474</v>
      </c>
      <c r="D270" s="34" t="s">
        <v>27</v>
      </c>
      <c r="E270" s="42">
        <v>2</v>
      </c>
      <c r="F270" s="119">
        <v>2230000</v>
      </c>
      <c r="G270" s="35">
        <f t="shared" si="17"/>
        <v>4460000</v>
      </c>
      <c r="H270" s="216"/>
      <c r="I270" s="123">
        <f>901*1.3</f>
        <v>1171.3</v>
      </c>
      <c r="J270" s="224">
        <f>+I270+1100</f>
        <v>2271.3000000000002</v>
      </c>
      <c r="K270" s="218"/>
      <c r="L270" s="189"/>
    </row>
    <row r="271" spans="1:12" ht="51.75" customHeight="1" x14ac:dyDescent="0.25">
      <c r="A271" s="26"/>
      <c r="B271" s="213">
        <v>10.28</v>
      </c>
      <c r="C271" s="240" t="s">
        <v>503</v>
      </c>
      <c r="D271" s="241"/>
      <c r="E271" s="242"/>
      <c r="F271" s="243"/>
      <c r="G271" s="239">
        <f t="shared" si="17"/>
        <v>0</v>
      </c>
      <c r="H271" s="216"/>
      <c r="I271" s="123"/>
      <c r="J271" s="224"/>
      <c r="K271" s="218"/>
      <c r="L271" s="189"/>
    </row>
    <row r="272" spans="1:12" ht="51.75" customHeight="1" x14ac:dyDescent="0.25">
      <c r="A272" s="26"/>
      <c r="B272" s="33">
        <v>10.29</v>
      </c>
      <c r="C272" s="234" t="s">
        <v>505</v>
      </c>
      <c r="D272" s="235" t="s">
        <v>34</v>
      </c>
      <c r="E272" s="236">
        <v>7.5</v>
      </c>
      <c r="F272" s="237">
        <v>111000</v>
      </c>
      <c r="G272" s="35">
        <f t="shared" si="17"/>
        <v>832500</v>
      </c>
      <c r="H272" s="216"/>
      <c r="I272" s="123"/>
      <c r="J272" s="224"/>
      <c r="K272" s="218"/>
      <c r="L272" s="189"/>
    </row>
    <row r="273" spans="1:14" ht="51.75" customHeight="1" x14ac:dyDescent="0.25">
      <c r="A273" s="26"/>
      <c r="B273" s="213">
        <v>10.3</v>
      </c>
      <c r="C273" s="41" t="s">
        <v>504</v>
      </c>
      <c r="D273" s="34" t="s">
        <v>27</v>
      </c>
      <c r="E273" s="42">
        <v>1</v>
      </c>
      <c r="F273" s="119">
        <v>4980000</v>
      </c>
      <c r="G273" s="35">
        <f t="shared" si="17"/>
        <v>4980000</v>
      </c>
      <c r="H273" s="216"/>
      <c r="I273" s="123"/>
      <c r="J273" s="224">
        <f>3100000+1800000+80000</f>
        <v>4980000</v>
      </c>
      <c r="K273" s="218"/>
      <c r="L273" s="189"/>
    </row>
    <row r="274" spans="1:14" ht="51.75" customHeight="1" x14ac:dyDescent="0.25">
      <c r="A274" s="26"/>
      <c r="B274" s="233"/>
      <c r="C274" s="234" t="s">
        <v>509</v>
      </c>
      <c r="D274" s="235"/>
      <c r="E274" s="236"/>
      <c r="F274" s="237"/>
      <c r="G274" s="238"/>
      <c r="H274" s="216"/>
      <c r="I274" s="123"/>
      <c r="J274" s="224"/>
      <c r="K274" s="218"/>
      <c r="L274" s="189"/>
    </row>
    <row r="275" spans="1:14" ht="24" customHeight="1" x14ac:dyDescent="0.25">
      <c r="A275" s="26"/>
      <c r="B275" s="305" t="s">
        <v>489</v>
      </c>
      <c r="C275" s="306"/>
      <c r="D275" s="306"/>
      <c r="E275" s="306"/>
      <c r="F275" s="100"/>
      <c r="G275" s="101">
        <f>SUM(G243:G273)</f>
        <v>85320914.994000003</v>
      </c>
      <c r="H275" s="27"/>
      <c r="L275" s="189">
        <f>+K275-F275</f>
        <v>0</v>
      </c>
    </row>
    <row r="276" spans="1:14" ht="23.45" customHeight="1" x14ac:dyDescent="0.25">
      <c r="A276" s="26"/>
      <c r="B276" s="28">
        <v>11</v>
      </c>
      <c r="C276" s="29" t="s">
        <v>491</v>
      </c>
      <c r="D276" s="30" t="s">
        <v>27</v>
      </c>
      <c r="E276" s="83" t="s">
        <v>28</v>
      </c>
      <c r="F276" s="30" t="s">
        <v>29</v>
      </c>
      <c r="G276" s="32" t="s">
        <v>30</v>
      </c>
      <c r="H276" s="27"/>
    </row>
    <row r="277" spans="1:14" ht="42" customHeight="1" x14ac:dyDescent="0.25">
      <c r="A277" s="26"/>
      <c r="B277" s="33">
        <v>11.01</v>
      </c>
      <c r="C277" s="41" t="s">
        <v>457</v>
      </c>
      <c r="D277" s="34" t="s">
        <v>34</v>
      </c>
      <c r="E277" s="42">
        <v>28.86</v>
      </c>
      <c r="F277" s="119">
        <v>68700</v>
      </c>
      <c r="G277" s="35">
        <f>+E277*F277</f>
        <v>1982682</v>
      </c>
      <c r="H277" s="216"/>
      <c r="I277" s="123"/>
      <c r="J277" s="224">
        <f>55000*1.18</f>
        <v>64900</v>
      </c>
      <c r="K277" s="218"/>
      <c r="L277" s="189"/>
    </row>
    <row r="278" spans="1:14" ht="42" customHeight="1" x14ac:dyDescent="0.25">
      <c r="A278" s="26"/>
      <c r="B278" s="33">
        <v>11.02</v>
      </c>
      <c r="C278" s="219" t="s">
        <v>453</v>
      </c>
      <c r="D278" s="220" t="s">
        <v>366</v>
      </c>
      <c r="E278" s="221">
        <v>1</v>
      </c>
      <c r="F278" s="222"/>
      <c r="G278" s="223">
        <f>+E278*F278</f>
        <v>0</v>
      </c>
      <c r="H278" s="27"/>
      <c r="I278" s="123"/>
      <c r="J278" s="215"/>
      <c r="L278" s="189"/>
    </row>
    <row r="279" spans="1:14" ht="42" customHeight="1" x14ac:dyDescent="0.25">
      <c r="A279" s="26"/>
      <c r="B279" s="33">
        <v>11.03</v>
      </c>
      <c r="C279" s="41" t="s">
        <v>461</v>
      </c>
      <c r="D279" s="34" t="s">
        <v>149</v>
      </c>
      <c r="E279" s="42">
        <v>46.44</v>
      </c>
      <c r="F279" s="119">
        <v>39147</v>
      </c>
      <c r="G279" s="35">
        <f>+E279*F279</f>
        <v>1817986.68</v>
      </c>
      <c r="H279" s="216"/>
      <c r="I279" s="123"/>
      <c r="J279" s="224">
        <f>260000+750000</f>
        <v>1010000</v>
      </c>
      <c r="K279" s="218" t="s">
        <v>462</v>
      </c>
      <c r="L279" s="189">
        <f>+J279/E279</f>
        <v>21748.492678725237</v>
      </c>
      <c r="N279" s="7">
        <f>+L279*1.8</f>
        <v>39147.286821705427</v>
      </c>
    </row>
    <row r="280" spans="1:14" ht="51.75" customHeight="1" x14ac:dyDescent="0.25">
      <c r="A280" s="26"/>
      <c r="B280" s="33">
        <v>11.04</v>
      </c>
      <c r="C280" s="36" t="s">
        <v>455</v>
      </c>
      <c r="D280" s="38" t="s">
        <v>454</v>
      </c>
      <c r="E280" s="43">
        <v>1</v>
      </c>
      <c r="F280" s="119">
        <v>610000</v>
      </c>
      <c r="G280" s="35">
        <f t="shared" ref="G280:G311" si="18">+E280*F280</f>
        <v>610000</v>
      </c>
      <c r="H280" s="27"/>
      <c r="I280" s="123"/>
      <c r="J280" s="215">
        <v>2.7</v>
      </c>
      <c r="K280" s="185">
        <f>489289*1.18</f>
        <v>577361.02</v>
      </c>
      <c r="L280" s="189"/>
    </row>
    <row r="281" spans="1:14" ht="51.75" customHeight="1" x14ac:dyDescent="0.25">
      <c r="A281" s="26"/>
      <c r="B281" s="33">
        <v>11.05</v>
      </c>
      <c r="C281" s="41" t="s">
        <v>493</v>
      </c>
      <c r="D281" s="34" t="s">
        <v>27</v>
      </c>
      <c r="E281" s="42">
        <v>1</v>
      </c>
      <c r="F281" s="119">
        <v>1368000</v>
      </c>
      <c r="G281" s="35">
        <f t="shared" si="18"/>
        <v>1368000</v>
      </c>
      <c r="H281" s="27"/>
      <c r="I281" s="123"/>
      <c r="J281" s="215"/>
      <c r="L281" s="189"/>
    </row>
    <row r="282" spans="1:14" ht="46.5" customHeight="1" x14ac:dyDescent="0.25">
      <c r="A282" s="26"/>
      <c r="B282" s="33">
        <v>11.06</v>
      </c>
      <c r="C282" s="36" t="s">
        <v>494</v>
      </c>
      <c r="D282" s="38" t="s">
        <v>27</v>
      </c>
      <c r="E282" s="43">
        <v>1</v>
      </c>
      <c r="F282" s="119">
        <v>260000</v>
      </c>
      <c r="G282" s="35">
        <f t="shared" si="18"/>
        <v>260000</v>
      </c>
      <c r="H282" s="27"/>
      <c r="I282" s="123"/>
      <c r="J282" s="215"/>
      <c r="L282" s="189"/>
    </row>
    <row r="283" spans="1:14" ht="63.75" customHeight="1" x14ac:dyDescent="0.25">
      <c r="A283" s="26"/>
      <c r="B283" s="33">
        <v>11.07</v>
      </c>
      <c r="C283" s="219" t="s">
        <v>458</v>
      </c>
      <c r="D283" s="220" t="s">
        <v>450</v>
      </c>
      <c r="E283" s="221">
        <v>5.3</v>
      </c>
      <c r="F283" s="222"/>
      <c r="G283" s="223">
        <f t="shared" si="18"/>
        <v>0</v>
      </c>
      <c r="H283" s="27"/>
      <c r="I283" s="123"/>
      <c r="J283" s="215" t="s">
        <v>456</v>
      </c>
      <c r="L283" s="189"/>
    </row>
    <row r="284" spans="1:14" ht="51.75" customHeight="1" x14ac:dyDescent="0.25">
      <c r="A284" s="26"/>
      <c r="B284" s="33">
        <v>11.08</v>
      </c>
      <c r="C284" s="36" t="s">
        <v>459</v>
      </c>
      <c r="D284" s="38" t="s">
        <v>48</v>
      </c>
      <c r="E284" s="43">
        <f>12+9.6</f>
        <v>21.6</v>
      </c>
      <c r="F284" s="119">
        <f>171293+3000</f>
        <v>174293</v>
      </c>
      <c r="G284" s="35">
        <f t="shared" si="18"/>
        <v>3764728.8000000003</v>
      </c>
      <c r="H284" s="27"/>
      <c r="I284" s="123"/>
      <c r="J284" s="215"/>
      <c r="L284" s="189"/>
    </row>
    <row r="285" spans="1:14" ht="46.5" customHeight="1" x14ac:dyDescent="0.25">
      <c r="A285" s="26"/>
      <c r="B285" s="33">
        <v>11.09</v>
      </c>
      <c r="C285" s="36" t="s">
        <v>465</v>
      </c>
      <c r="D285" s="38" t="s">
        <v>34</v>
      </c>
      <c r="E285" s="43">
        <f>4*2.18</f>
        <v>8.7200000000000006</v>
      </c>
      <c r="F285" s="119">
        <v>147320</v>
      </c>
      <c r="G285" s="35">
        <f t="shared" si="18"/>
        <v>1284630.4000000001</v>
      </c>
      <c r="H285" s="27"/>
      <c r="I285" s="123"/>
      <c r="J285" s="215">
        <f>127000*1.16</f>
        <v>147320</v>
      </c>
      <c r="L285" s="189"/>
    </row>
    <row r="286" spans="1:14" ht="42" customHeight="1" x14ac:dyDescent="0.25">
      <c r="A286" s="26"/>
      <c r="B286" s="33">
        <v>11.1</v>
      </c>
      <c r="C286" s="36" t="s">
        <v>460</v>
      </c>
      <c r="D286" s="38" t="s">
        <v>34</v>
      </c>
      <c r="E286" s="43">
        <f>+E285</f>
        <v>8.7200000000000006</v>
      </c>
      <c r="F286" s="119">
        <v>98835</v>
      </c>
      <c r="G286" s="35">
        <f t="shared" si="18"/>
        <v>861841.20000000007</v>
      </c>
      <c r="H286" s="27"/>
      <c r="I286" s="123"/>
      <c r="J286" s="215"/>
      <c r="L286" s="189"/>
    </row>
    <row r="287" spans="1:14" ht="51.75" customHeight="1" x14ac:dyDescent="0.25">
      <c r="A287" s="26"/>
      <c r="B287" s="33">
        <v>11.11</v>
      </c>
      <c r="C287" s="36" t="s">
        <v>463</v>
      </c>
      <c r="D287" s="38" t="s">
        <v>34</v>
      </c>
      <c r="E287" s="43">
        <f>9.9</f>
        <v>9.9</v>
      </c>
      <c r="F287" s="119">
        <v>375240</v>
      </c>
      <c r="G287" s="35">
        <f t="shared" si="18"/>
        <v>3714876</v>
      </c>
      <c r="H287" s="27"/>
      <c r="I287" s="123"/>
      <c r="J287" s="215">
        <f>318000*1.18</f>
        <v>375240</v>
      </c>
      <c r="L287" s="189"/>
    </row>
    <row r="288" spans="1:14" ht="51.75" customHeight="1" x14ac:dyDescent="0.25">
      <c r="A288" s="26"/>
      <c r="B288" s="33">
        <v>11.12</v>
      </c>
      <c r="C288" s="36" t="s">
        <v>464</v>
      </c>
      <c r="D288" s="38" t="s">
        <v>27</v>
      </c>
      <c r="E288" s="43">
        <v>1</v>
      </c>
      <c r="F288" s="119">
        <v>345000</v>
      </c>
      <c r="G288" s="35">
        <f t="shared" si="18"/>
        <v>345000</v>
      </c>
      <c r="H288" s="27"/>
      <c r="I288" s="123"/>
      <c r="J288" s="215">
        <f>258000*1.18</f>
        <v>304440</v>
      </c>
      <c r="L288" s="189"/>
    </row>
    <row r="289" spans="1:13" ht="51.75" customHeight="1" x14ac:dyDescent="0.25">
      <c r="A289" s="26"/>
      <c r="B289" s="33">
        <v>11.13</v>
      </c>
      <c r="C289" s="219" t="s">
        <v>185</v>
      </c>
      <c r="D289" s="220" t="s">
        <v>27</v>
      </c>
      <c r="E289" s="221">
        <v>1</v>
      </c>
      <c r="F289" s="222">
        <v>305000</v>
      </c>
      <c r="G289" s="223">
        <f t="shared" si="18"/>
        <v>305000</v>
      </c>
      <c r="H289" s="27"/>
      <c r="I289" s="123"/>
      <c r="J289" s="215"/>
      <c r="L289" s="189"/>
    </row>
    <row r="290" spans="1:13" ht="51.75" customHeight="1" x14ac:dyDescent="0.25">
      <c r="A290" s="26"/>
      <c r="B290" s="33">
        <v>11.14</v>
      </c>
      <c r="C290" s="219" t="s">
        <v>466</v>
      </c>
      <c r="D290" s="220" t="s">
        <v>450</v>
      </c>
      <c r="E290" s="221">
        <v>4</v>
      </c>
      <c r="F290" s="222"/>
      <c r="G290" s="223">
        <f t="shared" si="18"/>
        <v>0</v>
      </c>
      <c r="H290" s="27"/>
      <c r="I290" s="123"/>
      <c r="J290" s="215"/>
      <c r="L290" s="189"/>
    </row>
    <row r="291" spans="1:13" ht="51.75" customHeight="1" x14ac:dyDescent="0.25">
      <c r="A291" s="26"/>
      <c r="B291" s="33">
        <v>11.15</v>
      </c>
      <c r="C291" s="219" t="s">
        <v>488</v>
      </c>
      <c r="D291" s="220" t="s">
        <v>450</v>
      </c>
      <c r="E291" s="221">
        <v>10.5</v>
      </c>
      <c r="F291" s="222">
        <v>90225</v>
      </c>
      <c r="G291" s="223">
        <f t="shared" si="18"/>
        <v>947362.5</v>
      </c>
      <c r="H291" s="27"/>
      <c r="I291" s="123"/>
      <c r="J291" s="215">
        <v>2677000</v>
      </c>
      <c r="K291" s="185">
        <f>+J291*1.18</f>
        <v>3158860</v>
      </c>
      <c r="L291" s="189"/>
    </row>
    <row r="292" spans="1:13" ht="51.75" customHeight="1" x14ac:dyDescent="0.25">
      <c r="A292" s="26"/>
      <c r="B292" s="33">
        <v>11.16</v>
      </c>
      <c r="C292" s="41" t="s">
        <v>472</v>
      </c>
      <c r="D292" s="34" t="s">
        <v>34</v>
      </c>
      <c r="E292" s="42">
        <v>8.6999999999999993</v>
      </c>
      <c r="F292" s="119">
        <f>95151+18000</f>
        <v>113151</v>
      </c>
      <c r="G292" s="35">
        <f t="shared" si="18"/>
        <v>984413.7</v>
      </c>
      <c r="H292" s="27"/>
      <c r="I292" s="123"/>
      <c r="J292" s="215">
        <f>82740*1.15</f>
        <v>95150.999999999985</v>
      </c>
      <c r="K292" s="185">
        <f>36000+60000</f>
        <v>96000</v>
      </c>
      <c r="L292" s="189">
        <f>+K292/E292</f>
        <v>11034.48275862069</v>
      </c>
      <c r="M292" s="7">
        <f>+L292*1.65</f>
        <v>18206.896551724138</v>
      </c>
    </row>
    <row r="293" spans="1:13" ht="51.75" customHeight="1" x14ac:dyDescent="0.25">
      <c r="A293" s="26"/>
      <c r="B293" s="33">
        <v>11.17</v>
      </c>
      <c r="C293" s="41" t="s">
        <v>467</v>
      </c>
      <c r="D293" s="34" t="s">
        <v>450</v>
      </c>
      <c r="E293" s="42">
        <v>1.4</v>
      </c>
      <c r="F293" s="119">
        <v>901000</v>
      </c>
      <c r="G293" s="35">
        <f t="shared" si="18"/>
        <v>1261400</v>
      </c>
      <c r="H293" s="27"/>
      <c r="I293" s="123"/>
      <c r="J293" s="215">
        <f>784000*1.15</f>
        <v>901599.99999999988</v>
      </c>
      <c r="L293" s="189"/>
    </row>
    <row r="294" spans="1:13" ht="51.75" customHeight="1" x14ac:dyDescent="0.25">
      <c r="A294" s="26"/>
      <c r="B294" s="33">
        <v>11.18</v>
      </c>
      <c r="C294" s="41" t="s">
        <v>480</v>
      </c>
      <c r="D294" s="34" t="s">
        <v>27</v>
      </c>
      <c r="E294" s="42">
        <v>1</v>
      </c>
      <c r="F294" s="119">
        <v>990000</v>
      </c>
      <c r="G294" s="35">
        <f t="shared" si="18"/>
        <v>990000</v>
      </c>
      <c r="H294" s="27"/>
      <c r="I294" s="123"/>
      <c r="J294" s="215"/>
      <c r="L294" s="189"/>
    </row>
    <row r="295" spans="1:13" ht="51.75" customHeight="1" x14ac:dyDescent="0.25">
      <c r="A295" s="26"/>
      <c r="B295" s="33">
        <v>11.19</v>
      </c>
      <c r="C295" s="41" t="s">
        <v>506</v>
      </c>
      <c r="D295" s="34" t="s">
        <v>27</v>
      </c>
      <c r="E295" s="42">
        <v>1</v>
      </c>
      <c r="F295" s="119">
        <v>3158000</v>
      </c>
      <c r="G295" s="35">
        <f t="shared" si="18"/>
        <v>3158000</v>
      </c>
      <c r="H295" s="27"/>
      <c r="I295" s="123"/>
      <c r="J295" s="215"/>
      <c r="L295" s="189"/>
    </row>
    <row r="296" spans="1:13" ht="126.75" customHeight="1" x14ac:dyDescent="0.25">
      <c r="A296" s="26"/>
      <c r="B296" s="33">
        <v>11.2</v>
      </c>
      <c r="C296" s="41" t="s">
        <v>471</v>
      </c>
      <c r="D296" s="34" t="s">
        <v>27</v>
      </c>
      <c r="E296" s="42">
        <v>13</v>
      </c>
      <c r="F296" s="119">
        <v>294362</v>
      </c>
      <c r="G296" s="35">
        <f t="shared" si="18"/>
        <v>3826706</v>
      </c>
      <c r="H296" s="27"/>
      <c r="I296" s="123"/>
      <c r="J296" s="215">
        <f>235490*1.25</f>
        <v>294362.5</v>
      </c>
      <c r="L296" s="189"/>
    </row>
    <row r="297" spans="1:13" ht="16.5" x14ac:dyDescent="0.25">
      <c r="A297" s="26"/>
      <c r="B297" s="33">
        <v>11.21</v>
      </c>
      <c r="C297" s="41" t="s">
        <v>116</v>
      </c>
      <c r="D297" s="34" t="s">
        <v>27</v>
      </c>
      <c r="E297" s="42">
        <v>2</v>
      </c>
      <c r="F297" s="119">
        <v>313458.2</v>
      </c>
      <c r="G297" s="35">
        <f t="shared" si="18"/>
        <v>626916.4</v>
      </c>
      <c r="H297" s="27"/>
      <c r="I297" s="123"/>
      <c r="J297" s="215">
        <f>21900+15000</f>
        <v>36900</v>
      </c>
      <c r="K297" s="185">
        <f>+J297*1.8</f>
        <v>66420</v>
      </c>
      <c r="L297" s="189">
        <f>77158*1.15</f>
        <v>88731.7</v>
      </c>
    </row>
    <row r="298" spans="1:13" ht="68.45" customHeight="1" x14ac:dyDescent="0.25">
      <c r="A298" s="26"/>
      <c r="B298" s="33">
        <v>11.22</v>
      </c>
      <c r="C298" s="41" t="s">
        <v>382</v>
      </c>
      <c r="D298" s="34" t="s">
        <v>27</v>
      </c>
      <c r="E298" s="42">
        <v>3</v>
      </c>
      <c r="F298" s="119">
        <v>371741</v>
      </c>
      <c r="G298" s="35">
        <f t="shared" si="18"/>
        <v>1115223</v>
      </c>
      <c r="H298" s="27"/>
      <c r="I298" s="123"/>
      <c r="J298" s="215">
        <f>297393*1.25</f>
        <v>371741.25</v>
      </c>
      <c r="L298" s="189">
        <f>90000+20000</f>
        <v>110000</v>
      </c>
      <c r="M298" s="7">
        <f>+L298*1.7</f>
        <v>187000</v>
      </c>
    </row>
    <row r="299" spans="1:13" ht="51.75" customHeight="1" x14ac:dyDescent="0.25">
      <c r="A299" s="26"/>
      <c r="B299" s="33">
        <v>11.23</v>
      </c>
      <c r="C299" s="41" t="s">
        <v>137</v>
      </c>
      <c r="D299" s="34" t="s">
        <v>34</v>
      </c>
      <c r="E299" s="42">
        <f>27.5+1.4</f>
        <v>28.9</v>
      </c>
      <c r="F299" s="119">
        <v>27730</v>
      </c>
      <c r="G299" s="35">
        <f t="shared" si="18"/>
        <v>801397</v>
      </c>
      <c r="H299" s="216"/>
      <c r="I299" s="123"/>
      <c r="J299" s="224">
        <f>20200*1.18</f>
        <v>23836</v>
      </c>
      <c r="K299" s="218">
        <f>23500*1.18</f>
        <v>27730</v>
      </c>
      <c r="L299" s="189"/>
    </row>
    <row r="300" spans="1:13" ht="51.75" customHeight="1" x14ac:dyDescent="0.25">
      <c r="A300" s="26"/>
      <c r="B300" s="33">
        <v>11.24</v>
      </c>
      <c r="C300" s="41" t="s">
        <v>470</v>
      </c>
      <c r="D300" s="34" t="s">
        <v>34</v>
      </c>
      <c r="E300" s="42">
        <f>27.5+1.4</f>
        <v>28.9</v>
      </c>
      <c r="F300" s="119">
        <v>23836</v>
      </c>
      <c r="G300" s="35">
        <f t="shared" si="18"/>
        <v>688860.4</v>
      </c>
      <c r="H300" s="216"/>
      <c r="I300" s="123"/>
      <c r="J300" s="224"/>
      <c r="K300" s="218"/>
      <c r="L300" s="189"/>
    </row>
    <row r="301" spans="1:13" ht="51.75" customHeight="1" x14ac:dyDescent="0.25">
      <c r="A301" s="26"/>
      <c r="B301" s="33">
        <v>11.26</v>
      </c>
      <c r="C301" s="41" t="s">
        <v>481</v>
      </c>
      <c r="D301" s="34" t="s">
        <v>34</v>
      </c>
      <c r="E301" s="42">
        <v>10.07</v>
      </c>
      <c r="F301" s="119">
        <f>+F287</f>
        <v>375240</v>
      </c>
      <c r="G301" s="35">
        <f t="shared" si="18"/>
        <v>3778666.8000000003</v>
      </c>
      <c r="H301" s="216"/>
      <c r="I301" s="123"/>
      <c r="J301" s="224"/>
      <c r="K301" s="218"/>
      <c r="L301" s="189"/>
    </row>
    <row r="302" spans="1:13" ht="51.75" customHeight="1" x14ac:dyDescent="0.25">
      <c r="A302" s="26"/>
      <c r="B302" s="33">
        <v>11.27</v>
      </c>
      <c r="C302" s="41" t="s">
        <v>496</v>
      </c>
      <c r="D302" s="34" t="s">
        <v>34</v>
      </c>
      <c r="E302" s="42">
        <f>2.5*2.26</f>
        <v>5.6499999999999995</v>
      </c>
      <c r="F302" s="119">
        <v>195000</v>
      </c>
      <c r="G302" s="35">
        <f t="shared" si="18"/>
        <v>1101750</v>
      </c>
      <c r="H302" s="216"/>
      <c r="I302" s="123"/>
      <c r="J302" s="224"/>
      <c r="K302" s="218"/>
      <c r="L302" s="189"/>
    </row>
    <row r="303" spans="1:13" ht="51.75" customHeight="1" x14ac:dyDescent="0.25">
      <c r="A303" s="26"/>
      <c r="B303" s="33">
        <v>11.28</v>
      </c>
      <c r="C303" s="41" t="s">
        <v>479</v>
      </c>
      <c r="D303" s="34" t="s">
        <v>48</v>
      </c>
      <c r="E303" s="42">
        <v>12.36</v>
      </c>
      <c r="F303" s="119">
        <v>57200</v>
      </c>
      <c r="G303" s="35">
        <f t="shared" si="18"/>
        <v>706992</v>
      </c>
      <c r="H303" s="27"/>
      <c r="I303" s="123" t="s">
        <v>469</v>
      </c>
      <c r="J303" s="215"/>
      <c r="K303" s="185">
        <f>469000*1.6</f>
        <v>750400</v>
      </c>
      <c r="L303" s="189"/>
    </row>
    <row r="304" spans="1:13" ht="51.75" customHeight="1" x14ac:dyDescent="0.25">
      <c r="A304" s="26"/>
      <c r="B304" s="33">
        <v>11.29</v>
      </c>
      <c r="C304" s="41" t="s">
        <v>482</v>
      </c>
      <c r="D304" s="34" t="s">
        <v>27</v>
      </c>
      <c r="E304" s="42">
        <v>1</v>
      </c>
      <c r="F304" s="119">
        <v>1650000</v>
      </c>
      <c r="G304" s="35">
        <f t="shared" si="18"/>
        <v>1650000</v>
      </c>
      <c r="H304" s="27"/>
      <c r="I304" s="123"/>
      <c r="J304" s="215">
        <v>987000</v>
      </c>
      <c r="K304" s="185">
        <f>+J304*1.18</f>
        <v>1164660</v>
      </c>
      <c r="L304" s="189"/>
    </row>
    <row r="305" spans="1:12" ht="51.75" customHeight="1" x14ac:dyDescent="0.25">
      <c r="A305" s="26"/>
      <c r="B305" s="33">
        <v>11.3</v>
      </c>
      <c r="C305" s="41" t="s">
        <v>476</v>
      </c>
      <c r="D305" s="34" t="s">
        <v>27</v>
      </c>
      <c r="E305" s="42">
        <v>2</v>
      </c>
      <c r="F305" s="119">
        <v>786400</v>
      </c>
      <c r="G305" s="35">
        <f>+E305*F305</f>
        <v>1572800</v>
      </c>
      <c r="H305" s="216"/>
      <c r="I305" s="123"/>
      <c r="J305" s="224"/>
      <c r="K305" s="218"/>
      <c r="L305" s="189"/>
    </row>
    <row r="306" spans="1:12" ht="58.5" customHeight="1" x14ac:dyDescent="0.25">
      <c r="A306" s="26"/>
      <c r="B306" s="33">
        <v>11.31</v>
      </c>
      <c r="C306" s="41" t="s">
        <v>483</v>
      </c>
      <c r="D306" s="34" t="s">
        <v>149</v>
      </c>
      <c r="E306" s="42">
        <f>0.91+(3.1*2.13)</f>
        <v>7.5129999999999999</v>
      </c>
      <c r="F306" s="119">
        <v>375822</v>
      </c>
      <c r="G306" s="35">
        <f>+E306*F306</f>
        <v>2823550.6859999998</v>
      </c>
      <c r="H306" s="216"/>
      <c r="I306" s="123"/>
      <c r="J306" s="224"/>
      <c r="K306" s="218"/>
      <c r="L306" s="189"/>
    </row>
    <row r="307" spans="1:12" ht="51.75" customHeight="1" x14ac:dyDescent="0.25">
      <c r="A307" s="26"/>
      <c r="B307" s="33">
        <v>11.32</v>
      </c>
      <c r="C307" s="41" t="s">
        <v>473</v>
      </c>
      <c r="D307" s="34" t="s">
        <v>27</v>
      </c>
      <c r="E307" s="42">
        <v>1</v>
      </c>
      <c r="F307" s="119">
        <v>1460500</v>
      </c>
      <c r="G307" s="35">
        <f>+E307*F307</f>
        <v>1460500</v>
      </c>
      <c r="H307" s="27"/>
      <c r="I307" s="123"/>
      <c r="J307" s="215">
        <f>1270000*1.15</f>
        <v>1460500</v>
      </c>
      <c r="L307" s="189"/>
    </row>
    <row r="308" spans="1:12" ht="42" customHeight="1" x14ac:dyDescent="0.25">
      <c r="A308" s="26"/>
      <c r="B308" s="33">
        <v>11.33</v>
      </c>
      <c r="C308" s="36" t="s">
        <v>445</v>
      </c>
      <c r="D308" s="38" t="s">
        <v>27</v>
      </c>
      <c r="E308" s="43">
        <v>1</v>
      </c>
      <c r="F308" s="119">
        <v>6050000</v>
      </c>
      <c r="G308" s="35">
        <f t="shared" si="18"/>
        <v>6050000</v>
      </c>
      <c r="H308" s="27"/>
      <c r="I308" s="123"/>
      <c r="J308" s="215">
        <f>40000*1.75</f>
        <v>70000</v>
      </c>
      <c r="K308" s="185">
        <f>+J308/8</f>
        <v>8750</v>
      </c>
      <c r="L308" s="189">
        <f>+K308-F308</f>
        <v>-6041250</v>
      </c>
    </row>
    <row r="309" spans="1:12" ht="51.75" customHeight="1" x14ac:dyDescent="0.25">
      <c r="A309" s="26"/>
      <c r="B309" s="33">
        <v>11.34</v>
      </c>
      <c r="C309" s="36" t="s">
        <v>446</v>
      </c>
      <c r="D309" s="38" t="s">
        <v>27</v>
      </c>
      <c r="E309" s="43">
        <v>1</v>
      </c>
      <c r="F309" s="119">
        <v>6000000</v>
      </c>
      <c r="G309" s="35">
        <f t="shared" si="18"/>
        <v>6000000</v>
      </c>
      <c r="H309" s="27"/>
      <c r="I309" s="123"/>
      <c r="J309" s="215">
        <f>75000*1.25</f>
        <v>93750</v>
      </c>
      <c r="K309" s="185">
        <v>237000</v>
      </c>
      <c r="L309" s="189">
        <f t="shared" ref="L309:L318" si="19">+K309-F309</f>
        <v>-5763000</v>
      </c>
    </row>
    <row r="310" spans="1:12" s="232" customFormat="1" ht="51.75" customHeight="1" x14ac:dyDescent="0.25">
      <c r="A310" s="226"/>
      <c r="B310" s="33">
        <v>11.35</v>
      </c>
      <c r="C310" s="41" t="s">
        <v>507</v>
      </c>
      <c r="D310" s="34" t="s">
        <v>48</v>
      </c>
      <c r="E310" s="42">
        <v>5.9</v>
      </c>
      <c r="F310" s="119">
        <v>163135</v>
      </c>
      <c r="G310" s="35">
        <f t="shared" si="18"/>
        <v>962496.5</v>
      </c>
      <c r="H310" s="227"/>
      <c r="I310" s="228"/>
      <c r="J310" s="229">
        <f>550000/5.9</f>
        <v>93220.338983050839</v>
      </c>
      <c r="K310" s="230">
        <f>+J310*1.75</f>
        <v>163135.59322033898</v>
      </c>
      <c r="L310" s="231"/>
    </row>
    <row r="311" spans="1:12" ht="46.5" customHeight="1" x14ac:dyDescent="0.25">
      <c r="A311" s="26"/>
      <c r="B311" s="33">
        <v>11.36</v>
      </c>
      <c r="C311" s="36" t="s">
        <v>508</v>
      </c>
      <c r="D311" s="38" t="s">
        <v>27</v>
      </c>
      <c r="E311" s="43">
        <v>1</v>
      </c>
      <c r="F311" s="119">
        <v>1800000</v>
      </c>
      <c r="G311" s="35">
        <f t="shared" si="18"/>
        <v>1800000</v>
      </c>
      <c r="H311" s="27"/>
      <c r="I311" s="123"/>
      <c r="J311" s="215">
        <f>+J309*0.2</f>
        <v>18750</v>
      </c>
      <c r="K311" s="185">
        <v>65000</v>
      </c>
      <c r="L311" s="189">
        <f t="shared" si="19"/>
        <v>-1735000</v>
      </c>
    </row>
    <row r="312" spans="1:12" ht="59.25" customHeight="1" x14ac:dyDescent="0.25">
      <c r="A312" s="26"/>
      <c r="B312" s="33">
        <v>11.37</v>
      </c>
      <c r="C312" s="41" t="s">
        <v>448</v>
      </c>
      <c r="D312" s="34" t="s">
        <v>27</v>
      </c>
      <c r="E312" s="42">
        <v>2</v>
      </c>
      <c r="F312" s="119">
        <v>8400000</v>
      </c>
      <c r="G312" s="35">
        <f>+E312*F312</f>
        <v>16800000</v>
      </c>
      <c r="H312" s="216"/>
      <c r="J312" s="217">
        <f>+J309*10%</f>
        <v>9375</v>
      </c>
      <c r="K312" s="218">
        <v>348000</v>
      </c>
      <c r="L312" s="189">
        <f t="shared" si="19"/>
        <v>-8052000</v>
      </c>
    </row>
    <row r="313" spans="1:12" s="232" customFormat="1" ht="66.75" customHeight="1" x14ac:dyDescent="0.25">
      <c r="A313" s="226"/>
      <c r="B313" s="245">
        <v>11.38</v>
      </c>
      <c r="C313" s="219" t="s">
        <v>514</v>
      </c>
      <c r="D313" s="220"/>
      <c r="E313" s="221"/>
      <c r="F313" s="222"/>
      <c r="G313" s="223">
        <f>+E313*F313</f>
        <v>0</v>
      </c>
      <c r="H313" s="227"/>
      <c r="I313" s="228"/>
      <c r="J313" s="229">
        <f>5120000/128</f>
        <v>40000</v>
      </c>
      <c r="K313" s="230">
        <v>462500</v>
      </c>
      <c r="L313" s="231">
        <f t="shared" si="19"/>
        <v>462500</v>
      </c>
    </row>
    <row r="314" spans="1:12" s="232" customFormat="1" ht="54.6" customHeight="1" x14ac:dyDescent="0.25">
      <c r="A314" s="226"/>
      <c r="B314" s="245">
        <v>11.39</v>
      </c>
      <c r="C314" s="219" t="s">
        <v>513</v>
      </c>
      <c r="D314" s="220" t="s">
        <v>27</v>
      </c>
      <c r="E314" s="221">
        <v>1</v>
      </c>
      <c r="F314" s="246">
        <v>2100000</v>
      </c>
      <c r="G314" s="223">
        <f>+E314*F314</f>
        <v>2100000</v>
      </c>
      <c r="H314" s="227"/>
      <c r="I314" s="247"/>
      <c r="J314" s="247">
        <f>1230000*1.7</f>
        <v>2091000</v>
      </c>
      <c r="K314" s="230">
        <v>1750000</v>
      </c>
      <c r="L314" s="231">
        <f t="shared" si="19"/>
        <v>-350000</v>
      </c>
    </row>
    <row r="315" spans="1:12" s="232" customFormat="1" ht="54.6" customHeight="1" x14ac:dyDescent="0.25">
      <c r="A315" s="226"/>
      <c r="B315" s="245">
        <v>11.4</v>
      </c>
      <c r="C315" s="219" t="s">
        <v>503</v>
      </c>
      <c r="D315" s="220"/>
      <c r="E315" s="221"/>
      <c r="F315" s="246"/>
      <c r="G315" s="223">
        <f>+E315*F315</f>
        <v>0</v>
      </c>
      <c r="H315" s="227"/>
      <c r="I315" s="228"/>
      <c r="J315" s="228"/>
      <c r="K315" s="230">
        <v>475000</v>
      </c>
      <c r="L315" s="231">
        <f t="shared" si="19"/>
        <v>475000</v>
      </c>
    </row>
    <row r="316" spans="1:12" ht="46.5" customHeight="1" x14ac:dyDescent="0.25">
      <c r="A316" s="26"/>
      <c r="B316" s="33">
        <v>11.41</v>
      </c>
      <c r="C316" s="36"/>
      <c r="D316" s="38"/>
      <c r="E316" s="107"/>
      <c r="F316" s="119"/>
      <c r="G316" s="35"/>
      <c r="H316" s="27"/>
      <c r="I316" s="123"/>
      <c r="J316" s="123"/>
      <c r="K316" s="185">
        <v>9000</v>
      </c>
      <c r="L316" s="189">
        <f t="shared" si="19"/>
        <v>9000</v>
      </c>
    </row>
    <row r="317" spans="1:12" ht="34.15" customHeight="1" x14ac:dyDescent="0.25">
      <c r="A317" s="26"/>
      <c r="B317" s="33">
        <v>11.42</v>
      </c>
      <c r="C317" s="36"/>
      <c r="D317" s="38"/>
      <c r="E317" s="43"/>
      <c r="F317" s="37"/>
      <c r="G317" s="35"/>
      <c r="H317" s="40"/>
      <c r="K317" s="185">
        <v>420000</v>
      </c>
      <c r="L317" s="189">
        <f t="shared" si="19"/>
        <v>420000</v>
      </c>
    </row>
    <row r="318" spans="1:12" ht="24" customHeight="1" x14ac:dyDescent="0.25">
      <c r="A318" s="26"/>
      <c r="B318" s="305" t="s">
        <v>492</v>
      </c>
      <c r="C318" s="306"/>
      <c r="D318" s="306"/>
      <c r="E318" s="306"/>
      <c r="F318" s="100"/>
      <c r="G318" s="101">
        <f>SUM(G277:G317)</f>
        <v>77521780.065999985</v>
      </c>
      <c r="H318" s="27"/>
      <c r="L318" s="189">
        <f t="shared" si="19"/>
        <v>0</v>
      </c>
    </row>
    <row r="319" spans="1:12" ht="23.45" customHeight="1" x14ac:dyDescent="0.25">
      <c r="A319" s="26"/>
      <c r="B319" s="28">
        <v>1</v>
      </c>
      <c r="C319" s="29" t="s">
        <v>77</v>
      </c>
      <c r="D319" s="30" t="s">
        <v>27</v>
      </c>
      <c r="E319" s="83" t="s">
        <v>28</v>
      </c>
      <c r="F319" s="30" t="s">
        <v>29</v>
      </c>
      <c r="G319" s="32" t="s">
        <v>30</v>
      </c>
      <c r="H319" s="27"/>
    </row>
    <row r="320" spans="1:12" ht="27.75" customHeight="1" x14ac:dyDescent="0.25">
      <c r="A320" s="26"/>
      <c r="B320" s="33" t="s">
        <v>31</v>
      </c>
      <c r="C320" s="36" t="s">
        <v>340</v>
      </c>
      <c r="D320" s="38" t="s">
        <v>27</v>
      </c>
      <c r="E320" s="43" t="e">
        <f>+#REF!</f>
        <v>#REF!</v>
      </c>
      <c r="F320" s="119" t="e">
        <f>+#REF!</f>
        <v>#REF!</v>
      </c>
      <c r="G320" s="35" t="e">
        <f t="shared" ref="G320:G331" si="20">+E320*F320</f>
        <v>#REF!</v>
      </c>
      <c r="H320" s="27"/>
      <c r="I320" s="123"/>
      <c r="J320" s="123"/>
      <c r="K320" s="185">
        <v>45000</v>
      </c>
      <c r="L320" s="189" t="e">
        <f>+K320-F320</f>
        <v>#REF!</v>
      </c>
    </row>
    <row r="321" spans="1:12" ht="26.25" customHeight="1" x14ac:dyDescent="0.25">
      <c r="A321" s="26"/>
      <c r="B321" s="33" t="s">
        <v>33</v>
      </c>
      <c r="C321" s="36" t="s">
        <v>341</v>
      </c>
      <c r="D321" s="38" t="s">
        <v>27</v>
      </c>
      <c r="E321" s="43" t="e">
        <f>+#REF!</f>
        <v>#REF!</v>
      </c>
      <c r="F321" s="119" t="e">
        <f>+#REF!</f>
        <v>#REF!</v>
      </c>
      <c r="G321" s="35" t="e">
        <f t="shared" si="20"/>
        <v>#REF!</v>
      </c>
      <c r="H321" s="27"/>
      <c r="I321" s="123"/>
      <c r="J321" s="123"/>
      <c r="K321" s="185">
        <v>237000</v>
      </c>
      <c r="L321" s="189" t="e">
        <f t="shared" ref="L321:L379" si="21">+K321-F321</f>
        <v>#REF!</v>
      </c>
    </row>
    <row r="322" spans="1:12" ht="27" customHeight="1" x14ac:dyDescent="0.25">
      <c r="A322" s="26"/>
      <c r="B322" s="33" t="s">
        <v>35</v>
      </c>
      <c r="C322" s="36" t="s">
        <v>342</v>
      </c>
      <c r="D322" s="38" t="s">
        <v>27</v>
      </c>
      <c r="E322" s="43" t="e">
        <f>+#REF!</f>
        <v>#REF!</v>
      </c>
      <c r="F322" s="119" t="e">
        <f>+#REF!</f>
        <v>#REF!</v>
      </c>
      <c r="G322" s="35" t="e">
        <f t="shared" si="20"/>
        <v>#REF!</v>
      </c>
      <c r="H322" s="27"/>
      <c r="I322" s="123"/>
      <c r="J322" s="123"/>
      <c r="K322" s="185">
        <v>65000</v>
      </c>
      <c r="L322" s="189" t="e">
        <f t="shared" si="21"/>
        <v>#REF!</v>
      </c>
    </row>
    <row r="323" spans="1:12" ht="34.15" customHeight="1" x14ac:dyDescent="0.25">
      <c r="A323" s="26"/>
      <c r="B323" s="33" t="s">
        <v>36</v>
      </c>
      <c r="C323" s="36" t="s">
        <v>361</v>
      </c>
      <c r="D323" s="38" t="s">
        <v>32</v>
      </c>
      <c r="E323" s="43" t="e">
        <f>+#REF!</f>
        <v>#REF!</v>
      </c>
      <c r="F323" s="119" t="e">
        <f>+#REF!</f>
        <v>#REF!</v>
      </c>
      <c r="G323" s="35" t="e">
        <f t="shared" si="20"/>
        <v>#REF!</v>
      </c>
      <c r="H323" s="27"/>
      <c r="K323" s="185">
        <v>348000</v>
      </c>
      <c r="L323" s="189" t="e">
        <f t="shared" si="21"/>
        <v>#REF!</v>
      </c>
    </row>
    <row r="324" spans="1:12" ht="29.45" customHeight="1" x14ac:dyDescent="0.25">
      <c r="A324" s="26"/>
      <c r="B324" s="33" t="s">
        <v>37</v>
      </c>
      <c r="C324" s="36" t="s">
        <v>74</v>
      </c>
      <c r="D324" s="38" t="s">
        <v>27</v>
      </c>
      <c r="E324" s="43" t="e">
        <f>+#REF!</f>
        <v>#REF!</v>
      </c>
      <c r="F324" s="119" t="e">
        <f>+#REF!</f>
        <v>#REF!</v>
      </c>
      <c r="G324" s="35" t="e">
        <f t="shared" si="20"/>
        <v>#REF!</v>
      </c>
      <c r="H324" s="27"/>
      <c r="I324" s="123"/>
      <c r="J324" s="123"/>
      <c r="K324" s="185">
        <v>1115000</v>
      </c>
      <c r="L324" s="189" t="e">
        <f t="shared" si="21"/>
        <v>#REF!</v>
      </c>
    </row>
    <row r="325" spans="1:12" ht="43.9" customHeight="1" x14ac:dyDescent="0.25">
      <c r="A325" s="26"/>
      <c r="B325" s="33" t="s">
        <v>39</v>
      </c>
      <c r="C325" s="36" t="s">
        <v>106</v>
      </c>
      <c r="D325" s="38" t="s">
        <v>27</v>
      </c>
      <c r="E325" s="43" t="e">
        <f>+#REF!</f>
        <v>#REF!</v>
      </c>
      <c r="F325" s="119" t="e">
        <f>+#REF!</f>
        <v>#REF!</v>
      </c>
      <c r="G325" s="35" t="e">
        <f t="shared" si="20"/>
        <v>#REF!</v>
      </c>
      <c r="H325" s="27"/>
      <c r="I325" s="123"/>
      <c r="J325" s="123"/>
      <c r="K325" s="185">
        <v>1120000</v>
      </c>
      <c r="L325" s="189" t="e">
        <f t="shared" si="21"/>
        <v>#REF!</v>
      </c>
    </row>
    <row r="326" spans="1:12" ht="33.75" customHeight="1" x14ac:dyDescent="0.25">
      <c r="A326" s="26"/>
      <c r="B326" s="33" t="s">
        <v>41</v>
      </c>
      <c r="C326" s="41" t="s">
        <v>399</v>
      </c>
      <c r="D326" s="38" t="s">
        <v>27</v>
      </c>
      <c r="E326" s="43" t="e">
        <f>+#REF!</f>
        <v>#REF!</v>
      </c>
      <c r="F326" s="119" t="e">
        <f>+#REF!</f>
        <v>#REF!</v>
      </c>
      <c r="G326" s="35" t="e">
        <f t="shared" si="20"/>
        <v>#REF!</v>
      </c>
      <c r="H326" s="27"/>
      <c r="I326" s="123"/>
      <c r="J326" s="123"/>
      <c r="K326" s="185">
        <v>260000</v>
      </c>
      <c r="L326" s="189" t="e">
        <f t="shared" si="21"/>
        <v>#REF!</v>
      </c>
    </row>
    <row r="327" spans="1:12" ht="66.75" customHeight="1" x14ac:dyDescent="0.25">
      <c r="A327" s="26"/>
      <c r="B327" s="33" t="s">
        <v>42</v>
      </c>
      <c r="C327" s="41" t="s">
        <v>400</v>
      </c>
      <c r="D327" s="38" t="s">
        <v>27</v>
      </c>
      <c r="E327" s="43" t="e">
        <f>+#REF!</f>
        <v>#REF!</v>
      </c>
      <c r="F327" s="119" t="e">
        <f>+#REF!</f>
        <v>#REF!</v>
      </c>
      <c r="G327" s="35" t="e">
        <f t="shared" si="20"/>
        <v>#REF!</v>
      </c>
      <c r="H327" s="27"/>
      <c r="I327" s="123"/>
      <c r="J327" s="123"/>
      <c r="K327" s="185">
        <v>462500</v>
      </c>
      <c r="L327" s="189" t="e">
        <f t="shared" si="21"/>
        <v>#REF!</v>
      </c>
    </row>
    <row r="328" spans="1:12" s="40" customFormat="1" ht="54.6" customHeight="1" x14ac:dyDescent="0.25">
      <c r="A328" s="39"/>
      <c r="B328" s="33" t="s">
        <v>44</v>
      </c>
      <c r="C328" s="36" t="s">
        <v>246</v>
      </c>
      <c r="D328" s="38" t="s">
        <v>27</v>
      </c>
      <c r="E328" s="43" t="e">
        <f>+#REF!</f>
        <v>#REF!</v>
      </c>
      <c r="F328" s="117" t="e">
        <f>+#REF!</f>
        <v>#REF!</v>
      </c>
      <c r="G328" s="35" t="e">
        <f t="shared" si="20"/>
        <v>#REF!</v>
      </c>
      <c r="H328" s="27"/>
      <c r="I328" s="159"/>
      <c r="J328" s="159"/>
      <c r="K328" s="187">
        <v>1750000</v>
      </c>
      <c r="L328" s="189" t="e">
        <f t="shared" si="21"/>
        <v>#REF!</v>
      </c>
    </row>
    <row r="329" spans="1:12" s="40" customFormat="1" ht="54.6" customHeight="1" x14ac:dyDescent="0.25">
      <c r="A329" s="39"/>
      <c r="B329" s="33" t="s">
        <v>45</v>
      </c>
      <c r="C329" s="36" t="s">
        <v>293</v>
      </c>
      <c r="D329" s="38" t="s">
        <v>27</v>
      </c>
      <c r="E329" s="43" t="e">
        <f>+#REF!</f>
        <v>#REF!</v>
      </c>
      <c r="F329" s="117" t="e">
        <f>+#REF!</f>
        <v>#REF!</v>
      </c>
      <c r="G329" s="35" t="e">
        <f t="shared" si="20"/>
        <v>#REF!</v>
      </c>
      <c r="H329" s="27"/>
      <c r="I329" s="159"/>
      <c r="J329" s="159"/>
      <c r="K329" s="187">
        <v>475000</v>
      </c>
      <c r="L329" s="189" t="e">
        <f t="shared" si="21"/>
        <v>#REF!</v>
      </c>
    </row>
    <row r="330" spans="1:12" ht="46.5" customHeight="1" x14ac:dyDescent="0.25">
      <c r="A330" s="26"/>
      <c r="B330" s="33" t="s">
        <v>46</v>
      </c>
      <c r="C330" s="36" t="s">
        <v>292</v>
      </c>
      <c r="D330" s="38" t="s">
        <v>48</v>
      </c>
      <c r="E330" s="107" t="e">
        <f>+#REF!</f>
        <v>#REF!</v>
      </c>
      <c r="F330" s="119" t="e">
        <f>+#REF!</f>
        <v>#REF!</v>
      </c>
      <c r="G330" s="35" t="e">
        <f t="shared" si="20"/>
        <v>#REF!</v>
      </c>
      <c r="H330" s="27"/>
      <c r="I330" s="123"/>
      <c r="J330" s="123"/>
      <c r="K330" s="185">
        <v>9000</v>
      </c>
      <c r="L330" s="189" t="e">
        <f t="shared" si="21"/>
        <v>#REF!</v>
      </c>
    </row>
    <row r="331" spans="1:12" ht="34.15" customHeight="1" x14ac:dyDescent="0.25">
      <c r="A331" s="26"/>
      <c r="B331" s="33" t="s">
        <v>47</v>
      </c>
      <c r="C331" s="36" t="s">
        <v>288</v>
      </c>
      <c r="D331" s="38" t="s">
        <v>32</v>
      </c>
      <c r="E331" s="43" t="e">
        <f>+#REF!</f>
        <v>#REF!</v>
      </c>
      <c r="F331" s="37" t="e">
        <f>+#REF!</f>
        <v>#REF!</v>
      </c>
      <c r="G331" s="35" t="e">
        <f t="shared" si="20"/>
        <v>#REF!</v>
      </c>
      <c r="H331" s="40"/>
      <c r="K331" s="185">
        <v>420000</v>
      </c>
      <c r="L331" s="189" t="e">
        <f t="shared" si="21"/>
        <v>#REF!</v>
      </c>
    </row>
    <row r="332" spans="1:12" ht="24" customHeight="1" x14ac:dyDescent="0.25">
      <c r="A332" s="26"/>
      <c r="B332" s="305" t="s">
        <v>437</v>
      </c>
      <c r="C332" s="306"/>
      <c r="D332" s="306"/>
      <c r="E332" s="306"/>
      <c r="F332" s="100"/>
      <c r="G332" s="101" t="e">
        <f>SUM(G320:G331)</f>
        <v>#REF!</v>
      </c>
      <c r="H332" s="27"/>
      <c r="L332" s="189">
        <f t="shared" si="21"/>
        <v>0</v>
      </c>
    </row>
    <row r="333" spans="1:12" ht="28.9" customHeight="1" x14ac:dyDescent="0.25">
      <c r="A333" s="26"/>
      <c r="B333" s="321" t="s">
        <v>111</v>
      </c>
      <c r="C333" s="322"/>
      <c r="D333" s="80"/>
      <c r="E333" s="90"/>
      <c r="F333" s="80"/>
      <c r="G333" s="81"/>
      <c r="H333" s="27"/>
      <c r="L333" s="189">
        <f t="shared" si="21"/>
        <v>0</v>
      </c>
    </row>
    <row r="334" spans="1:12" ht="24" customHeight="1" x14ac:dyDescent="0.25">
      <c r="A334" s="26"/>
      <c r="B334" s="323" t="s">
        <v>242</v>
      </c>
      <c r="C334" s="324"/>
      <c r="D334" s="111"/>
      <c r="E334" s="112"/>
      <c r="F334" s="111"/>
      <c r="G334" s="113"/>
      <c r="H334" s="27"/>
      <c r="L334" s="189">
        <f t="shared" si="21"/>
        <v>0</v>
      </c>
    </row>
    <row r="335" spans="1:12" ht="19.899999999999999" customHeight="1" x14ac:dyDescent="0.25">
      <c r="A335" s="26"/>
      <c r="B335" s="28">
        <v>3</v>
      </c>
      <c r="C335" s="29" t="s">
        <v>401</v>
      </c>
      <c r="D335" s="30" t="s">
        <v>27</v>
      </c>
      <c r="E335" s="31" t="s">
        <v>28</v>
      </c>
      <c r="F335" s="30" t="s">
        <v>29</v>
      </c>
      <c r="G335" s="32" t="s">
        <v>30</v>
      </c>
      <c r="H335" s="27"/>
      <c r="K335" s="185" t="s">
        <v>29</v>
      </c>
      <c r="L335" s="189"/>
    </row>
    <row r="336" spans="1:12" ht="36.75" customHeight="1" x14ac:dyDescent="0.25">
      <c r="A336" s="26"/>
      <c r="B336" s="33" t="s">
        <v>49</v>
      </c>
      <c r="C336" s="36" t="s">
        <v>343</v>
      </c>
      <c r="D336" s="38" t="s">
        <v>27</v>
      </c>
      <c r="E336" s="43" t="e">
        <f>+#REF!</f>
        <v>#REF!</v>
      </c>
      <c r="F336" s="119" t="e">
        <f>+#REF!</f>
        <v>#REF!</v>
      </c>
      <c r="G336" s="35" t="e">
        <f t="shared" ref="G336:G341" si="22">+E336*F336</f>
        <v>#REF!</v>
      </c>
      <c r="H336" s="27"/>
      <c r="I336" s="123"/>
      <c r="J336" s="123"/>
      <c r="K336" s="185">
        <v>65000</v>
      </c>
      <c r="L336" s="189" t="e">
        <f t="shared" si="21"/>
        <v>#REF!</v>
      </c>
    </row>
    <row r="337" spans="1:12" ht="28.15" customHeight="1" x14ac:dyDescent="0.25">
      <c r="A337" s="26"/>
      <c r="B337" s="33" t="s">
        <v>51</v>
      </c>
      <c r="C337" s="36" t="s">
        <v>344</v>
      </c>
      <c r="D337" s="34" t="s">
        <v>34</v>
      </c>
      <c r="E337" s="42" t="e">
        <f>+#REF!</f>
        <v>#REF!</v>
      </c>
      <c r="F337" s="119" t="e">
        <f>+#REF!</f>
        <v>#REF!</v>
      </c>
      <c r="G337" s="35" t="e">
        <f t="shared" si="22"/>
        <v>#REF!</v>
      </c>
      <c r="H337" s="27"/>
      <c r="I337" s="123"/>
      <c r="J337" s="123"/>
      <c r="K337" s="185">
        <v>36700</v>
      </c>
      <c r="L337" s="189" t="e">
        <f t="shared" si="21"/>
        <v>#REF!</v>
      </c>
    </row>
    <row r="338" spans="1:12" ht="33" customHeight="1" x14ac:dyDescent="0.25">
      <c r="A338" s="26"/>
      <c r="B338" s="33" t="s">
        <v>52</v>
      </c>
      <c r="C338" s="36" t="s">
        <v>345</v>
      </c>
      <c r="D338" s="34" t="s">
        <v>34</v>
      </c>
      <c r="E338" s="42" t="e">
        <f>+#REF!</f>
        <v>#REF!</v>
      </c>
      <c r="F338" s="119" t="e">
        <f>+#REF!</f>
        <v>#REF!</v>
      </c>
      <c r="G338" s="35" t="e">
        <f t="shared" si="22"/>
        <v>#REF!</v>
      </c>
      <c r="H338" s="27"/>
      <c r="I338" s="123"/>
      <c r="J338" s="123"/>
      <c r="K338" s="185">
        <v>37200</v>
      </c>
      <c r="L338" s="189" t="e">
        <f t="shared" si="21"/>
        <v>#REF!</v>
      </c>
    </row>
    <row r="339" spans="1:12" ht="39" customHeight="1" x14ac:dyDescent="0.25">
      <c r="A339" s="26"/>
      <c r="B339" s="33" t="s">
        <v>53</v>
      </c>
      <c r="C339" s="36" t="s">
        <v>346</v>
      </c>
      <c r="D339" s="38" t="s">
        <v>27</v>
      </c>
      <c r="E339" s="42" t="e">
        <f>+#REF!</f>
        <v>#REF!</v>
      </c>
      <c r="F339" s="37" t="e">
        <f>+#REF!</f>
        <v>#REF!</v>
      </c>
      <c r="G339" s="35" t="e">
        <f t="shared" si="22"/>
        <v>#REF!</v>
      </c>
      <c r="H339" s="27"/>
      <c r="K339" s="185">
        <v>220000</v>
      </c>
      <c r="L339" s="189" t="e">
        <f t="shared" si="21"/>
        <v>#REF!</v>
      </c>
    </row>
    <row r="340" spans="1:12" ht="34.5" customHeight="1" x14ac:dyDescent="0.25">
      <c r="A340" s="26"/>
      <c r="B340" s="33" t="s">
        <v>54</v>
      </c>
      <c r="C340" s="36" t="s">
        <v>347</v>
      </c>
      <c r="D340" s="38" t="s">
        <v>27</v>
      </c>
      <c r="E340" s="42" t="e">
        <f>+#REF!</f>
        <v>#REF!</v>
      </c>
      <c r="F340" s="119" t="e">
        <f>+#REF!</f>
        <v>#REF!</v>
      </c>
      <c r="G340" s="35" t="e">
        <f t="shared" si="22"/>
        <v>#REF!</v>
      </c>
      <c r="H340" s="27"/>
      <c r="I340" s="123"/>
      <c r="J340" s="123"/>
      <c r="K340" s="185">
        <v>45000</v>
      </c>
      <c r="L340" s="189" t="e">
        <f t="shared" si="21"/>
        <v>#REF!</v>
      </c>
    </row>
    <row r="341" spans="1:12" ht="30.75" customHeight="1" x14ac:dyDescent="0.25">
      <c r="A341" s="26"/>
      <c r="B341" s="33" t="s">
        <v>173</v>
      </c>
      <c r="C341" s="36" t="s">
        <v>348</v>
      </c>
      <c r="D341" s="38" t="s">
        <v>27</v>
      </c>
      <c r="E341" s="42" t="e">
        <f>+#REF!</f>
        <v>#REF!</v>
      </c>
      <c r="F341" s="37" t="e">
        <f>+#REF!</f>
        <v>#REF!</v>
      </c>
      <c r="G341" s="35" t="e">
        <f t="shared" si="22"/>
        <v>#REF!</v>
      </c>
      <c r="H341" s="27"/>
      <c r="K341" s="185">
        <v>190000</v>
      </c>
      <c r="L341" s="189" t="e">
        <f t="shared" si="21"/>
        <v>#REF!</v>
      </c>
    </row>
    <row r="342" spans="1:12" ht="31.5" customHeight="1" x14ac:dyDescent="0.25">
      <c r="A342" s="26"/>
      <c r="B342" s="28">
        <v>4</v>
      </c>
      <c r="C342" s="105" t="s">
        <v>402</v>
      </c>
      <c r="D342" s="30" t="s">
        <v>27</v>
      </c>
      <c r="E342" s="83" t="s">
        <v>28</v>
      </c>
      <c r="F342" s="30" t="s">
        <v>29</v>
      </c>
      <c r="G342" s="32" t="s">
        <v>30</v>
      </c>
      <c r="H342" s="27"/>
      <c r="K342" s="185" t="s">
        <v>29</v>
      </c>
      <c r="L342" s="189"/>
    </row>
    <row r="343" spans="1:12" ht="45" customHeight="1" x14ac:dyDescent="0.25">
      <c r="A343" s="26"/>
      <c r="B343" s="33" t="s">
        <v>55</v>
      </c>
      <c r="C343" s="36" t="s">
        <v>147</v>
      </c>
      <c r="D343" s="38" t="s">
        <v>32</v>
      </c>
      <c r="E343" s="42" t="e">
        <f>+#REF!</f>
        <v>#REF!</v>
      </c>
      <c r="F343" s="119" t="e">
        <f>+#REF!</f>
        <v>#REF!</v>
      </c>
      <c r="G343" s="35" t="e">
        <f t="shared" ref="G343:G358" si="23">+E343*F343</f>
        <v>#REF!</v>
      </c>
      <c r="H343" s="27"/>
      <c r="I343" s="123"/>
      <c r="J343" s="123"/>
      <c r="K343" s="185">
        <v>395800</v>
      </c>
      <c r="L343" s="189" t="e">
        <f t="shared" si="21"/>
        <v>#REF!</v>
      </c>
    </row>
    <row r="344" spans="1:12" ht="31.15" customHeight="1" x14ac:dyDescent="0.25">
      <c r="A344" s="26"/>
      <c r="B344" s="33" t="s">
        <v>56</v>
      </c>
      <c r="C344" s="36" t="s">
        <v>170</v>
      </c>
      <c r="D344" s="38" t="s">
        <v>171</v>
      </c>
      <c r="E344" s="42" t="e">
        <f>+#REF!</f>
        <v>#REF!</v>
      </c>
      <c r="F344" s="119" t="e">
        <f>+#REF!</f>
        <v>#REF!</v>
      </c>
      <c r="G344" s="35" t="e">
        <f t="shared" si="23"/>
        <v>#REF!</v>
      </c>
      <c r="H344" s="27"/>
      <c r="I344" s="123"/>
      <c r="J344" s="123"/>
      <c r="K344" s="185">
        <v>195800</v>
      </c>
      <c r="L344" s="189" t="e">
        <f t="shared" si="21"/>
        <v>#REF!</v>
      </c>
    </row>
    <row r="345" spans="1:12" ht="27.6" customHeight="1" x14ac:dyDescent="0.25">
      <c r="A345" s="26"/>
      <c r="B345" s="33" t="s">
        <v>57</v>
      </c>
      <c r="C345" s="36" t="s">
        <v>50</v>
      </c>
      <c r="D345" s="38" t="s">
        <v>34</v>
      </c>
      <c r="E345" s="42" t="e">
        <f>+#REF!</f>
        <v>#REF!</v>
      </c>
      <c r="F345" s="119" t="e">
        <f>+#REF!</f>
        <v>#REF!</v>
      </c>
      <c r="G345" s="35" t="e">
        <f t="shared" si="23"/>
        <v>#REF!</v>
      </c>
      <c r="H345" s="27"/>
      <c r="I345" s="123"/>
      <c r="J345" s="123"/>
      <c r="K345" s="185">
        <v>144700</v>
      </c>
      <c r="L345" s="189" t="e">
        <f t="shared" si="21"/>
        <v>#REF!</v>
      </c>
    </row>
    <row r="346" spans="1:12" s="40" customFormat="1" ht="27.6" customHeight="1" x14ac:dyDescent="0.25">
      <c r="A346" s="39"/>
      <c r="B346" s="33" t="s">
        <v>58</v>
      </c>
      <c r="C346" s="36" t="s">
        <v>287</v>
      </c>
      <c r="D346" s="38" t="s">
        <v>27</v>
      </c>
      <c r="E346" s="43" t="e">
        <f>+#REF!</f>
        <v>#REF!</v>
      </c>
      <c r="F346" s="158" t="e">
        <f>+#REF!</f>
        <v>#REF!</v>
      </c>
      <c r="G346" s="35" t="e">
        <f t="shared" si="23"/>
        <v>#REF!</v>
      </c>
      <c r="H346" s="27"/>
      <c r="I346" s="124"/>
      <c r="J346" s="124"/>
      <c r="K346" s="187">
        <v>820000</v>
      </c>
      <c r="L346" s="189" t="e">
        <f t="shared" si="21"/>
        <v>#REF!</v>
      </c>
    </row>
    <row r="347" spans="1:12" s="40" customFormat="1" ht="27.6" customHeight="1" x14ac:dyDescent="0.25">
      <c r="A347" s="39"/>
      <c r="B347" s="33" t="s">
        <v>160</v>
      </c>
      <c r="C347" s="36" t="s">
        <v>286</v>
      </c>
      <c r="D347" s="38" t="s">
        <v>48</v>
      </c>
      <c r="E347" s="43" t="e">
        <f>+#REF!</f>
        <v>#REF!</v>
      </c>
      <c r="F347" s="126" t="e">
        <f>+#REF!</f>
        <v>#REF!</v>
      </c>
      <c r="G347" s="35" t="e">
        <f t="shared" si="23"/>
        <v>#REF!</v>
      </c>
      <c r="H347" s="27"/>
      <c r="I347" s="123"/>
      <c r="J347" s="123"/>
      <c r="K347" s="185">
        <v>785000</v>
      </c>
      <c r="L347" s="189" t="e">
        <f t="shared" si="21"/>
        <v>#REF!</v>
      </c>
    </row>
    <row r="348" spans="1:12" s="40" customFormat="1" ht="44.45" customHeight="1" x14ac:dyDescent="0.25">
      <c r="A348" s="39"/>
      <c r="B348" s="116" t="s">
        <v>161</v>
      </c>
      <c r="C348" s="36" t="s">
        <v>119</v>
      </c>
      <c r="D348" s="38" t="s">
        <v>34</v>
      </c>
      <c r="E348" s="43" t="e">
        <f>+#REF!</f>
        <v>#REF!</v>
      </c>
      <c r="F348" s="117" t="e">
        <f>+#REF!</f>
        <v>#REF!</v>
      </c>
      <c r="G348" s="35" t="e">
        <f t="shared" si="23"/>
        <v>#REF!</v>
      </c>
      <c r="H348" s="27"/>
      <c r="I348" s="124"/>
      <c r="J348" s="124"/>
      <c r="K348" s="187">
        <v>128400</v>
      </c>
      <c r="L348" s="189" t="e">
        <f t="shared" si="21"/>
        <v>#REF!</v>
      </c>
    </row>
    <row r="349" spans="1:12" ht="47.25" customHeight="1" x14ac:dyDescent="0.25">
      <c r="A349" s="26"/>
      <c r="B349" s="33" t="s">
        <v>162</v>
      </c>
      <c r="C349" s="36" t="s">
        <v>282</v>
      </c>
      <c r="D349" s="38" t="s">
        <v>48</v>
      </c>
      <c r="E349" s="42" t="e">
        <f>+#REF!</f>
        <v>#REF!</v>
      </c>
      <c r="F349" s="37" t="e">
        <f>+#REF!</f>
        <v>#REF!</v>
      </c>
      <c r="G349" s="35" t="e">
        <f t="shared" si="23"/>
        <v>#REF!</v>
      </c>
      <c r="H349" s="27"/>
      <c r="K349" s="185">
        <v>41900</v>
      </c>
      <c r="L349" s="189" t="e">
        <f t="shared" si="21"/>
        <v>#REF!</v>
      </c>
    </row>
    <row r="350" spans="1:12" ht="31.9" customHeight="1" x14ac:dyDescent="0.25">
      <c r="A350" s="26"/>
      <c r="B350" s="33" t="s">
        <v>163</v>
      </c>
      <c r="C350" s="36" t="s">
        <v>181</v>
      </c>
      <c r="D350" s="38" t="s">
        <v>34</v>
      </c>
      <c r="E350" s="42" t="e">
        <f>+#REF!</f>
        <v>#REF!</v>
      </c>
      <c r="F350" s="119" t="e">
        <f>+#REF!</f>
        <v>#REF!</v>
      </c>
      <c r="G350" s="35" t="e">
        <f t="shared" si="23"/>
        <v>#REF!</v>
      </c>
      <c r="H350" s="27"/>
      <c r="I350" s="123"/>
      <c r="J350" s="123"/>
      <c r="K350" s="185">
        <v>123700</v>
      </c>
      <c r="L350" s="189" t="e">
        <f t="shared" si="21"/>
        <v>#REF!</v>
      </c>
    </row>
    <row r="351" spans="1:12" ht="33.6" customHeight="1" x14ac:dyDescent="0.25">
      <c r="A351" s="26"/>
      <c r="B351" s="33" t="s">
        <v>164</v>
      </c>
      <c r="C351" s="36" t="s">
        <v>256</v>
      </c>
      <c r="D351" s="102" t="s">
        <v>32</v>
      </c>
      <c r="E351" s="42" t="e">
        <f>+#REF!</f>
        <v>#REF!</v>
      </c>
      <c r="F351" s="37" t="e">
        <f>+#REF!</f>
        <v>#REF!</v>
      </c>
      <c r="G351" s="35" t="e">
        <f t="shared" si="23"/>
        <v>#REF!</v>
      </c>
      <c r="H351" s="27"/>
      <c r="K351" s="185">
        <v>280000</v>
      </c>
      <c r="L351" s="189" t="e">
        <f t="shared" si="21"/>
        <v>#REF!</v>
      </c>
    </row>
    <row r="352" spans="1:12" s="40" customFormat="1" ht="39.6" customHeight="1" x14ac:dyDescent="0.25">
      <c r="A352" s="39"/>
      <c r="B352" s="33" t="s">
        <v>165</v>
      </c>
      <c r="C352" s="36" t="s">
        <v>108</v>
      </c>
      <c r="D352" s="38" t="s">
        <v>48</v>
      </c>
      <c r="E352" s="43" t="e">
        <f>+#REF!</f>
        <v>#REF!</v>
      </c>
      <c r="F352" s="117" t="e">
        <f>+#REF!</f>
        <v>#REF!</v>
      </c>
      <c r="G352" s="35" t="e">
        <f t="shared" si="23"/>
        <v>#REF!</v>
      </c>
      <c r="H352" s="27"/>
      <c r="I352" s="159"/>
      <c r="J352" s="159"/>
      <c r="K352" s="187">
        <v>385000</v>
      </c>
      <c r="L352" s="189" t="e">
        <f t="shared" si="21"/>
        <v>#REF!</v>
      </c>
    </row>
    <row r="353" spans="1:12" ht="43.15" customHeight="1" x14ac:dyDescent="0.25">
      <c r="A353" s="26"/>
      <c r="B353" s="33" t="s">
        <v>166</v>
      </c>
      <c r="C353" s="36" t="s">
        <v>179</v>
      </c>
      <c r="D353" s="102" t="s">
        <v>27</v>
      </c>
      <c r="E353" s="42" t="e">
        <f>+#REF!</f>
        <v>#REF!</v>
      </c>
      <c r="F353" s="37" t="e">
        <f>+#REF!</f>
        <v>#REF!</v>
      </c>
      <c r="G353" s="35" t="e">
        <f t="shared" si="23"/>
        <v>#REF!</v>
      </c>
      <c r="H353" s="27"/>
      <c r="K353" s="185">
        <v>620000</v>
      </c>
      <c r="L353" s="189" t="e">
        <f t="shared" si="21"/>
        <v>#REF!</v>
      </c>
    </row>
    <row r="354" spans="1:12" x14ac:dyDescent="0.25">
      <c r="A354" s="26"/>
      <c r="B354" s="33" t="s">
        <v>167</v>
      </c>
      <c r="C354" s="36" t="s">
        <v>168</v>
      </c>
      <c r="D354" s="102" t="s">
        <v>27</v>
      </c>
      <c r="E354" s="42" t="e">
        <f>+#REF!</f>
        <v>#REF!</v>
      </c>
      <c r="F354" s="37" t="e">
        <f>+#REF!</f>
        <v>#REF!</v>
      </c>
      <c r="G354" s="35" t="e">
        <f t="shared" si="23"/>
        <v>#REF!</v>
      </c>
      <c r="H354" s="27"/>
      <c r="I354" s="123"/>
      <c r="J354" s="123"/>
      <c r="K354" s="185">
        <v>216000</v>
      </c>
      <c r="L354" s="189" t="e">
        <f t="shared" si="21"/>
        <v>#REF!</v>
      </c>
    </row>
    <row r="355" spans="1:12" s="40" customFormat="1" ht="39.6" customHeight="1" x14ac:dyDescent="0.25">
      <c r="A355" s="39"/>
      <c r="B355" s="33" t="s">
        <v>169</v>
      </c>
      <c r="C355" s="36" t="s">
        <v>172</v>
      </c>
      <c r="D355" s="38" t="s">
        <v>27</v>
      </c>
      <c r="E355" s="43" t="e">
        <f>+#REF!</f>
        <v>#REF!</v>
      </c>
      <c r="F355" s="117" t="e">
        <f>+#REF!</f>
        <v>#REF!</v>
      </c>
      <c r="G355" s="35" t="e">
        <f t="shared" si="23"/>
        <v>#REF!</v>
      </c>
      <c r="H355" s="27"/>
      <c r="I355" s="159"/>
      <c r="J355" s="159"/>
      <c r="K355" s="187">
        <v>375000</v>
      </c>
      <c r="L355" s="189" t="e">
        <f t="shared" si="21"/>
        <v>#REF!</v>
      </c>
    </row>
    <row r="356" spans="1:12" s="40" customFormat="1" ht="63" customHeight="1" x14ac:dyDescent="0.25">
      <c r="A356" s="39"/>
      <c r="B356" s="33" t="s">
        <v>180</v>
      </c>
      <c r="C356" s="36" t="s">
        <v>249</v>
      </c>
      <c r="D356" s="38" t="s">
        <v>27</v>
      </c>
      <c r="E356" s="43" t="e">
        <f>+#REF!</f>
        <v>#REF!</v>
      </c>
      <c r="F356" s="117" t="e">
        <f>+#REF!</f>
        <v>#REF!</v>
      </c>
      <c r="G356" s="35" t="e">
        <f t="shared" si="23"/>
        <v>#REF!</v>
      </c>
      <c r="H356" s="27"/>
      <c r="I356" s="159"/>
      <c r="J356" s="159"/>
      <c r="K356" s="187">
        <v>220000</v>
      </c>
      <c r="L356" s="189" t="e">
        <f t="shared" si="21"/>
        <v>#REF!</v>
      </c>
    </row>
    <row r="357" spans="1:12" s="40" customFormat="1" ht="47.25" customHeight="1" x14ac:dyDescent="0.25">
      <c r="A357" s="39"/>
      <c r="B357" s="33" t="s">
        <v>257</v>
      </c>
      <c r="C357" s="36" t="s">
        <v>186</v>
      </c>
      <c r="D357" s="38" t="s">
        <v>48</v>
      </c>
      <c r="E357" s="43" t="e">
        <f>+#REF!</f>
        <v>#REF!</v>
      </c>
      <c r="F357" s="117" t="e">
        <f>+#REF!</f>
        <v>#REF!</v>
      </c>
      <c r="G357" s="35" t="e">
        <f t="shared" si="23"/>
        <v>#REF!</v>
      </c>
      <c r="H357" s="27"/>
      <c r="I357" s="159"/>
      <c r="J357" s="159"/>
      <c r="K357" s="187">
        <v>1456000</v>
      </c>
      <c r="L357" s="189" t="e">
        <f t="shared" si="21"/>
        <v>#REF!</v>
      </c>
    </row>
    <row r="358" spans="1:12" s="40" customFormat="1" ht="46.5" customHeight="1" x14ac:dyDescent="0.25">
      <c r="A358" s="39"/>
      <c r="B358" s="33" t="s">
        <v>281</v>
      </c>
      <c r="C358" s="36" t="s">
        <v>250</v>
      </c>
      <c r="D358" s="38" t="s">
        <v>27</v>
      </c>
      <c r="E358" s="43" t="e">
        <f>+#REF!</f>
        <v>#REF!</v>
      </c>
      <c r="F358" s="117" t="e">
        <f>+#REF!</f>
        <v>#REF!</v>
      </c>
      <c r="G358" s="35" t="e">
        <f t="shared" si="23"/>
        <v>#REF!</v>
      </c>
      <c r="H358" s="27"/>
      <c r="I358" s="159"/>
      <c r="J358" s="159"/>
      <c r="K358" s="187">
        <v>950000</v>
      </c>
      <c r="L358" s="189" t="e">
        <f t="shared" si="21"/>
        <v>#REF!</v>
      </c>
    </row>
    <row r="359" spans="1:12" ht="34.15" customHeight="1" x14ac:dyDescent="0.25">
      <c r="A359" s="26"/>
      <c r="B359" s="28">
        <v>5</v>
      </c>
      <c r="C359" s="105" t="s">
        <v>403</v>
      </c>
      <c r="D359" s="30" t="s">
        <v>27</v>
      </c>
      <c r="E359" s="83" t="s">
        <v>28</v>
      </c>
      <c r="F359" s="30" t="s">
        <v>29</v>
      </c>
      <c r="G359" s="32" t="s">
        <v>30</v>
      </c>
      <c r="H359" s="27"/>
      <c r="K359" s="185" t="s">
        <v>29</v>
      </c>
      <c r="L359" s="189"/>
    </row>
    <row r="360" spans="1:12" ht="97.5" customHeight="1" x14ac:dyDescent="0.25">
      <c r="A360" s="26"/>
      <c r="B360" s="33" t="s">
        <v>59</v>
      </c>
      <c r="C360" s="36" t="s">
        <v>349</v>
      </c>
      <c r="D360" s="102" t="s">
        <v>27</v>
      </c>
      <c r="E360" s="42" t="e">
        <f>+#REF!</f>
        <v>#REF!</v>
      </c>
      <c r="F360" s="119" t="e">
        <f>+#REF!</f>
        <v>#REF!</v>
      </c>
      <c r="G360" s="35" t="e">
        <f>+E360*F360</f>
        <v>#REF!</v>
      </c>
      <c r="H360" s="27"/>
      <c r="I360" s="123"/>
      <c r="J360" s="123"/>
      <c r="K360" s="185">
        <v>235700</v>
      </c>
      <c r="L360" s="189" t="e">
        <f t="shared" si="21"/>
        <v>#REF!</v>
      </c>
    </row>
    <row r="361" spans="1:12" ht="30" customHeight="1" x14ac:dyDescent="0.25">
      <c r="A361" s="26"/>
      <c r="B361" s="33" t="s">
        <v>60</v>
      </c>
      <c r="C361" s="36" t="s">
        <v>63</v>
      </c>
      <c r="D361" s="38" t="s">
        <v>27</v>
      </c>
      <c r="E361" s="42" t="e">
        <f>+#REF!</f>
        <v>#REF!</v>
      </c>
      <c r="F361" s="37" t="e">
        <f>+#REF!</f>
        <v>#REF!</v>
      </c>
      <c r="G361" s="35" t="e">
        <f>+E361*F361</f>
        <v>#REF!</v>
      </c>
      <c r="H361" s="27"/>
      <c r="I361" s="123"/>
      <c r="J361" s="123"/>
      <c r="K361" s="185">
        <v>77518</v>
      </c>
      <c r="L361" s="189" t="e">
        <f t="shared" si="21"/>
        <v>#REF!</v>
      </c>
    </row>
    <row r="362" spans="1:12" ht="31.9" customHeight="1" x14ac:dyDescent="0.25">
      <c r="A362" s="26"/>
      <c r="B362" s="28">
        <v>6</v>
      </c>
      <c r="C362" s="105" t="s">
        <v>404</v>
      </c>
      <c r="D362" s="30" t="s">
        <v>27</v>
      </c>
      <c r="E362" s="83" t="s">
        <v>28</v>
      </c>
      <c r="F362" s="30" t="s">
        <v>29</v>
      </c>
      <c r="G362" s="32" t="s">
        <v>30</v>
      </c>
      <c r="H362" s="27"/>
      <c r="K362" s="185" t="s">
        <v>29</v>
      </c>
      <c r="L362" s="189"/>
    </row>
    <row r="363" spans="1:12" ht="33.6" customHeight="1" x14ac:dyDescent="0.25">
      <c r="A363" s="26"/>
      <c r="B363" s="33" t="s">
        <v>61</v>
      </c>
      <c r="C363" s="36" t="s">
        <v>67</v>
      </c>
      <c r="D363" s="38" t="s">
        <v>48</v>
      </c>
      <c r="E363" s="42" t="e">
        <f>+#REF!</f>
        <v>#REF!</v>
      </c>
      <c r="F363" s="119" t="e">
        <f>+#REF!</f>
        <v>#REF!</v>
      </c>
      <c r="G363" s="35" t="e">
        <f t="shared" ref="G363:G373" si="24">+E363*F363</f>
        <v>#REF!</v>
      </c>
      <c r="H363" s="27"/>
      <c r="I363" s="123"/>
      <c r="J363" s="123"/>
      <c r="K363" s="185">
        <v>93695.079344938858</v>
      </c>
      <c r="L363" s="189" t="e">
        <f t="shared" si="21"/>
        <v>#REF!</v>
      </c>
    </row>
    <row r="364" spans="1:12" ht="30.6" customHeight="1" x14ac:dyDescent="0.25">
      <c r="A364" s="26"/>
      <c r="B364" s="33" t="s">
        <v>62</v>
      </c>
      <c r="C364" s="36" t="s">
        <v>68</v>
      </c>
      <c r="D364" s="38" t="s">
        <v>48</v>
      </c>
      <c r="E364" s="42" t="e">
        <f>+#REF!</f>
        <v>#REF!</v>
      </c>
      <c r="F364" s="119" t="e">
        <f>+#REF!</f>
        <v>#REF!</v>
      </c>
      <c r="G364" s="35" t="e">
        <f t="shared" si="24"/>
        <v>#REF!</v>
      </c>
      <c r="H364" s="27"/>
      <c r="I364" s="123"/>
      <c r="J364" s="123"/>
      <c r="K364" s="185">
        <v>75823</v>
      </c>
      <c r="L364" s="189" t="e">
        <f t="shared" si="21"/>
        <v>#REF!</v>
      </c>
    </row>
    <row r="365" spans="1:12" ht="30" customHeight="1" x14ac:dyDescent="0.25">
      <c r="A365" s="26"/>
      <c r="B365" s="33" t="s">
        <v>120</v>
      </c>
      <c r="C365" s="36" t="s">
        <v>69</v>
      </c>
      <c r="D365" s="38" t="s">
        <v>48</v>
      </c>
      <c r="E365" s="42" t="e">
        <f>+#REF!</f>
        <v>#REF!</v>
      </c>
      <c r="F365" s="119" t="e">
        <f>+#REF!</f>
        <v>#REF!</v>
      </c>
      <c r="G365" s="35" t="e">
        <f t="shared" si="24"/>
        <v>#REF!</v>
      </c>
      <c r="H365" s="27"/>
      <c r="I365" s="123"/>
      <c r="J365" s="123"/>
      <c r="K365" s="185">
        <v>53449</v>
      </c>
      <c r="L365" s="189" t="e">
        <f t="shared" si="21"/>
        <v>#REF!</v>
      </c>
    </row>
    <row r="366" spans="1:12" ht="19.899999999999999" customHeight="1" x14ac:dyDescent="0.25">
      <c r="A366" s="26"/>
      <c r="B366" s="33" t="s">
        <v>138</v>
      </c>
      <c r="C366" s="36" t="s">
        <v>70</v>
      </c>
      <c r="D366" s="38" t="s">
        <v>27</v>
      </c>
      <c r="E366" s="42" t="e">
        <f>+#REF!</f>
        <v>#REF!</v>
      </c>
      <c r="F366" s="119" t="e">
        <f>+#REF!</f>
        <v>#REF!</v>
      </c>
      <c r="G366" s="35" t="e">
        <f t="shared" si="24"/>
        <v>#REF!</v>
      </c>
      <c r="H366" s="27"/>
      <c r="I366" s="123"/>
      <c r="J366" s="123"/>
      <c r="K366" s="185">
        <v>100796</v>
      </c>
      <c r="L366" s="189" t="e">
        <f t="shared" si="21"/>
        <v>#REF!</v>
      </c>
    </row>
    <row r="367" spans="1:12" ht="28.9" customHeight="1" x14ac:dyDescent="0.25">
      <c r="A367" s="26"/>
      <c r="B367" s="33" t="s">
        <v>139</v>
      </c>
      <c r="C367" s="36" t="s">
        <v>71</v>
      </c>
      <c r="D367" s="38" t="s">
        <v>27</v>
      </c>
      <c r="E367" s="42" t="e">
        <f>+#REF!</f>
        <v>#REF!</v>
      </c>
      <c r="F367" s="119" t="e">
        <f>+#REF!</f>
        <v>#REF!</v>
      </c>
      <c r="G367" s="35" t="e">
        <f t="shared" si="24"/>
        <v>#REF!</v>
      </c>
      <c r="H367" s="27"/>
      <c r="I367" s="123"/>
      <c r="J367" s="123"/>
      <c r="K367" s="185">
        <v>145544</v>
      </c>
      <c r="L367" s="189" t="e">
        <f t="shared" si="21"/>
        <v>#REF!</v>
      </c>
    </row>
    <row r="368" spans="1:12" ht="29.45" customHeight="1" x14ac:dyDescent="0.25">
      <c r="A368" s="26"/>
      <c r="B368" s="33" t="s">
        <v>140</v>
      </c>
      <c r="C368" s="36" t="s">
        <v>72</v>
      </c>
      <c r="D368" s="38" t="s">
        <v>27</v>
      </c>
      <c r="E368" s="42" t="e">
        <f>+#REF!</f>
        <v>#REF!</v>
      </c>
      <c r="F368" s="119" t="e">
        <f>+#REF!</f>
        <v>#REF!</v>
      </c>
      <c r="G368" s="35" t="e">
        <f t="shared" si="24"/>
        <v>#REF!</v>
      </c>
      <c r="H368" s="27"/>
      <c r="I368" s="123"/>
      <c r="J368" s="123"/>
      <c r="K368" s="185">
        <v>117214.90001218913</v>
      </c>
      <c r="L368" s="189" t="e">
        <f t="shared" si="21"/>
        <v>#REF!</v>
      </c>
    </row>
    <row r="369" spans="1:20" ht="26.45" customHeight="1" x14ac:dyDescent="0.25">
      <c r="A369" s="26"/>
      <c r="B369" s="33" t="s">
        <v>141</v>
      </c>
      <c r="C369" s="36" t="s">
        <v>73</v>
      </c>
      <c r="D369" s="38" t="s">
        <v>27</v>
      </c>
      <c r="E369" s="42" t="e">
        <f>+#REF!</f>
        <v>#REF!</v>
      </c>
      <c r="F369" s="119" t="e">
        <f>+#REF!</f>
        <v>#REF!</v>
      </c>
      <c r="G369" s="35" t="e">
        <f t="shared" si="24"/>
        <v>#REF!</v>
      </c>
      <c r="H369" s="27"/>
      <c r="I369" s="123"/>
      <c r="J369" s="123"/>
      <c r="K369" s="185">
        <v>110514.00000061664</v>
      </c>
      <c r="L369" s="189" t="e">
        <f t="shared" si="21"/>
        <v>#REF!</v>
      </c>
    </row>
    <row r="370" spans="1:20" ht="29.45" customHeight="1" x14ac:dyDescent="0.25">
      <c r="A370" s="26"/>
      <c r="B370" s="33" t="s">
        <v>142</v>
      </c>
      <c r="C370" s="36" t="s">
        <v>74</v>
      </c>
      <c r="D370" s="38" t="s">
        <v>27</v>
      </c>
      <c r="E370" s="42" t="e">
        <f>+#REF!</f>
        <v>#REF!</v>
      </c>
      <c r="F370" s="119" t="e">
        <f>+#REF!</f>
        <v>#REF!</v>
      </c>
      <c r="G370" s="35" t="e">
        <f t="shared" si="24"/>
        <v>#REF!</v>
      </c>
      <c r="H370" s="27"/>
      <c r="I370" s="123"/>
      <c r="J370" s="123"/>
      <c r="K370" s="185">
        <v>1115000</v>
      </c>
      <c r="L370" s="189" t="e">
        <f t="shared" si="21"/>
        <v>#REF!</v>
      </c>
    </row>
    <row r="371" spans="1:20" ht="30.6" customHeight="1" x14ac:dyDescent="0.25">
      <c r="A371" s="26"/>
      <c r="B371" s="33" t="s">
        <v>143</v>
      </c>
      <c r="C371" s="115" t="s">
        <v>75</v>
      </c>
      <c r="D371" s="38" t="s">
        <v>27</v>
      </c>
      <c r="E371" s="42" t="e">
        <f>+#REF!</f>
        <v>#REF!</v>
      </c>
      <c r="F371" s="119" t="e">
        <f>+#REF!</f>
        <v>#REF!</v>
      </c>
      <c r="G371" s="35" t="e">
        <f t="shared" si="24"/>
        <v>#REF!</v>
      </c>
      <c r="H371" s="27"/>
      <c r="I371" s="123"/>
      <c r="J371" s="123"/>
      <c r="K371" s="185">
        <v>781960</v>
      </c>
      <c r="L371" s="189" t="e">
        <f t="shared" si="21"/>
        <v>#REF!</v>
      </c>
    </row>
    <row r="372" spans="1:20" ht="28.9" customHeight="1" x14ac:dyDescent="0.25">
      <c r="A372" s="26"/>
      <c r="B372" s="33" t="s">
        <v>144</v>
      </c>
      <c r="C372" s="36" t="s">
        <v>258</v>
      </c>
      <c r="D372" s="38" t="s">
        <v>27</v>
      </c>
      <c r="E372" s="42" t="e">
        <f>+#REF!</f>
        <v>#REF!</v>
      </c>
      <c r="F372" s="119" t="e">
        <f>+#REF!</f>
        <v>#REF!</v>
      </c>
      <c r="G372" s="35" t="e">
        <f t="shared" si="24"/>
        <v>#REF!</v>
      </c>
      <c r="H372" s="27"/>
      <c r="I372" s="123"/>
      <c r="J372" s="123"/>
      <c r="K372" s="185">
        <v>411885</v>
      </c>
      <c r="L372" s="189" t="e">
        <f t="shared" si="21"/>
        <v>#REF!</v>
      </c>
    </row>
    <row r="373" spans="1:20" ht="28.15" customHeight="1" x14ac:dyDescent="0.25">
      <c r="A373" s="26"/>
      <c r="B373" s="33" t="s">
        <v>145</v>
      </c>
      <c r="C373" s="36" t="s">
        <v>76</v>
      </c>
      <c r="D373" s="38" t="s">
        <v>27</v>
      </c>
      <c r="E373" s="42" t="e">
        <f>+#REF!</f>
        <v>#REF!</v>
      </c>
      <c r="F373" s="119" t="e">
        <f>+#REF!</f>
        <v>#REF!</v>
      </c>
      <c r="G373" s="35" t="e">
        <f t="shared" si="24"/>
        <v>#REF!</v>
      </c>
      <c r="H373" s="27"/>
      <c r="I373" s="123"/>
      <c r="J373" s="123"/>
      <c r="K373" s="185">
        <v>1559965</v>
      </c>
      <c r="L373" s="189" t="e">
        <f t="shared" si="21"/>
        <v>#REF!</v>
      </c>
    </row>
    <row r="374" spans="1:20" ht="24" customHeight="1" x14ac:dyDescent="0.25">
      <c r="A374" s="26"/>
      <c r="B374" s="335" t="s">
        <v>191</v>
      </c>
      <c r="C374" s="336"/>
      <c r="D374" s="111"/>
      <c r="E374" s="112"/>
      <c r="F374" s="111"/>
      <c r="G374" s="113"/>
      <c r="H374" s="27"/>
      <c r="L374" s="189">
        <f t="shared" si="21"/>
        <v>0</v>
      </c>
    </row>
    <row r="375" spans="1:20" ht="19.899999999999999" customHeight="1" x14ac:dyDescent="0.25">
      <c r="A375" s="26"/>
      <c r="B375" s="28">
        <v>7</v>
      </c>
      <c r="C375" s="29" t="s">
        <v>405</v>
      </c>
      <c r="D375" s="30" t="s">
        <v>27</v>
      </c>
      <c r="E375" s="83" t="s">
        <v>28</v>
      </c>
      <c r="F375" s="30" t="s">
        <v>29</v>
      </c>
      <c r="G375" s="32" t="s">
        <v>30</v>
      </c>
      <c r="H375" s="27"/>
      <c r="K375" s="185" t="s">
        <v>29</v>
      </c>
      <c r="L375" s="189"/>
    </row>
    <row r="376" spans="1:20" s="40" customFormat="1" x14ac:dyDescent="0.25">
      <c r="A376" s="39"/>
      <c r="B376" s="116" t="s">
        <v>175</v>
      </c>
      <c r="C376" s="115" t="s">
        <v>358</v>
      </c>
      <c r="D376" s="38" t="s">
        <v>34</v>
      </c>
      <c r="E376" s="43" t="e">
        <f>+#REF!</f>
        <v>#REF!</v>
      </c>
      <c r="F376" s="117" t="e">
        <f>+#REF!</f>
        <v>#REF!</v>
      </c>
      <c r="G376" s="118" t="e">
        <f t="shared" ref="G376:G393" si="25">+E376*F376</f>
        <v>#REF!</v>
      </c>
      <c r="H376" s="27"/>
      <c r="I376" s="159"/>
      <c r="J376" s="159"/>
      <c r="K376" s="187">
        <v>152350</v>
      </c>
      <c r="L376" s="189" t="e">
        <f t="shared" si="21"/>
        <v>#REF!</v>
      </c>
      <c r="Q376" s="40">
        <f>+O376*1.4</f>
        <v>0</v>
      </c>
    </row>
    <row r="377" spans="1:20" ht="79.900000000000006" customHeight="1" x14ac:dyDescent="0.25">
      <c r="A377" s="26"/>
      <c r="B377" s="116" t="s">
        <v>207</v>
      </c>
      <c r="C377" s="115" t="s">
        <v>223</v>
      </c>
      <c r="D377" s="38" t="s">
        <v>27</v>
      </c>
      <c r="E377" s="42" t="e">
        <f>+#REF!</f>
        <v>#REF!</v>
      </c>
      <c r="F377" s="37" t="e">
        <f>+#REF!</f>
        <v>#REF!</v>
      </c>
      <c r="G377" s="118" t="e">
        <f t="shared" si="25"/>
        <v>#REF!</v>
      </c>
      <c r="H377" s="27"/>
      <c r="I377" s="123"/>
      <c r="J377" s="123"/>
      <c r="K377" s="185">
        <v>9201198</v>
      </c>
      <c r="L377" s="189">
        <v>5300000</v>
      </c>
      <c r="M377" s="189">
        <f>+K377-L377</f>
        <v>3901198</v>
      </c>
      <c r="N377" s="189"/>
      <c r="O377" s="197">
        <f>+M377/L377</f>
        <v>0.73607509433962259</v>
      </c>
      <c r="P377" s="199">
        <f>+O377-1.19</f>
        <v>-0.45392490566037735</v>
      </c>
      <c r="Q377" s="7" t="e">
        <f>+F377*1.25</f>
        <v>#REF!</v>
      </c>
      <c r="R377" s="121" t="e">
        <f>+Q377*0.2</f>
        <v>#REF!</v>
      </c>
      <c r="S377" s="198" t="e">
        <f>+Q377-L377-R377-Q377*0.0883</f>
        <v>#REF!</v>
      </c>
      <c r="T377" s="199" t="e">
        <f>+S377/Q377</f>
        <v>#REF!</v>
      </c>
    </row>
    <row r="378" spans="1:20" ht="87" customHeight="1" x14ac:dyDescent="0.25">
      <c r="A378" s="26"/>
      <c r="B378" s="116" t="s">
        <v>208</v>
      </c>
      <c r="C378" s="36" t="s">
        <v>224</v>
      </c>
      <c r="D378" s="38" t="s">
        <v>27</v>
      </c>
      <c r="E378" s="42" t="e">
        <f>+#REF!</f>
        <v>#REF!</v>
      </c>
      <c r="F378" s="37" t="e">
        <f>+#REF!</f>
        <v>#REF!</v>
      </c>
      <c r="G378" s="118" t="e">
        <f t="shared" si="25"/>
        <v>#REF!</v>
      </c>
      <c r="H378" s="27"/>
      <c r="I378" s="123"/>
      <c r="J378" s="123"/>
      <c r="K378" s="185">
        <v>1372799</v>
      </c>
      <c r="L378" s="189" t="e">
        <f t="shared" si="21"/>
        <v>#REF!</v>
      </c>
    </row>
    <row r="379" spans="1:20" ht="85.15" customHeight="1" x14ac:dyDescent="0.25">
      <c r="A379" s="26"/>
      <c r="B379" s="116" t="s">
        <v>209</v>
      </c>
      <c r="C379" s="36" t="s">
        <v>225</v>
      </c>
      <c r="D379" s="38" t="s">
        <v>27</v>
      </c>
      <c r="E379" s="42" t="e">
        <f>+#REF!</f>
        <v>#REF!</v>
      </c>
      <c r="F379" s="37" t="e">
        <f>+#REF!</f>
        <v>#REF!</v>
      </c>
      <c r="G379" s="118" t="e">
        <f t="shared" si="25"/>
        <v>#REF!</v>
      </c>
      <c r="H379" s="27"/>
      <c r="I379" s="123"/>
      <c r="J379" s="123"/>
      <c r="K379" s="185">
        <v>8079175</v>
      </c>
      <c r="L379" s="189" t="e">
        <f t="shared" si="21"/>
        <v>#REF!</v>
      </c>
      <c r="P379" s="200"/>
    </row>
    <row r="380" spans="1:20" ht="78" customHeight="1" x14ac:dyDescent="0.25">
      <c r="A380" s="26"/>
      <c r="B380" s="116" t="s">
        <v>210</v>
      </c>
      <c r="C380" s="36" t="s">
        <v>227</v>
      </c>
      <c r="D380" s="38" t="s">
        <v>27</v>
      </c>
      <c r="E380" s="42" t="e">
        <f>+#REF!</f>
        <v>#REF!</v>
      </c>
      <c r="F380" s="37" t="e">
        <f>+#REF!</f>
        <v>#REF!</v>
      </c>
      <c r="G380" s="118" t="e">
        <f t="shared" si="25"/>
        <v>#REF!</v>
      </c>
      <c r="H380" s="27"/>
      <c r="I380" s="123"/>
      <c r="J380" s="123"/>
      <c r="K380" s="185">
        <v>2420664</v>
      </c>
      <c r="L380" s="189" t="e">
        <f t="shared" ref="L380:L443" si="26">+K380-F380</f>
        <v>#REF!</v>
      </c>
      <c r="P380" s="200"/>
    </row>
    <row r="381" spans="1:20" ht="80.45" customHeight="1" x14ac:dyDescent="0.25">
      <c r="A381" s="26"/>
      <c r="B381" s="116" t="s">
        <v>211</v>
      </c>
      <c r="C381" s="36" t="s">
        <v>226</v>
      </c>
      <c r="D381" s="38" t="s">
        <v>27</v>
      </c>
      <c r="E381" s="42" t="e">
        <f>+#REF!</f>
        <v>#REF!</v>
      </c>
      <c r="F381" s="37" t="e">
        <f>+#REF!</f>
        <v>#REF!</v>
      </c>
      <c r="G381" s="118" t="e">
        <f t="shared" si="25"/>
        <v>#REF!</v>
      </c>
      <c r="H381" s="27"/>
      <c r="I381" s="123"/>
      <c r="J381" s="123"/>
      <c r="K381" s="185">
        <v>6250503</v>
      </c>
      <c r="L381" s="189" t="e">
        <f t="shared" si="26"/>
        <v>#REF!</v>
      </c>
    </row>
    <row r="382" spans="1:20" ht="91.5" customHeight="1" x14ac:dyDescent="0.25">
      <c r="A382" s="26"/>
      <c r="B382" s="116" t="s">
        <v>212</v>
      </c>
      <c r="C382" s="36" t="s">
        <v>367</v>
      </c>
      <c r="D382" s="38" t="s">
        <v>27</v>
      </c>
      <c r="E382" s="42" t="e">
        <f>+#REF!</f>
        <v>#REF!</v>
      </c>
      <c r="F382" s="37" t="e">
        <f>+#REF!</f>
        <v>#REF!</v>
      </c>
      <c r="G382" s="118" t="e">
        <f t="shared" si="25"/>
        <v>#REF!</v>
      </c>
      <c r="H382" s="27"/>
      <c r="I382" s="123"/>
      <c r="J382" s="123"/>
      <c r="K382" s="185">
        <v>2504932</v>
      </c>
      <c r="L382" s="189" t="e">
        <f t="shared" si="26"/>
        <v>#REF!</v>
      </c>
    </row>
    <row r="383" spans="1:20" ht="78.599999999999994" customHeight="1" x14ac:dyDescent="0.25">
      <c r="A383" s="26"/>
      <c r="B383" s="116" t="s">
        <v>213</v>
      </c>
      <c r="C383" s="36" t="s">
        <v>228</v>
      </c>
      <c r="D383" s="38" t="s">
        <v>27</v>
      </c>
      <c r="E383" s="42" t="e">
        <f>+#REF!</f>
        <v>#REF!</v>
      </c>
      <c r="F383" s="37" t="e">
        <f>+#REF!</f>
        <v>#REF!</v>
      </c>
      <c r="G383" s="118" t="e">
        <f t="shared" si="25"/>
        <v>#REF!</v>
      </c>
      <c r="H383" s="27"/>
      <c r="I383" s="123"/>
      <c r="J383" s="123"/>
      <c r="K383" s="185">
        <v>854470</v>
      </c>
      <c r="L383" s="189" t="e">
        <f t="shared" si="26"/>
        <v>#REF!</v>
      </c>
    </row>
    <row r="384" spans="1:20" ht="60.6" customHeight="1" x14ac:dyDescent="0.25">
      <c r="A384" s="26"/>
      <c r="B384" s="116" t="s">
        <v>214</v>
      </c>
      <c r="C384" s="36" t="s">
        <v>229</v>
      </c>
      <c r="D384" s="38" t="s">
        <v>27</v>
      </c>
      <c r="E384" s="42" t="e">
        <f>+#REF!</f>
        <v>#REF!</v>
      </c>
      <c r="F384" s="37" t="e">
        <f>+#REF!</f>
        <v>#REF!</v>
      </c>
      <c r="G384" s="118" t="e">
        <f t="shared" si="25"/>
        <v>#REF!</v>
      </c>
      <c r="H384" s="27"/>
      <c r="I384" s="123"/>
      <c r="J384" s="123"/>
      <c r="K384" s="185">
        <v>1723199</v>
      </c>
      <c r="L384" s="189" t="e">
        <f t="shared" si="26"/>
        <v>#REF!</v>
      </c>
    </row>
    <row r="385" spans="1:12" ht="70.150000000000006" customHeight="1" x14ac:dyDescent="0.25">
      <c r="A385" s="26"/>
      <c r="B385" s="116" t="s">
        <v>215</v>
      </c>
      <c r="C385" s="36" t="s">
        <v>230</v>
      </c>
      <c r="D385" s="38" t="s">
        <v>27</v>
      </c>
      <c r="E385" s="42" t="e">
        <f>+#REF!</f>
        <v>#REF!</v>
      </c>
      <c r="F385" s="37" t="e">
        <f>+#REF!</f>
        <v>#REF!</v>
      </c>
      <c r="G385" s="118" t="e">
        <f t="shared" si="25"/>
        <v>#REF!</v>
      </c>
      <c r="H385" s="27"/>
      <c r="I385" s="123"/>
      <c r="J385" s="123"/>
      <c r="K385" s="185">
        <v>2014817</v>
      </c>
      <c r="L385" s="189" t="e">
        <f t="shared" si="26"/>
        <v>#REF!</v>
      </c>
    </row>
    <row r="386" spans="1:12" ht="65.45" customHeight="1" x14ac:dyDescent="0.25">
      <c r="A386" s="26"/>
      <c r="B386" s="116" t="s">
        <v>216</v>
      </c>
      <c r="C386" s="36" t="s">
        <v>231</v>
      </c>
      <c r="D386" s="38" t="s">
        <v>27</v>
      </c>
      <c r="E386" s="42" t="e">
        <f>+#REF!</f>
        <v>#REF!</v>
      </c>
      <c r="F386" s="37" t="e">
        <f>+#REF!</f>
        <v>#REF!</v>
      </c>
      <c r="G386" s="118" t="e">
        <f t="shared" si="25"/>
        <v>#REF!</v>
      </c>
      <c r="H386" s="27"/>
      <c r="I386" s="123"/>
      <c r="J386" s="123"/>
      <c r="K386" s="185">
        <v>2081094</v>
      </c>
      <c r="L386" s="189" t="e">
        <f t="shared" si="26"/>
        <v>#REF!</v>
      </c>
    </row>
    <row r="387" spans="1:12" ht="88.15" customHeight="1" x14ac:dyDescent="0.25">
      <c r="A387" s="26"/>
      <c r="B387" s="116" t="s">
        <v>217</v>
      </c>
      <c r="C387" s="36" t="s">
        <v>232</v>
      </c>
      <c r="D387" s="38" t="s">
        <v>27</v>
      </c>
      <c r="E387" s="42" t="e">
        <f>+#REF!</f>
        <v>#REF!</v>
      </c>
      <c r="F387" s="37" t="e">
        <f>+#REF!</f>
        <v>#REF!</v>
      </c>
      <c r="G387" s="118" t="e">
        <f t="shared" si="25"/>
        <v>#REF!</v>
      </c>
      <c r="H387" s="27"/>
      <c r="I387" s="123"/>
      <c r="J387" s="123"/>
      <c r="K387" s="185">
        <v>10929600</v>
      </c>
      <c r="L387" s="189" t="e">
        <f t="shared" si="26"/>
        <v>#REF!</v>
      </c>
    </row>
    <row r="388" spans="1:12" ht="88.15" customHeight="1" x14ac:dyDescent="0.25">
      <c r="A388" s="26"/>
      <c r="B388" s="116" t="s">
        <v>218</v>
      </c>
      <c r="C388" s="36" t="s">
        <v>233</v>
      </c>
      <c r="D388" s="38" t="s">
        <v>27</v>
      </c>
      <c r="E388" s="42" t="e">
        <f>+#REF!</f>
        <v>#REF!</v>
      </c>
      <c r="F388" s="37" t="e">
        <f>+#REF!</f>
        <v>#REF!</v>
      </c>
      <c r="G388" s="118" t="e">
        <f t="shared" si="25"/>
        <v>#REF!</v>
      </c>
      <c r="H388" s="27"/>
      <c r="I388" s="123"/>
      <c r="J388" s="123"/>
      <c r="K388" s="185">
        <v>12028500</v>
      </c>
      <c r="L388" s="189" t="e">
        <f t="shared" si="26"/>
        <v>#REF!</v>
      </c>
    </row>
    <row r="389" spans="1:12" ht="87" customHeight="1" x14ac:dyDescent="0.25">
      <c r="A389" s="26"/>
      <c r="B389" s="116" t="s">
        <v>219</v>
      </c>
      <c r="C389" s="36" t="s">
        <v>234</v>
      </c>
      <c r="D389" s="38" t="s">
        <v>27</v>
      </c>
      <c r="E389" s="42" t="e">
        <f>+#REF!</f>
        <v>#REF!</v>
      </c>
      <c r="F389" s="37" t="e">
        <f>+#REF!</f>
        <v>#REF!</v>
      </c>
      <c r="G389" s="118" t="e">
        <f t="shared" si="25"/>
        <v>#REF!</v>
      </c>
      <c r="H389" s="27"/>
      <c r="I389" s="123"/>
      <c r="J389" s="123"/>
      <c r="K389" s="185">
        <v>10453500</v>
      </c>
      <c r="L389" s="189" t="e">
        <f t="shared" si="26"/>
        <v>#REF!</v>
      </c>
    </row>
    <row r="390" spans="1:12" ht="87" customHeight="1" x14ac:dyDescent="0.25">
      <c r="A390" s="26"/>
      <c r="B390" s="116" t="s">
        <v>220</v>
      </c>
      <c r="C390" s="36" t="s">
        <v>235</v>
      </c>
      <c r="D390" s="38" t="s">
        <v>27</v>
      </c>
      <c r="E390" s="42" t="e">
        <f>+#REF!</f>
        <v>#REF!</v>
      </c>
      <c r="F390" s="37" t="e">
        <f>+#REF!</f>
        <v>#REF!</v>
      </c>
      <c r="G390" s="118" t="e">
        <f t="shared" si="25"/>
        <v>#REF!</v>
      </c>
      <c r="H390" s="27"/>
      <c r="I390" s="123"/>
      <c r="J390" s="123"/>
      <c r="K390" s="185">
        <v>8806500</v>
      </c>
      <c r="L390" s="189" t="e">
        <f t="shared" si="26"/>
        <v>#REF!</v>
      </c>
    </row>
    <row r="391" spans="1:12" ht="84" customHeight="1" x14ac:dyDescent="0.25">
      <c r="A391" s="26"/>
      <c r="B391" s="116" t="s">
        <v>221</v>
      </c>
      <c r="C391" s="36" t="s">
        <v>236</v>
      </c>
      <c r="D391" s="38" t="s">
        <v>27</v>
      </c>
      <c r="E391" s="42" t="e">
        <f>+#REF!</f>
        <v>#REF!</v>
      </c>
      <c r="F391" s="37" t="e">
        <f>+#REF!</f>
        <v>#REF!</v>
      </c>
      <c r="G391" s="118" t="e">
        <f t="shared" si="25"/>
        <v>#REF!</v>
      </c>
      <c r="H391" s="27"/>
      <c r="I391" s="123"/>
      <c r="J391" s="123"/>
      <c r="K391" s="185">
        <v>1166400</v>
      </c>
      <c r="L391" s="189" t="e">
        <f t="shared" si="26"/>
        <v>#REF!</v>
      </c>
    </row>
    <row r="392" spans="1:12" ht="80.45" customHeight="1" x14ac:dyDescent="0.25">
      <c r="A392" s="26"/>
      <c r="B392" s="116" t="s">
        <v>222</v>
      </c>
      <c r="C392" s="36" t="s">
        <v>237</v>
      </c>
      <c r="D392" s="38" t="s">
        <v>27</v>
      </c>
      <c r="E392" s="42" t="e">
        <f>+#REF!</f>
        <v>#REF!</v>
      </c>
      <c r="F392" s="37" t="e">
        <f>+#REF!</f>
        <v>#REF!</v>
      </c>
      <c r="G392" s="118" t="e">
        <f t="shared" si="25"/>
        <v>#REF!</v>
      </c>
      <c r="H392" s="27"/>
      <c r="I392" s="123"/>
      <c r="J392" s="123"/>
      <c r="K392" s="185">
        <v>2568000</v>
      </c>
      <c r="L392" s="189" t="e">
        <f t="shared" si="26"/>
        <v>#REF!</v>
      </c>
    </row>
    <row r="393" spans="1:12" ht="82.9" customHeight="1" x14ac:dyDescent="0.25">
      <c r="A393" s="26"/>
      <c r="B393" s="116" t="s">
        <v>350</v>
      </c>
      <c r="C393" s="36" t="s">
        <v>238</v>
      </c>
      <c r="D393" s="38" t="s">
        <v>27</v>
      </c>
      <c r="E393" s="42" t="e">
        <f>+#REF!</f>
        <v>#REF!</v>
      </c>
      <c r="F393" s="37" t="e">
        <f>+#REF!</f>
        <v>#REF!</v>
      </c>
      <c r="G393" s="118" t="e">
        <f t="shared" si="25"/>
        <v>#REF!</v>
      </c>
      <c r="H393" s="27"/>
      <c r="I393" s="123"/>
      <c r="J393" s="123"/>
      <c r="K393" s="185">
        <v>4784000</v>
      </c>
      <c r="L393" s="189" t="e">
        <f t="shared" si="26"/>
        <v>#REF!</v>
      </c>
    </row>
    <row r="394" spans="1:12" ht="24" customHeight="1" x14ac:dyDescent="0.25">
      <c r="A394" s="26"/>
      <c r="B394" s="305" t="s">
        <v>117</v>
      </c>
      <c r="C394" s="306"/>
      <c r="D394" s="306"/>
      <c r="E394" s="306"/>
      <c r="F394" s="100"/>
      <c r="G394" s="101" t="e">
        <f>SUM(G336:G393)</f>
        <v>#REF!</v>
      </c>
      <c r="H394" s="27"/>
      <c r="L394" s="189">
        <f t="shared" si="26"/>
        <v>0</v>
      </c>
    </row>
    <row r="395" spans="1:12" ht="28.9" customHeight="1" x14ac:dyDescent="0.25">
      <c r="A395" s="26"/>
      <c r="B395" s="321" t="s">
        <v>174</v>
      </c>
      <c r="C395" s="322"/>
      <c r="D395" s="80"/>
      <c r="E395" s="90"/>
      <c r="F395" s="80"/>
      <c r="G395" s="81"/>
      <c r="H395" s="27"/>
      <c r="L395" s="189">
        <f t="shared" si="26"/>
        <v>0</v>
      </c>
    </row>
    <row r="396" spans="1:12" ht="19.899999999999999" customHeight="1" x14ac:dyDescent="0.25">
      <c r="A396" s="26"/>
      <c r="B396" s="28">
        <v>8</v>
      </c>
      <c r="C396" s="29" t="s">
        <v>406</v>
      </c>
      <c r="D396" s="30" t="s">
        <v>27</v>
      </c>
      <c r="E396" s="83" t="s">
        <v>28</v>
      </c>
      <c r="F396" s="30" t="s">
        <v>29</v>
      </c>
      <c r="G396" s="32" t="s">
        <v>30</v>
      </c>
      <c r="H396" s="27"/>
      <c r="K396" s="185" t="s">
        <v>29</v>
      </c>
      <c r="L396" s="189"/>
    </row>
    <row r="397" spans="1:12" ht="28.9" customHeight="1" x14ac:dyDescent="0.25">
      <c r="A397" s="26"/>
      <c r="B397" s="33" t="s">
        <v>178</v>
      </c>
      <c r="C397" s="36" t="s">
        <v>43</v>
      </c>
      <c r="D397" s="34" t="s">
        <v>34</v>
      </c>
      <c r="E397" s="42" t="e">
        <f>+#REF!</f>
        <v>#REF!</v>
      </c>
      <c r="F397" s="119" t="e">
        <f>+#REF!</f>
        <v>#REF!</v>
      </c>
      <c r="G397" s="35" t="e">
        <f>+E397*F397</f>
        <v>#REF!</v>
      </c>
      <c r="H397" s="27"/>
      <c r="I397" s="123"/>
      <c r="J397" s="123"/>
      <c r="K397" s="185">
        <v>36700</v>
      </c>
      <c r="L397" s="189" t="e">
        <f t="shared" si="26"/>
        <v>#REF!</v>
      </c>
    </row>
    <row r="398" spans="1:12" ht="19.899999999999999" customHeight="1" x14ac:dyDescent="0.25">
      <c r="A398" s="26"/>
      <c r="B398" s="33" t="s">
        <v>182</v>
      </c>
      <c r="C398" s="36" t="s">
        <v>38</v>
      </c>
      <c r="D398" s="38" t="s">
        <v>27</v>
      </c>
      <c r="E398" s="42" t="e">
        <f>+#REF!</f>
        <v>#REF!</v>
      </c>
      <c r="F398" s="119" t="e">
        <f>+#REF!</f>
        <v>#REF!</v>
      </c>
      <c r="G398" s="35" t="e">
        <f>+E398*F398</f>
        <v>#REF!</v>
      </c>
      <c r="H398" s="27"/>
      <c r="I398" s="123"/>
      <c r="J398" s="123"/>
      <c r="K398" s="185">
        <v>45000</v>
      </c>
      <c r="L398" s="189" t="e">
        <f t="shared" si="26"/>
        <v>#REF!</v>
      </c>
    </row>
    <row r="399" spans="1:12" ht="31.15" customHeight="1" x14ac:dyDescent="0.25">
      <c r="A399" s="26"/>
      <c r="B399" s="33" t="s">
        <v>183</v>
      </c>
      <c r="C399" s="36" t="s">
        <v>177</v>
      </c>
      <c r="D399" s="38" t="s">
        <v>34</v>
      </c>
      <c r="E399" s="42" t="e">
        <f>+#REF!</f>
        <v>#REF!</v>
      </c>
      <c r="F399" s="119" t="e">
        <f>+#REF!</f>
        <v>#REF!</v>
      </c>
      <c r="G399" s="35" t="e">
        <f>+E399*F399</f>
        <v>#REF!</v>
      </c>
      <c r="H399" s="27"/>
      <c r="I399" s="177"/>
      <c r="J399" s="177"/>
      <c r="K399" s="188">
        <v>31437</v>
      </c>
      <c r="L399" s="189" t="e">
        <f t="shared" si="26"/>
        <v>#REF!</v>
      </c>
    </row>
    <row r="400" spans="1:12" ht="39" customHeight="1" x14ac:dyDescent="0.25">
      <c r="A400" s="26"/>
      <c r="B400" s="28">
        <v>9</v>
      </c>
      <c r="C400" s="105" t="s">
        <v>407</v>
      </c>
      <c r="D400" s="30" t="s">
        <v>27</v>
      </c>
      <c r="E400" s="83"/>
      <c r="F400" s="30"/>
      <c r="G400" s="32"/>
      <c r="H400" s="27"/>
      <c r="L400" s="189">
        <f t="shared" si="26"/>
        <v>0</v>
      </c>
    </row>
    <row r="401" spans="1:14" ht="66" customHeight="1" x14ac:dyDescent="0.25">
      <c r="A401" s="26"/>
      <c r="B401" s="33" t="s">
        <v>64</v>
      </c>
      <c r="C401" s="36" t="s">
        <v>289</v>
      </c>
      <c r="D401" s="38" t="s">
        <v>32</v>
      </c>
      <c r="E401" s="42" t="e">
        <f>+#REF!</f>
        <v>#REF!</v>
      </c>
      <c r="F401" s="119" t="e">
        <f>+#REF!</f>
        <v>#REF!</v>
      </c>
      <c r="G401" s="35" t="e">
        <f t="shared" ref="G401:G408" si="27">+E401*F401</f>
        <v>#REF!</v>
      </c>
      <c r="H401" s="27"/>
      <c r="K401" s="185">
        <v>489600</v>
      </c>
      <c r="L401" s="189" t="e">
        <f t="shared" si="26"/>
        <v>#REF!</v>
      </c>
      <c r="M401" s="120"/>
      <c r="N401" s="120"/>
    </row>
    <row r="402" spans="1:14" ht="97.5" customHeight="1" x14ac:dyDescent="0.25">
      <c r="A402" s="26"/>
      <c r="B402" s="33" t="s">
        <v>65</v>
      </c>
      <c r="C402" s="36" t="s">
        <v>351</v>
      </c>
      <c r="D402" s="102" t="s">
        <v>27</v>
      </c>
      <c r="E402" s="42" t="e">
        <f>+#REF!</f>
        <v>#REF!</v>
      </c>
      <c r="F402" s="119" t="e">
        <f>+#REF!</f>
        <v>#REF!</v>
      </c>
      <c r="G402" s="35" t="e">
        <f t="shared" si="27"/>
        <v>#REF!</v>
      </c>
      <c r="H402" s="27"/>
      <c r="I402" s="123"/>
      <c r="J402" s="123"/>
      <c r="K402" s="185">
        <v>235700</v>
      </c>
      <c r="L402" s="189" t="e">
        <f t="shared" si="26"/>
        <v>#REF!</v>
      </c>
    </row>
    <row r="403" spans="1:14" ht="31.15" customHeight="1" x14ac:dyDescent="0.25">
      <c r="A403" s="26"/>
      <c r="B403" s="33" t="s">
        <v>121</v>
      </c>
      <c r="C403" s="36" t="s">
        <v>63</v>
      </c>
      <c r="D403" s="38" t="s">
        <v>27</v>
      </c>
      <c r="E403" s="42" t="e">
        <f>+#REF!</f>
        <v>#REF!</v>
      </c>
      <c r="F403" s="119" t="e">
        <f>+#REF!</f>
        <v>#REF!</v>
      </c>
      <c r="G403" s="35" t="e">
        <f t="shared" si="27"/>
        <v>#REF!</v>
      </c>
      <c r="H403" s="27"/>
      <c r="I403" s="123"/>
      <c r="J403" s="123"/>
      <c r="K403" s="185">
        <v>68600</v>
      </c>
      <c r="L403" s="189" t="e">
        <f t="shared" si="26"/>
        <v>#REF!</v>
      </c>
    </row>
    <row r="404" spans="1:14" ht="19.899999999999999" customHeight="1" x14ac:dyDescent="0.25">
      <c r="A404" s="26"/>
      <c r="B404" s="33" t="s">
        <v>122</v>
      </c>
      <c r="C404" s="36" t="s">
        <v>116</v>
      </c>
      <c r="D404" s="38" t="s">
        <v>27</v>
      </c>
      <c r="E404" s="42" t="e">
        <f>+#REF!</f>
        <v>#REF!</v>
      </c>
      <c r="F404" s="119" t="e">
        <f>+#REF!</f>
        <v>#REF!</v>
      </c>
      <c r="G404" s="35" t="e">
        <f t="shared" si="27"/>
        <v>#REF!</v>
      </c>
      <c r="H404" s="27"/>
      <c r="I404" s="123"/>
      <c r="J404" s="123"/>
      <c r="K404" s="185">
        <v>285000</v>
      </c>
      <c r="L404" s="189" t="e">
        <f t="shared" si="26"/>
        <v>#REF!</v>
      </c>
    </row>
    <row r="405" spans="1:14" s="40" customFormat="1" ht="31.15" customHeight="1" x14ac:dyDescent="0.25">
      <c r="A405" s="39"/>
      <c r="B405" s="33" t="s">
        <v>123</v>
      </c>
      <c r="C405" s="36" t="s">
        <v>184</v>
      </c>
      <c r="D405" s="38" t="s">
        <v>27</v>
      </c>
      <c r="E405" s="43" t="e">
        <f>+#REF!</f>
        <v>#REF!</v>
      </c>
      <c r="F405" s="117" t="e">
        <f>+#REF!</f>
        <v>#REF!</v>
      </c>
      <c r="G405" s="35" t="e">
        <f t="shared" si="27"/>
        <v>#REF!</v>
      </c>
      <c r="H405" s="27"/>
      <c r="I405" s="159"/>
      <c r="J405" s="159"/>
      <c r="K405" s="187">
        <v>297000</v>
      </c>
      <c r="L405" s="189" t="e">
        <f t="shared" si="26"/>
        <v>#REF!</v>
      </c>
    </row>
    <row r="406" spans="1:14" ht="31.15" customHeight="1" x14ac:dyDescent="0.25">
      <c r="A406" s="26"/>
      <c r="B406" s="33" t="s">
        <v>124</v>
      </c>
      <c r="C406" s="36" t="s">
        <v>185</v>
      </c>
      <c r="D406" s="38" t="s">
        <v>27</v>
      </c>
      <c r="E406" s="42" t="e">
        <f>+#REF!</f>
        <v>#REF!</v>
      </c>
      <c r="F406" s="37" t="e">
        <f>+#REF!</f>
        <v>#REF!</v>
      </c>
      <c r="G406" s="35" t="e">
        <f t="shared" si="27"/>
        <v>#REF!</v>
      </c>
      <c r="H406" s="27"/>
      <c r="I406" s="123"/>
      <c r="J406" s="123"/>
      <c r="K406" s="185">
        <v>260000</v>
      </c>
      <c r="L406" s="189" t="e">
        <f t="shared" si="26"/>
        <v>#REF!</v>
      </c>
    </row>
    <row r="407" spans="1:14" s="40" customFormat="1" ht="31.15" customHeight="1" x14ac:dyDescent="0.25">
      <c r="A407" s="39"/>
      <c r="B407" s="33" t="s">
        <v>125</v>
      </c>
      <c r="C407" s="36" t="s">
        <v>189</v>
      </c>
      <c r="D407" s="38" t="s">
        <v>27</v>
      </c>
      <c r="E407" s="43" t="e">
        <f>+#REF!</f>
        <v>#REF!</v>
      </c>
      <c r="F407" s="126" t="e">
        <f>+#REF!</f>
        <v>#REF!</v>
      </c>
      <c r="G407" s="35" t="e">
        <f t="shared" si="27"/>
        <v>#REF!</v>
      </c>
      <c r="H407" s="27"/>
      <c r="I407" s="159"/>
      <c r="J407" s="159"/>
      <c r="K407" s="187">
        <v>420000</v>
      </c>
      <c r="L407" s="189" t="e">
        <f t="shared" si="26"/>
        <v>#REF!</v>
      </c>
    </row>
    <row r="408" spans="1:14" s="40" customFormat="1" ht="50.45" customHeight="1" x14ac:dyDescent="0.25">
      <c r="A408" s="39"/>
      <c r="B408" s="33" t="s">
        <v>126</v>
      </c>
      <c r="C408" s="36" t="s">
        <v>251</v>
      </c>
      <c r="D408" s="38" t="s">
        <v>27</v>
      </c>
      <c r="E408" s="43" t="e">
        <f>+#REF!</f>
        <v>#REF!</v>
      </c>
      <c r="F408" s="126" t="e">
        <f>+#REF!</f>
        <v>#REF!</v>
      </c>
      <c r="G408" s="35" t="e">
        <f t="shared" si="27"/>
        <v>#REF!</v>
      </c>
      <c r="H408" s="27"/>
      <c r="I408" s="159"/>
      <c r="J408" s="159"/>
      <c r="K408" s="187">
        <v>700000</v>
      </c>
      <c r="L408" s="189" t="e">
        <f t="shared" si="26"/>
        <v>#REF!</v>
      </c>
    </row>
    <row r="409" spans="1:14" ht="24" customHeight="1" x14ac:dyDescent="0.25">
      <c r="A409" s="26"/>
      <c r="B409" s="305" t="s">
        <v>176</v>
      </c>
      <c r="C409" s="306"/>
      <c r="D409" s="306"/>
      <c r="E409" s="306"/>
      <c r="F409" s="100"/>
      <c r="G409" s="101" t="e">
        <f>SUM(G397:G408)</f>
        <v>#REF!</v>
      </c>
      <c r="H409" s="27"/>
      <c r="L409" s="189">
        <f t="shared" si="26"/>
        <v>0</v>
      </c>
    </row>
    <row r="410" spans="1:14" ht="20.100000000000001" customHeight="1" x14ac:dyDescent="0.25">
      <c r="A410" s="26"/>
      <c r="B410" s="190"/>
      <c r="C410" s="82" t="s">
        <v>132</v>
      </c>
      <c r="D410" s="80"/>
      <c r="E410" s="90"/>
      <c r="F410" s="80"/>
      <c r="G410" s="81"/>
      <c r="H410" s="27"/>
      <c r="L410" s="189">
        <f t="shared" si="26"/>
        <v>0</v>
      </c>
    </row>
    <row r="411" spans="1:14" ht="22.15" customHeight="1" x14ac:dyDescent="0.25">
      <c r="A411" s="26"/>
      <c r="B411" s="28">
        <v>10</v>
      </c>
      <c r="C411" s="29" t="s">
        <v>408</v>
      </c>
      <c r="D411" s="30" t="s">
        <v>27</v>
      </c>
      <c r="E411" s="83" t="s">
        <v>28</v>
      </c>
      <c r="F411" s="30" t="s">
        <v>29</v>
      </c>
      <c r="G411" s="32" t="s">
        <v>30</v>
      </c>
      <c r="H411" s="27"/>
      <c r="K411" s="185" t="s">
        <v>29</v>
      </c>
      <c r="L411" s="189"/>
    </row>
    <row r="412" spans="1:14" ht="91.5" customHeight="1" x14ac:dyDescent="0.25">
      <c r="A412" s="26"/>
      <c r="B412" s="33" t="s">
        <v>66</v>
      </c>
      <c r="C412" s="41" t="s">
        <v>351</v>
      </c>
      <c r="D412" s="34" t="s">
        <v>27</v>
      </c>
      <c r="E412" s="42" t="e">
        <f>+#REF!</f>
        <v>#REF!</v>
      </c>
      <c r="F412" s="119" t="e">
        <f>+#REF!</f>
        <v>#REF!</v>
      </c>
      <c r="G412" s="35" t="e">
        <f>+E412*F412</f>
        <v>#REF!</v>
      </c>
      <c r="H412" s="27"/>
      <c r="I412" s="123"/>
      <c r="J412" s="123"/>
      <c r="K412" s="185">
        <v>235700</v>
      </c>
      <c r="L412" s="189" t="e">
        <f t="shared" si="26"/>
        <v>#REF!</v>
      </c>
    </row>
    <row r="413" spans="1:14" ht="77.45" customHeight="1" x14ac:dyDescent="0.25">
      <c r="A413" s="26"/>
      <c r="B413" s="33" t="s">
        <v>135</v>
      </c>
      <c r="C413" s="41" t="s">
        <v>243</v>
      </c>
      <c r="D413" s="34" t="s">
        <v>27</v>
      </c>
      <c r="E413" s="42" t="e">
        <f>+#REF!</f>
        <v>#REF!</v>
      </c>
      <c r="F413" s="119" t="e">
        <f>+#REF!</f>
        <v>#REF!</v>
      </c>
      <c r="G413" s="35" t="e">
        <f>+E413*F413</f>
        <v>#REF!</v>
      </c>
      <c r="H413" s="27"/>
      <c r="I413" s="123"/>
      <c r="J413" s="123"/>
      <c r="K413" s="185">
        <v>297755</v>
      </c>
      <c r="L413" s="189" t="e">
        <f t="shared" si="26"/>
        <v>#REF!</v>
      </c>
    </row>
    <row r="414" spans="1:14" ht="43.15" customHeight="1" x14ac:dyDescent="0.25">
      <c r="A414" s="26"/>
      <c r="B414" s="33" t="s">
        <v>136</v>
      </c>
      <c r="C414" s="41" t="s">
        <v>244</v>
      </c>
      <c r="D414" s="34" t="s">
        <v>27</v>
      </c>
      <c r="E414" s="42" t="e">
        <f>+#REF!</f>
        <v>#REF!</v>
      </c>
      <c r="F414" s="119" t="e">
        <f>+#REF!</f>
        <v>#REF!</v>
      </c>
      <c r="G414" s="35" t="e">
        <f>+E414*F414</f>
        <v>#REF!</v>
      </c>
      <c r="H414" s="27"/>
      <c r="I414" s="123"/>
      <c r="J414" s="123"/>
      <c r="K414" s="185">
        <v>43700</v>
      </c>
      <c r="L414" s="189" t="e">
        <f t="shared" si="26"/>
        <v>#REF!</v>
      </c>
    </row>
    <row r="415" spans="1:14" ht="24" customHeight="1" x14ac:dyDescent="0.25">
      <c r="A415" s="26"/>
      <c r="B415" s="305" t="s">
        <v>241</v>
      </c>
      <c r="C415" s="306"/>
      <c r="D415" s="306"/>
      <c r="E415" s="306"/>
      <c r="F415" s="100"/>
      <c r="G415" s="101" t="e">
        <f>SUM(G412:G414)</f>
        <v>#REF!</v>
      </c>
      <c r="H415" s="27"/>
      <c r="L415" s="189">
        <f t="shared" si="26"/>
        <v>0</v>
      </c>
    </row>
    <row r="416" spans="1:14" ht="20.100000000000001" customHeight="1" x14ac:dyDescent="0.25">
      <c r="A416" s="26"/>
      <c r="B416" s="190"/>
      <c r="C416" s="82" t="s">
        <v>239</v>
      </c>
      <c r="D416" s="80"/>
      <c r="E416" s="90"/>
      <c r="F416" s="80"/>
      <c r="G416" s="81"/>
      <c r="H416" s="27"/>
      <c r="L416" s="189">
        <f t="shared" si="26"/>
        <v>0</v>
      </c>
    </row>
    <row r="417" spans="1:12" ht="22.15" customHeight="1" x14ac:dyDescent="0.25">
      <c r="A417" s="26"/>
      <c r="B417" s="28">
        <v>11</v>
      </c>
      <c r="C417" s="29" t="s">
        <v>409</v>
      </c>
      <c r="D417" s="30" t="s">
        <v>27</v>
      </c>
      <c r="E417" s="83" t="s">
        <v>28</v>
      </c>
      <c r="F417" s="30" t="s">
        <v>29</v>
      </c>
      <c r="G417" s="32" t="s">
        <v>30</v>
      </c>
      <c r="H417" s="27"/>
      <c r="K417" s="185" t="s">
        <v>29</v>
      </c>
      <c r="L417" s="189"/>
    </row>
    <row r="418" spans="1:12" ht="30.6" customHeight="1" x14ac:dyDescent="0.25">
      <c r="A418" s="26"/>
      <c r="B418" s="33" t="s">
        <v>134</v>
      </c>
      <c r="C418" s="36" t="s">
        <v>352</v>
      </c>
      <c r="D418" s="34" t="s">
        <v>34</v>
      </c>
      <c r="E418" s="42" t="e">
        <f>+#REF!</f>
        <v>#REF!</v>
      </c>
      <c r="F418" s="119" t="e">
        <f>+#REF!</f>
        <v>#REF!</v>
      </c>
      <c r="G418" s="35" t="e">
        <f t="shared" ref="G418:G433" si="28">+E418*F418</f>
        <v>#REF!</v>
      </c>
      <c r="H418" s="27"/>
      <c r="I418" s="123"/>
      <c r="J418" s="123"/>
      <c r="K418" s="185">
        <v>36700</v>
      </c>
      <c r="L418" s="189" t="e">
        <f t="shared" si="26"/>
        <v>#REF!</v>
      </c>
    </row>
    <row r="419" spans="1:12" ht="21.75" customHeight="1" x14ac:dyDescent="0.25">
      <c r="A419" s="26"/>
      <c r="B419" s="33" t="s">
        <v>151</v>
      </c>
      <c r="C419" s="36" t="s">
        <v>38</v>
      </c>
      <c r="D419" s="38" t="s">
        <v>27</v>
      </c>
      <c r="E419" s="43" t="e">
        <f>+#REF!</f>
        <v>#REF!</v>
      </c>
      <c r="F419" s="119" t="e">
        <f>+#REF!</f>
        <v>#REF!</v>
      </c>
      <c r="G419" s="35" t="e">
        <f t="shared" si="28"/>
        <v>#REF!</v>
      </c>
      <c r="H419" s="27"/>
      <c r="I419" s="123"/>
      <c r="J419" s="123"/>
      <c r="K419" s="185">
        <v>45000</v>
      </c>
      <c r="L419" s="189" t="e">
        <f t="shared" si="26"/>
        <v>#REF!</v>
      </c>
    </row>
    <row r="420" spans="1:12" s="40" customFormat="1" ht="31.5" customHeight="1" x14ac:dyDescent="0.25">
      <c r="A420" s="39"/>
      <c r="B420" s="116" t="s">
        <v>152</v>
      </c>
      <c r="C420" s="36" t="s">
        <v>364</v>
      </c>
      <c r="D420" s="38" t="s">
        <v>32</v>
      </c>
      <c r="E420" s="43" t="e">
        <f>+#REF!</f>
        <v>#REF!</v>
      </c>
      <c r="F420" s="126" t="e">
        <f>+#REF!</f>
        <v>#REF!</v>
      </c>
      <c r="G420" s="35" t="e">
        <f t="shared" si="28"/>
        <v>#REF!</v>
      </c>
      <c r="H420" s="27"/>
      <c r="I420" s="124"/>
      <c r="J420" s="124"/>
      <c r="K420" s="187">
        <v>2093000</v>
      </c>
      <c r="L420" s="189" t="e">
        <f t="shared" si="26"/>
        <v>#REF!</v>
      </c>
    </row>
    <row r="421" spans="1:12" ht="36.75" customHeight="1" x14ac:dyDescent="0.25">
      <c r="A421" s="26"/>
      <c r="B421" s="33" t="s">
        <v>157</v>
      </c>
      <c r="C421" s="36" t="s">
        <v>353</v>
      </c>
      <c r="D421" s="38" t="s">
        <v>27</v>
      </c>
      <c r="E421" s="42" t="e">
        <f>+#REF!</f>
        <v>#REF!</v>
      </c>
      <c r="F421" s="37" t="e">
        <f>+#REF!</f>
        <v>#REF!</v>
      </c>
      <c r="G421" s="35" t="e">
        <f t="shared" si="28"/>
        <v>#REF!</v>
      </c>
      <c r="H421" s="27"/>
      <c r="K421" s="185">
        <v>190000</v>
      </c>
      <c r="L421" s="189" t="e">
        <f t="shared" si="26"/>
        <v>#REF!</v>
      </c>
    </row>
    <row r="422" spans="1:12" ht="96" customHeight="1" x14ac:dyDescent="0.25">
      <c r="A422" s="26"/>
      <c r="B422" s="33" t="s">
        <v>158</v>
      </c>
      <c r="C422" s="36" t="s">
        <v>291</v>
      </c>
      <c r="D422" s="38" t="s">
        <v>27</v>
      </c>
      <c r="E422" s="42" t="e">
        <f>+#REF!</f>
        <v>#REF!</v>
      </c>
      <c r="F422" s="119" t="e">
        <f>+#REF!</f>
        <v>#REF!</v>
      </c>
      <c r="G422" s="35" t="e">
        <f t="shared" si="28"/>
        <v>#REF!</v>
      </c>
      <c r="H422" s="27"/>
      <c r="I422" s="123"/>
      <c r="J422" s="123"/>
      <c r="K422" s="185">
        <v>1950000</v>
      </c>
      <c r="L422" s="189" t="e">
        <f t="shared" si="26"/>
        <v>#REF!</v>
      </c>
    </row>
    <row r="423" spans="1:12" ht="30.6" customHeight="1" x14ac:dyDescent="0.25">
      <c r="A423" s="26"/>
      <c r="B423" s="33" t="s">
        <v>196</v>
      </c>
      <c r="C423" s="36" t="s">
        <v>245</v>
      </c>
      <c r="D423" s="38" t="s">
        <v>27</v>
      </c>
      <c r="E423" s="42" t="e">
        <f>+#REF!</f>
        <v>#REF!</v>
      </c>
      <c r="F423" s="37" t="e">
        <f>+#REF!</f>
        <v>#REF!</v>
      </c>
      <c r="G423" s="35" t="e">
        <f t="shared" si="28"/>
        <v>#REF!</v>
      </c>
      <c r="H423" s="27"/>
      <c r="K423" s="185">
        <v>290000</v>
      </c>
      <c r="L423" s="189" t="e">
        <f t="shared" si="26"/>
        <v>#REF!</v>
      </c>
    </row>
    <row r="424" spans="1:12" ht="30.6" customHeight="1" x14ac:dyDescent="0.25">
      <c r="A424" s="26"/>
      <c r="B424" s="33" t="s">
        <v>197</v>
      </c>
      <c r="C424" s="36" t="s">
        <v>354</v>
      </c>
      <c r="D424" s="38" t="s">
        <v>27</v>
      </c>
      <c r="E424" s="42" t="e">
        <f>+#REF!</f>
        <v>#REF!</v>
      </c>
      <c r="F424" s="37" t="e">
        <f>+#REF!</f>
        <v>#REF!</v>
      </c>
      <c r="G424" s="35" t="e">
        <f t="shared" si="28"/>
        <v>#REF!</v>
      </c>
      <c r="H424" s="27"/>
      <c r="K424" s="185">
        <v>350000</v>
      </c>
      <c r="L424" s="189" t="e">
        <f t="shared" si="26"/>
        <v>#REF!</v>
      </c>
    </row>
    <row r="425" spans="1:12" s="40" customFormat="1" ht="61.9" customHeight="1" x14ac:dyDescent="0.25">
      <c r="A425" s="39"/>
      <c r="B425" s="33" t="s">
        <v>198</v>
      </c>
      <c r="C425" s="36" t="s">
        <v>246</v>
      </c>
      <c r="D425" s="38" t="s">
        <v>27</v>
      </c>
      <c r="E425" s="43" t="e">
        <f>+#REF!</f>
        <v>#REF!</v>
      </c>
      <c r="F425" s="117" t="e">
        <f>+#REF!</f>
        <v>#REF!</v>
      </c>
      <c r="G425" s="35" t="e">
        <f t="shared" si="28"/>
        <v>#REF!</v>
      </c>
      <c r="H425" s="27"/>
      <c r="I425" s="159"/>
      <c r="J425" s="159"/>
      <c r="K425" s="187">
        <v>1750000</v>
      </c>
      <c r="L425" s="189" t="e">
        <f t="shared" si="26"/>
        <v>#REF!</v>
      </c>
    </row>
    <row r="426" spans="1:12" s="40" customFormat="1" ht="61.9" customHeight="1" x14ac:dyDescent="0.25">
      <c r="A426" s="39"/>
      <c r="B426" s="33" t="s">
        <v>199</v>
      </c>
      <c r="C426" s="36" t="s">
        <v>113</v>
      </c>
      <c r="D426" s="38" t="s">
        <v>34</v>
      </c>
      <c r="E426" s="43" t="e">
        <f>+#REF!</f>
        <v>#REF!</v>
      </c>
      <c r="F426" s="117" t="e">
        <f>+#REF!</f>
        <v>#REF!</v>
      </c>
      <c r="G426" s="35" t="e">
        <f t="shared" si="28"/>
        <v>#REF!</v>
      </c>
      <c r="H426" s="27"/>
      <c r="I426" s="159"/>
      <c r="J426" s="159"/>
      <c r="K426" s="187">
        <v>545000</v>
      </c>
      <c r="L426" s="189" t="e">
        <f t="shared" si="26"/>
        <v>#REF!</v>
      </c>
    </row>
    <row r="427" spans="1:12" ht="30.6" customHeight="1" x14ac:dyDescent="0.25">
      <c r="A427" s="26"/>
      <c r="B427" s="33" t="s">
        <v>200</v>
      </c>
      <c r="C427" s="36" t="s">
        <v>247</v>
      </c>
      <c r="D427" s="38" t="s">
        <v>32</v>
      </c>
      <c r="E427" s="42" t="e">
        <f>+#REF!</f>
        <v>#REF!</v>
      </c>
      <c r="F427" s="37" t="e">
        <f>+#REF!</f>
        <v>#REF!</v>
      </c>
      <c r="G427" s="35" t="e">
        <f t="shared" si="28"/>
        <v>#REF!</v>
      </c>
      <c r="H427" s="27"/>
      <c r="I427" s="124"/>
      <c r="J427" s="124"/>
      <c r="K427" s="187">
        <v>350000</v>
      </c>
      <c r="L427" s="189" t="e">
        <f t="shared" si="26"/>
        <v>#REF!</v>
      </c>
    </row>
    <row r="428" spans="1:12" s="40" customFormat="1" ht="79.900000000000006" customHeight="1" x14ac:dyDescent="0.25">
      <c r="A428" s="39"/>
      <c r="B428" s="33" t="s">
        <v>201</v>
      </c>
      <c r="C428" s="36" t="s">
        <v>248</v>
      </c>
      <c r="D428" s="38" t="s">
        <v>27</v>
      </c>
      <c r="E428" s="43" t="e">
        <f>+#REF!</f>
        <v>#REF!</v>
      </c>
      <c r="F428" s="117" t="e">
        <f>+#REF!</f>
        <v>#REF!</v>
      </c>
      <c r="G428" s="35" t="e">
        <f t="shared" si="28"/>
        <v>#REF!</v>
      </c>
      <c r="H428" s="27"/>
      <c r="I428" s="159"/>
      <c r="J428" s="159"/>
      <c r="K428" s="187">
        <v>1580000</v>
      </c>
      <c r="L428" s="189" t="e">
        <f t="shared" si="26"/>
        <v>#REF!</v>
      </c>
    </row>
    <row r="429" spans="1:12" x14ac:dyDescent="0.25">
      <c r="A429" s="26"/>
      <c r="B429" s="33" t="s">
        <v>202</v>
      </c>
      <c r="C429" s="36" t="s">
        <v>185</v>
      </c>
      <c r="D429" s="38" t="s">
        <v>27</v>
      </c>
      <c r="E429" s="42" t="e">
        <f>+#REF!</f>
        <v>#REF!</v>
      </c>
      <c r="F429" s="37" t="e">
        <f>+#REF!</f>
        <v>#REF!</v>
      </c>
      <c r="G429" s="35" t="e">
        <f t="shared" si="28"/>
        <v>#REF!</v>
      </c>
      <c r="H429" s="27"/>
      <c r="I429" s="123"/>
      <c r="J429" s="123"/>
      <c r="K429" s="185">
        <v>260000</v>
      </c>
      <c r="L429" s="189" t="e">
        <f t="shared" si="26"/>
        <v>#REF!</v>
      </c>
    </row>
    <row r="430" spans="1:12" ht="100.5" customHeight="1" x14ac:dyDescent="0.25">
      <c r="A430" s="26"/>
      <c r="B430" s="33" t="s">
        <v>259</v>
      </c>
      <c r="C430" s="41" t="s">
        <v>349</v>
      </c>
      <c r="D430" s="34" t="s">
        <v>27</v>
      </c>
      <c r="E430" s="42" t="e">
        <f>+#REF!</f>
        <v>#REF!</v>
      </c>
      <c r="F430" s="119" t="e">
        <f>+#REF!</f>
        <v>#REF!</v>
      </c>
      <c r="G430" s="35" t="e">
        <f t="shared" si="28"/>
        <v>#REF!</v>
      </c>
      <c r="H430" s="27"/>
      <c r="I430" s="123"/>
      <c r="J430" s="123"/>
      <c r="K430" s="185">
        <v>235700</v>
      </c>
      <c r="L430" s="189" t="e">
        <f t="shared" si="26"/>
        <v>#REF!</v>
      </c>
    </row>
    <row r="431" spans="1:12" x14ac:dyDescent="0.25">
      <c r="A431" s="26"/>
      <c r="B431" s="33" t="s">
        <v>260</v>
      </c>
      <c r="C431" s="41" t="s">
        <v>114</v>
      </c>
      <c r="D431" s="34" t="s">
        <v>27</v>
      </c>
      <c r="E431" s="42" t="e">
        <f>+#REF!</f>
        <v>#REF!</v>
      </c>
      <c r="F431" s="119" t="e">
        <f>+#REF!</f>
        <v>#REF!</v>
      </c>
      <c r="G431" s="35" t="e">
        <f t="shared" si="28"/>
        <v>#REF!</v>
      </c>
      <c r="H431" s="27"/>
      <c r="I431" s="123"/>
      <c r="J431" s="123"/>
      <c r="K431" s="185">
        <v>105000</v>
      </c>
      <c r="L431" s="189" t="e">
        <f t="shared" si="26"/>
        <v>#REF!</v>
      </c>
    </row>
    <row r="432" spans="1:12" ht="72" customHeight="1" x14ac:dyDescent="0.25">
      <c r="A432" s="26"/>
      <c r="B432" s="33" t="s">
        <v>261</v>
      </c>
      <c r="C432" s="41" t="s">
        <v>243</v>
      </c>
      <c r="D432" s="34" t="s">
        <v>27</v>
      </c>
      <c r="E432" s="42" t="e">
        <f>+#REF!</f>
        <v>#REF!</v>
      </c>
      <c r="F432" s="119" t="e">
        <f>+#REF!</f>
        <v>#REF!</v>
      </c>
      <c r="G432" s="35" t="e">
        <f t="shared" si="28"/>
        <v>#REF!</v>
      </c>
      <c r="H432" s="27"/>
      <c r="I432" s="123"/>
      <c r="J432" s="123"/>
      <c r="K432" s="185">
        <v>297755</v>
      </c>
      <c r="L432" s="189" t="e">
        <f t="shared" si="26"/>
        <v>#REF!</v>
      </c>
    </row>
    <row r="433" spans="1:16" ht="48.6" customHeight="1" x14ac:dyDescent="0.25">
      <c r="A433" s="26"/>
      <c r="B433" s="33" t="s">
        <v>262</v>
      </c>
      <c r="C433" s="41" t="s">
        <v>244</v>
      </c>
      <c r="D433" s="34" t="s">
        <v>27</v>
      </c>
      <c r="E433" s="42" t="e">
        <f>+#REF!</f>
        <v>#REF!</v>
      </c>
      <c r="F433" s="119" t="e">
        <f>+#REF!</f>
        <v>#REF!</v>
      </c>
      <c r="G433" s="35" t="e">
        <f t="shared" si="28"/>
        <v>#REF!</v>
      </c>
      <c r="H433" s="27"/>
      <c r="I433" s="123"/>
      <c r="J433" s="123"/>
      <c r="K433" s="185">
        <v>43700</v>
      </c>
      <c r="L433" s="189" t="e">
        <f t="shared" si="26"/>
        <v>#REF!</v>
      </c>
    </row>
    <row r="434" spans="1:16" ht="24" customHeight="1" x14ac:dyDescent="0.25">
      <c r="A434" s="26"/>
      <c r="B434" s="305" t="s">
        <v>240</v>
      </c>
      <c r="C434" s="306"/>
      <c r="D434" s="306"/>
      <c r="E434" s="306"/>
      <c r="F434" s="100"/>
      <c r="G434" s="101" t="e">
        <f>SUM(G418:G433)</f>
        <v>#REF!</v>
      </c>
      <c r="H434" s="27"/>
      <c r="L434" s="189">
        <f t="shared" si="26"/>
        <v>0</v>
      </c>
    </row>
    <row r="435" spans="1:16" ht="20.100000000000001" customHeight="1" x14ac:dyDescent="0.25">
      <c r="A435" s="26"/>
      <c r="B435" s="190"/>
      <c r="C435" s="82" t="s">
        <v>187</v>
      </c>
      <c r="D435" s="80"/>
      <c r="E435" s="90"/>
      <c r="F435" s="80"/>
      <c r="G435" s="81"/>
      <c r="H435" s="27"/>
      <c r="L435" s="189">
        <f t="shared" si="26"/>
        <v>0</v>
      </c>
    </row>
    <row r="436" spans="1:16" ht="22.15" customHeight="1" x14ac:dyDescent="0.25">
      <c r="A436" s="26"/>
      <c r="B436" s="28">
        <v>12</v>
      </c>
      <c r="C436" s="29" t="s">
        <v>410</v>
      </c>
      <c r="D436" s="30" t="s">
        <v>27</v>
      </c>
      <c r="E436" s="83" t="s">
        <v>28</v>
      </c>
      <c r="F436" s="30" t="s">
        <v>29</v>
      </c>
      <c r="G436" s="32" t="s">
        <v>30</v>
      </c>
      <c r="H436" s="27"/>
      <c r="K436" s="185" t="s">
        <v>29</v>
      </c>
      <c r="L436" s="189"/>
    </row>
    <row r="437" spans="1:16" ht="44.45" customHeight="1" x14ac:dyDescent="0.25">
      <c r="A437" s="26"/>
      <c r="B437" s="33">
        <v>12.1</v>
      </c>
      <c r="C437" s="36" t="s">
        <v>363</v>
      </c>
      <c r="D437" s="38" t="s">
        <v>27</v>
      </c>
      <c r="E437" s="42" t="e">
        <f>+#REF!</f>
        <v>#REF!</v>
      </c>
      <c r="F437" s="37" t="e">
        <f>+#REF!</f>
        <v>#REF!</v>
      </c>
      <c r="G437" s="35" t="e">
        <f>+E437*F437</f>
        <v>#REF!</v>
      </c>
      <c r="H437" s="27"/>
      <c r="I437" s="123"/>
      <c r="J437" s="123"/>
      <c r="K437" s="185">
        <v>366371</v>
      </c>
      <c r="L437" s="189" t="e">
        <f t="shared" si="26"/>
        <v>#REF!</v>
      </c>
      <c r="P437" s="121"/>
    </row>
    <row r="438" spans="1:16" s="40" customFormat="1" ht="44.45" customHeight="1" x14ac:dyDescent="0.25">
      <c r="A438" s="39"/>
      <c r="B438" s="33">
        <v>12.1</v>
      </c>
      <c r="C438" s="36" t="s">
        <v>252</v>
      </c>
      <c r="D438" s="38" t="s">
        <v>27</v>
      </c>
      <c r="E438" s="43" t="e">
        <f>+#REF!</f>
        <v>#REF!</v>
      </c>
      <c r="F438" s="117" t="e">
        <f>+#REF!</f>
        <v>#REF!</v>
      </c>
      <c r="G438" s="35" t="e">
        <f>+E438*F438</f>
        <v>#REF!</v>
      </c>
      <c r="H438" s="27"/>
      <c r="I438" s="159"/>
      <c r="J438" s="159"/>
      <c r="K438" s="187">
        <v>1012500</v>
      </c>
      <c r="L438" s="189" t="e">
        <f t="shared" si="26"/>
        <v>#REF!</v>
      </c>
    </row>
    <row r="439" spans="1:16" ht="24" customHeight="1" x14ac:dyDescent="0.25">
      <c r="A439" s="26"/>
      <c r="B439" s="305" t="s">
        <v>188</v>
      </c>
      <c r="C439" s="306"/>
      <c r="D439" s="306"/>
      <c r="E439" s="306"/>
      <c r="F439" s="100"/>
      <c r="G439" s="101" t="e">
        <f>SUM(G437:G438)</f>
        <v>#REF!</v>
      </c>
      <c r="H439" s="27"/>
      <c r="L439" s="189">
        <f t="shared" si="26"/>
        <v>0</v>
      </c>
    </row>
    <row r="440" spans="1:16" ht="20.100000000000001" customHeight="1" x14ac:dyDescent="0.25">
      <c r="A440" s="26"/>
      <c r="B440" s="190"/>
      <c r="C440" s="82" t="s">
        <v>104</v>
      </c>
      <c r="D440" s="80"/>
      <c r="E440" s="90"/>
      <c r="F440" s="80"/>
      <c r="G440" s="81"/>
      <c r="H440" s="27"/>
      <c r="L440" s="189">
        <f t="shared" si="26"/>
        <v>0</v>
      </c>
    </row>
    <row r="441" spans="1:16" ht="22.15" customHeight="1" x14ac:dyDescent="0.25">
      <c r="A441" s="26"/>
      <c r="B441" s="28">
        <v>13</v>
      </c>
      <c r="C441" s="29" t="s">
        <v>411</v>
      </c>
      <c r="D441" s="30" t="s">
        <v>27</v>
      </c>
      <c r="E441" s="83" t="s">
        <v>28</v>
      </c>
      <c r="F441" s="30" t="s">
        <v>29</v>
      </c>
      <c r="G441" s="32" t="s">
        <v>30</v>
      </c>
      <c r="H441" s="27"/>
      <c r="K441" s="185" t="s">
        <v>29</v>
      </c>
      <c r="L441" s="189"/>
    </row>
    <row r="442" spans="1:16" ht="25.15" customHeight="1" x14ac:dyDescent="0.25">
      <c r="A442" s="26"/>
      <c r="B442" s="33" t="s">
        <v>190</v>
      </c>
      <c r="C442" s="36" t="s">
        <v>38</v>
      </c>
      <c r="D442" s="38" t="s">
        <v>27</v>
      </c>
      <c r="E442" s="43" t="e">
        <f>+#REF!</f>
        <v>#REF!</v>
      </c>
      <c r="F442" s="119" t="e">
        <f>+#REF!</f>
        <v>#REF!</v>
      </c>
      <c r="G442" s="35" t="e">
        <f t="shared" ref="G442:G455" si="29">+E442*F442</f>
        <v>#REF!</v>
      </c>
      <c r="H442" s="27"/>
      <c r="I442" s="123"/>
      <c r="J442" s="123"/>
      <c r="K442" s="185">
        <v>45000</v>
      </c>
      <c r="L442" s="189" t="e">
        <f t="shared" si="26"/>
        <v>#REF!</v>
      </c>
    </row>
    <row r="443" spans="1:16" s="40" customFormat="1" ht="23.45" customHeight="1" x14ac:dyDescent="0.25">
      <c r="A443" s="39"/>
      <c r="B443" s="33" t="s">
        <v>193</v>
      </c>
      <c r="C443" s="36" t="s">
        <v>40</v>
      </c>
      <c r="D443" s="38" t="s">
        <v>27</v>
      </c>
      <c r="E443" s="43" t="e">
        <f>+#REF!</f>
        <v>#REF!</v>
      </c>
      <c r="F443" s="119" t="e">
        <f>+#REF!</f>
        <v>#REF!</v>
      </c>
      <c r="G443" s="35" t="e">
        <f t="shared" si="29"/>
        <v>#REF!</v>
      </c>
      <c r="H443" s="27"/>
      <c r="I443" s="123"/>
      <c r="J443" s="123"/>
      <c r="K443" s="185">
        <v>237000</v>
      </c>
      <c r="L443" s="189" t="e">
        <f t="shared" si="26"/>
        <v>#REF!</v>
      </c>
    </row>
    <row r="444" spans="1:16" s="40" customFormat="1" ht="28.9" customHeight="1" x14ac:dyDescent="0.25">
      <c r="A444" s="39"/>
      <c r="B444" s="33" t="s">
        <v>203</v>
      </c>
      <c r="C444" s="36" t="s">
        <v>43</v>
      </c>
      <c r="D444" s="34" t="s">
        <v>34</v>
      </c>
      <c r="E444" s="42" t="e">
        <f>+#REF!</f>
        <v>#REF!</v>
      </c>
      <c r="F444" s="119" t="e">
        <f>+#REF!</f>
        <v>#REF!</v>
      </c>
      <c r="G444" s="35" t="e">
        <f t="shared" si="29"/>
        <v>#REF!</v>
      </c>
      <c r="H444" s="27"/>
      <c r="I444" s="123"/>
      <c r="J444" s="123"/>
      <c r="K444" s="185">
        <v>36700</v>
      </c>
      <c r="L444" s="189" t="e">
        <f t="shared" ref="L444:L476" si="30">+K444-F444</f>
        <v>#REF!</v>
      </c>
    </row>
    <row r="445" spans="1:16" s="40" customFormat="1" ht="21" customHeight="1" x14ac:dyDescent="0.25">
      <c r="A445" s="39"/>
      <c r="B445" s="33" t="s">
        <v>204</v>
      </c>
      <c r="C445" s="36" t="s">
        <v>112</v>
      </c>
      <c r="D445" s="38" t="s">
        <v>32</v>
      </c>
      <c r="E445" s="43" t="e">
        <f>+#REF!</f>
        <v>#REF!</v>
      </c>
      <c r="F445" s="37" t="e">
        <f>+#REF!</f>
        <v>#REF!</v>
      </c>
      <c r="G445" s="35" t="e">
        <f t="shared" si="29"/>
        <v>#REF!</v>
      </c>
      <c r="H445" s="27"/>
      <c r="I445" s="123"/>
      <c r="J445" s="123"/>
      <c r="K445" s="185">
        <v>190000</v>
      </c>
      <c r="L445" s="189" t="e">
        <f t="shared" si="30"/>
        <v>#REF!</v>
      </c>
    </row>
    <row r="446" spans="1:16" s="40" customFormat="1" ht="45" customHeight="1" x14ac:dyDescent="0.25">
      <c r="A446" s="39"/>
      <c r="B446" s="33" t="s">
        <v>205</v>
      </c>
      <c r="C446" s="167" t="s">
        <v>255</v>
      </c>
      <c r="D446" s="38" t="s">
        <v>27</v>
      </c>
      <c r="E446" s="43" t="e">
        <f>+#REF!</f>
        <v>#REF!</v>
      </c>
      <c r="F446" s="119" t="e">
        <f>+#REF!</f>
        <v>#REF!</v>
      </c>
      <c r="G446" s="35" t="e">
        <f t="shared" si="29"/>
        <v>#REF!</v>
      </c>
      <c r="H446" s="27"/>
      <c r="I446" s="124"/>
      <c r="J446" s="124"/>
      <c r="K446" s="187">
        <v>415000</v>
      </c>
      <c r="L446" s="189" t="e">
        <f t="shared" si="30"/>
        <v>#REF!</v>
      </c>
    </row>
    <row r="447" spans="1:16" s="40" customFormat="1" ht="107.45" customHeight="1" x14ac:dyDescent="0.25">
      <c r="A447" s="39"/>
      <c r="B447" s="33" t="s">
        <v>263</v>
      </c>
      <c r="C447" s="41" t="s">
        <v>351</v>
      </c>
      <c r="D447" s="34" t="s">
        <v>27</v>
      </c>
      <c r="E447" s="42" t="e">
        <f>+#REF!</f>
        <v>#REF!</v>
      </c>
      <c r="F447" s="119" t="e">
        <f>+#REF!</f>
        <v>#REF!</v>
      </c>
      <c r="G447" s="35" t="e">
        <f t="shared" si="29"/>
        <v>#REF!</v>
      </c>
      <c r="H447" s="27"/>
      <c r="I447" s="123"/>
      <c r="J447" s="123"/>
      <c r="K447" s="185">
        <v>235700</v>
      </c>
      <c r="L447" s="189" t="e">
        <f t="shared" si="30"/>
        <v>#REF!</v>
      </c>
    </row>
    <row r="448" spans="1:16" s="40" customFormat="1" ht="69.599999999999994" customHeight="1" x14ac:dyDescent="0.25">
      <c r="A448" s="39"/>
      <c r="B448" s="33" t="s">
        <v>264</v>
      </c>
      <c r="C448" s="41" t="s">
        <v>243</v>
      </c>
      <c r="D448" s="34" t="s">
        <v>27</v>
      </c>
      <c r="E448" s="42" t="e">
        <f>+#REF!</f>
        <v>#REF!</v>
      </c>
      <c r="F448" s="119" t="e">
        <f>+#REF!</f>
        <v>#REF!</v>
      </c>
      <c r="G448" s="35" t="e">
        <f t="shared" si="29"/>
        <v>#REF!</v>
      </c>
      <c r="H448" s="27"/>
      <c r="I448" s="123"/>
      <c r="J448" s="123"/>
      <c r="K448" s="185">
        <v>297755</v>
      </c>
      <c r="L448" s="189" t="e">
        <f t="shared" si="30"/>
        <v>#REF!</v>
      </c>
    </row>
    <row r="449" spans="1:12" s="40" customFormat="1" ht="38.25" x14ac:dyDescent="0.25">
      <c r="A449" s="39"/>
      <c r="B449" s="33" t="s">
        <v>265</v>
      </c>
      <c r="C449" s="41" t="s">
        <v>244</v>
      </c>
      <c r="D449" s="34" t="s">
        <v>27</v>
      </c>
      <c r="E449" s="42" t="e">
        <f>+#REF!</f>
        <v>#REF!</v>
      </c>
      <c r="F449" s="119" t="e">
        <f>+#REF!</f>
        <v>#REF!</v>
      </c>
      <c r="G449" s="35" t="e">
        <f t="shared" si="29"/>
        <v>#REF!</v>
      </c>
      <c r="H449" s="27"/>
      <c r="I449" s="123"/>
      <c r="J449" s="123"/>
      <c r="K449" s="185">
        <v>43700</v>
      </c>
      <c r="L449" s="189" t="e">
        <f t="shared" si="30"/>
        <v>#REF!</v>
      </c>
    </row>
    <row r="450" spans="1:12" s="40" customFormat="1" x14ac:dyDescent="0.25">
      <c r="A450" s="39"/>
      <c r="B450" s="33" t="s">
        <v>266</v>
      </c>
      <c r="C450" s="41" t="s">
        <v>114</v>
      </c>
      <c r="D450" s="34" t="s">
        <v>27</v>
      </c>
      <c r="E450" s="42" t="e">
        <f>+#REF!</f>
        <v>#REF!</v>
      </c>
      <c r="F450" s="119" t="e">
        <f>+#REF!</f>
        <v>#REF!</v>
      </c>
      <c r="G450" s="35" t="e">
        <f t="shared" si="29"/>
        <v>#REF!</v>
      </c>
      <c r="H450" s="27"/>
      <c r="I450" s="123"/>
      <c r="J450" s="123"/>
      <c r="K450" s="185">
        <v>105000</v>
      </c>
      <c r="L450" s="189" t="e">
        <f t="shared" si="30"/>
        <v>#REF!</v>
      </c>
    </row>
    <row r="451" spans="1:12" s="40" customFormat="1" x14ac:dyDescent="0.25">
      <c r="A451" s="39"/>
      <c r="B451" s="33" t="s">
        <v>267</v>
      </c>
      <c r="C451" s="41" t="s">
        <v>290</v>
      </c>
      <c r="D451" s="34" t="s">
        <v>48</v>
      </c>
      <c r="E451" s="42" t="e">
        <f>+#REF!</f>
        <v>#REF!</v>
      </c>
      <c r="F451" s="37" t="e">
        <f>+#REF!</f>
        <v>#REF!</v>
      </c>
      <c r="G451" s="35" t="e">
        <f t="shared" si="29"/>
        <v>#REF!</v>
      </c>
      <c r="H451" s="27"/>
      <c r="I451" s="124"/>
      <c r="J451" s="124"/>
      <c r="K451" s="187">
        <v>195000</v>
      </c>
      <c r="L451" s="189" t="e">
        <f t="shared" si="30"/>
        <v>#REF!</v>
      </c>
    </row>
    <row r="452" spans="1:12" s="40" customFormat="1" x14ac:dyDescent="0.25">
      <c r="A452" s="39"/>
      <c r="B452" s="33" t="s">
        <v>268</v>
      </c>
      <c r="C452" s="36" t="s">
        <v>110</v>
      </c>
      <c r="D452" s="34" t="s">
        <v>34</v>
      </c>
      <c r="E452" s="42" t="e">
        <f>+#REF!</f>
        <v>#REF!</v>
      </c>
      <c r="F452" s="37" t="e">
        <f>+#REF!</f>
        <v>#REF!</v>
      </c>
      <c r="G452" s="35" t="e">
        <f t="shared" si="29"/>
        <v>#REF!</v>
      </c>
      <c r="H452" s="27"/>
      <c r="I452" s="123"/>
      <c r="J452" s="123"/>
      <c r="K452" s="185">
        <v>112000</v>
      </c>
      <c r="L452" s="189" t="e">
        <f t="shared" si="30"/>
        <v>#REF!</v>
      </c>
    </row>
    <row r="453" spans="1:12" s="40" customFormat="1" ht="69.75" customHeight="1" x14ac:dyDescent="0.25">
      <c r="A453" s="39"/>
      <c r="B453" s="33" t="s">
        <v>269</v>
      </c>
      <c r="C453" s="36" t="s">
        <v>365</v>
      </c>
      <c r="D453" s="38" t="s">
        <v>366</v>
      </c>
      <c r="E453" s="43" t="e">
        <f>+#REF!</f>
        <v>#REF!</v>
      </c>
      <c r="F453" s="126" t="e">
        <f>+#REF!</f>
        <v>#REF!</v>
      </c>
      <c r="G453" s="35" t="e">
        <f t="shared" si="29"/>
        <v>#REF!</v>
      </c>
      <c r="H453" s="27"/>
      <c r="I453" s="159"/>
      <c r="J453" s="159"/>
      <c r="K453" s="187">
        <v>2415000</v>
      </c>
      <c r="L453" s="189" t="e">
        <f t="shared" si="30"/>
        <v>#REF!</v>
      </c>
    </row>
    <row r="454" spans="1:12" s="40" customFormat="1" ht="27.6" customHeight="1" x14ac:dyDescent="0.25">
      <c r="A454" s="39"/>
      <c r="B454" s="33" t="s">
        <v>270</v>
      </c>
      <c r="C454" s="41" t="s">
        <v>115</v>
      </c>
      <c r="D454" s="34" t="s">
        <v>27</v>
      </c>
      <c r="E454" s="42" t="e">
        <f>+#REF!</f>
        <v>#REF!</v>
      </c>
      <c r="F454" s="37" t="e">
        <f>+#REF!</f>
        <v>#REF!</v>
      </c>
      <c r="G454" s="35" t="e">
        <f t="shared" si="29"/>
        <v>#REF!</v>
      </c>
      <c r="H454" s="27"/>
      <c r="I454" s="124"/>
      <c r="J454" s="124"/>
      <c r="K454" s="187">
        <v>290000</v>
      </c>
      <c r="L454" s="189" t="e">
        <f t="shared" si="30"/>
        <v>#REF!</v>
      </c>
    </row>
    <row r="455" spans="1:12" s="40" customFormat="1" ht="18.75" customHeight="1" x14ac:dyDescent="0.25">
      <c r="A455" s="39"/>
      <c r="B455" s="33" t="s">
        <v>271</v>
      </c>
      <c r="C455" s="36" t="s">
        <v>116</v>
      </c>
      <c r="D455" s="38" t="s">
        <v>27</v>
      </c>
      <c r="E455" s="42" t="e">
        <f>+#REF!</f>
        <v>#REF!</v>
      </c>
      <c r="F455" s="119" t="e">
        <f>+#REF!</f>
        <v>#REF!</v>
      </c>
      <c r="G455" s="35" t="e">
        <f t="shared" si="29"/>
        <v>#REF!</v>
      </c>
      <c r="H455" s="27"/>
      <c r="I455" s="123"/>
      <c r="J455" s="123"/>
      <c r="K455" s="185">
        <v>285000</v>
      </c>
      <c r="L455" s="189" t="e">
        <f t="shared" si="30"/>
        <v>#REF!</v>
      </c>
    </row>
    <row r="456" spans="1:12" ht="24" customHeight="1" x14ac:dyDescent="0.25">
      <c r="A456" s="26"/>
      <c r="B456" s="305" t="s">
        <v>117</v>
      </c>
      <c r="C456" s="306"/>
      <c r="D456" s="306"/>
      <c r="E456" s="306"/>
      <c r="F456" s="100"/>
      <c r="G456" s="101" t="e">
        <f>SUM(G442:G455)</f>
        <v>#REF!</v>
      </c>
      <c r="H456" s="27"/>
      <c r="L456" s="189">
        <f t="shared" si="30"/>
        <v>0</v>
      </c>
    </row>
    <row r="457" spans="1:12" ht="19.149999999999999" customHeight="1" x14ac:dyDescent="0.25">
      <c r="A457" s="26"/>
      <c r="B457" s="190"/>
      <c r="C457" s="82" t="s">
        <v>253</v>
      </c>
      <c r="D457" s="80"/>
      <c r="E457" s="90"/>
      <c r="F457" s="80"/>
      <c r="G457" s="81"/>
      <c r="H457" s="27"/>
      <c r="L457" s="189">
        <f t="shared" si="30"/>
        <v>0</v>
      </c>
    </row>
    <row r="458" spans="1:12" ht="47.25" customHeight="1" x14ac:dyDescent="0.25">
      <c r="A458" s="26"/>
      <c r="B458" s="28">
        <v>14</v>
      </c>
      <c r="C458" s="105" t="s">
        <v>412</v>
      </c>
      <c r="D458" s="30" t="s">
        <v>27</v>
      </c>
      <c r="E458" s="83" t="s">
        <v>28</v>
      </c>
      <c r="F458" s="30" t="s">
        <v>29</v>
      </c>
      <c r="G458" s="32" t="s">
        <v>30</v>
      </c>
      <c r="H458" s="27"/>
      <c r="K458" s="185" t="s">
        <v>29</v>
      </c>
      <c r="L458" s="189"/>
    </row>
    <row r="459" spans="1:12" s="40" customFormat="1" ht="49.9" customHeight="1" x14ac:dyDescent="0.25">
      <c r="A459" s="39"/>
      <c r="B459" s="33" t="s">
        <v>194</v>
      </c>
      <c r="C459" s="41" t="s">
        <v>131</v>
      </c>
      <c r="D459" s="34" t="s">
        <v>34</v>
      </c>
      <c r="E459" s="42" t="e">
        <f>+#REF!</f>
        <v>#REF!</v>
      </c>
      <c r="F459" s="37" t="e">
        <f>+#REF!</f>
        <v>#REF!</v>
      </c>
      <c r="G459" s="35" t="e">
        <f>+E459*F459</f>
        <v>#REF!</v>
      </c>
      <c r="H459" s="27"/>
      <c r="I459" s="123"/>
      <c r="J459" s="123"/>
      <c r="K459" s="188">
        <v>20250</v>
      </c>
      <c r="L459" s="189" t="e">
        <f t="shared" si="30"/>
        <v>#REF!</v>
      </c>
    </row>
    <row r="460" spans="1:12" s="40" customFormat="1" ht="43.9" customHeight="1" x14ac:dyDescent="0.25">
      <c r="A460" s="39"/>
      <c r="B460" s="33" t="s">
        <v>206</v>
      </c>
      <c r="C460" s="41" t="s">
        <v>133</v>
      </c>
      <c r="D460" s="34" t="s">
        <v>48</v>
      </c>
      <c r="E460" s="42" t="e">
        <f>+#REF!</f>
        <v>#REF!</v>
      </c>
      <c r="F460" s="37" t="e">
        <f>+#REF!</f>
        <v>#REF!</v>
      </c>
      <c r="G460" s="35" t="e">
        <f>+E460*F460</f>
        <v>#REF!</v>
      </c>
      <c r="H460" s="27"/>
      <c r="I460" s="123"/>
      <c r="J460" s="123"/>
      <c r="K460" s="188">
        <v>10600</v>
      </c>
      <c r="L460" s="189" t="e">
        <f t="shared" si="30"/>
        <v>#REF!</v>
      </c>
    </row>
    <row r="461" spans="1:12" s="40" customFormat="1" ht="43.15" customHeight="1" x14ac:dyDescent="0.25">
      <c r="A461" s="39"/>
      <c r="B461" s="33" t="s">
        <v>272</v>
      </c>
      <c r="C461" s="41" t="s">
        <v>137</v>
      </c>
      <c r="D461" s="38" t="s">
        <v>34</v>
      </c>
      <c r="E461" s="42" t="e">
        <f>+#REF!</f>
        <v>#REF!</v>
      </c>
      <c r="F461" s="37" t="e">
        <f>+#REF!</f>
        <v>#REF!</v>
      </c>
      <c r="G461" s="35" t="e">
        <f>+E461*F461</f>
        <v>#REF!</v>
      </c>
      <c r="H461" s="27"/>
      <c r="I461" s="123"/>
      <c r="J461" s="123"/>
      <c r="K461" s="188">
        <v>23719</v>
      </c>
      <c r="L461" s="189" t="e">
        <f t="shared" si="30"/>
        <v>#REF!</v>
      </c>
    </row>
    <row r="462" spans="1:12" s="40" customFormat="1" ht="34.9" customHeight="1" x14ac:dyDescent="0.25">
      <c r="A462" s="39"/>
      <c r="B462" s="33" t="s">
        <v>273</v>
      </c>
      <c r="C462" s="41" t="s">
        <v>148</v>
      </c>
      <c r="D462" s="38" t="s">
        <v>149</v>
      </c>
      <c r="E462" s="42" t="e">
        <f>+#REF!</f>
        <v>#REF!</v>
      </c>
      <c r="F462" s="37" t="e">
        <f>+#REF!</f>
        <v>#REF!</v>
      </c>
      <c r="G462" s="35" t="e">
        <f>+E462*F462</f>
        <v>#REF!</v>
      </c>
      <c r="H462" s="27"/>
      <c r="I462" s="123"/>
      <c r="J462" s="123"/>
      <c r="K462" s="185">
        <v>17906</v>
      </c>
      <c r="L462" s="189" t="e">
        <f t="shared" si="30"/>
        <v>#REF!</v>
      </c>
    </row>
    <row r="463" spans="1:12" ht="35.25" customHeight="1" x14ac:dyDescent="0.25">
      <c r="A463" s="26"/>
      <c r="B463" s="28">
        <v>15</v>
      </c>
      <c r="C463" s="29" t="s">
        <v>159</v>
      </c>
      <c r="D463" s="30" t="s">
        <v>27</v>
      </c>
      <c r="E463" s="83" t="s">
        <v>28</v>
      </c>
      <c r="F463" s="30" t="s">
        <v>29</v>
      </c>
      <c r="G463" s="32" t="s">
        <v>30</v>
      </c>
      <c r="H463" s="27"/>
      <c r="K463" s="185" t="s">
        <v>29</v>
      </c>
      <c r="L463" s="189"/>
    </row>
    <row r="464" spans="1:12" s="40" customFormat="1" ht="38.25" x14ac:dyDescent="0.25">
      <c r="A464" s="39"/>
      <c r="B464" s="33" t="s">
        <v>195</v>
      </c>
      <c r="C464" s="41" t="s">
        <v>150</v>
      </c>
      <c r="D464" s="34" t="s">
        <v>34</v>
      </c>
      <c r="E464" s="42" t="e">
        <f>+#REF!</f>
        <v>#REF!</v>
      </c>
      <c r="F464" s="37" t="e">
        <f>+#REF!</f>
        <v>#REF!</v>
      </c>
      <c r="G464" s="35" t="e">
        <f>+E464*F464</f>
        <v>#REF!</v>
      </c>
      <c r="H464" s="27"/>
      <c r="I464" s="123"/>
      <c r="J464" s="123"/>
      <c r="K464" s="185">
        <v>48156</v>
      </c>
      <c r="L464" s="189" t="e">
        <f t="shared" si="30"/>
        <v>#REF!</v>
      </c>
    </row>
    <row r="465" spans="1:17" s="40" customFormat="1" ht="27" customHeight="1" x14ac:dyDescent="0.25">
      <c r="A465" s="39"/>
      <c r="B465" s="33" t="s">
        <v>274</v>
      </c>
      <c r="C465" s="41" t="s">
        <v>153</v>
      </c>
      <c r="D465" s="34" t="s">
        <v>149</v>
      </c>
      <c r="E465" s="42" t="e">
        <f>+#REF!</f>
        <v>#REF!</v>
      </c>
      <c r="F465" s="37" t="e">
        <f>+#REF!</f>
        <v>#REF!</v>
      </c>
      <c r="G465" s="35" t="e">
        <f>+E465*F465</f>
        <v>#REF!</v>
      </c>
      <c r="H465" s="27"/>
      <c r="I465" s="123"/>
      <c r="J465" s="123"/>
      <c r="K465" s="185">
        <v>642670</v>
      </c>
      <c r="L465" s="189" t="e">
        <f t="shared" si="30"/>
        <v>#REF!</v>
      </c>
      <c r="O465" s="201" t="e">
        <f>SUM(G464:G468)*1.25</f>
        <v>#REF!</v>
      </c>
      <c r="P465" s="201"/>
      <c r="Q465" s="202"/>
    </row>
    <row r="466" spans="1:17" s="40" customFormat="1" ht="22.15" customHeight="1" x14ac:dyDescent="0.25">
      <c r="A466" s="39"/>
      <c r="B466" s="33" t="s">
        <v>275</v>
      </c>
      <c r="C466" s="41" t="s">
        <v>154</v>
      </c>
      <c r="D466" s="34" t="s">
        <v>149</v>
      </c>
      <c r="E466" s="42" t="e">
        <f>+#REF!</f>
        <v>#REF!</v>
      </c>
      <c r="F466" s="37" t="e">
        <f>+#REF!</f>
        <v>#REF!</v>
      </c>
      <c r="G466" s="35" t="e">
        <f>+E466*F466</f>
        <v>#REF!</v>
      </c>
      <c r="H466" s="27"/>
      <c r="I466" s="123"/>
      <c r="J466" s="123"/>
      <c r="K466" s="185">
        <v>485000</v>
      </c>
      <c r="L466" s="189" t="e">
        <f t="shared" si="30"/>
        <v>#REF!</v>
      </c>
      <c r="O466" s="201">
        <v>229776631</v>
      </c>
      <c r="Q466" s="202"/>
    </row>
    <row r="467" spans="1:17" s="40" customFormat="1" ht="19.899999999999999" customHeight="1" x14ac:dyDescent="0.25">
      <c r="A467" s="39"/>
      <c r="B467" s="33" t="s">
        <v>276</v>
      </c>
      <c r="C467" s="41" t="s">
        <v>155</v>
      </c>
      <c r="D467" s="34" t="s">
        <v>149</v>
      </c>
      <c r="E467" s="42" t="e">
        <f>+#REF!</f>
        <v>#REF!</v>
      </c>
      <c r="F467" s="37" t="e">
        <f>+#REF!</f>
        <v>#REF!</v>
      </c>
      <c r="G467" s="35" t="e">
        <f>+E467*F467</f>
        <v>#REF!</v>
      </c>
      <c r="H467" s="27"/>
      <c r="I467" s="123"/>
      <c r="J467" s="123"/>
      <c r="K467" s="185">
        <v>422198</v>
      </c>
      <c r="L467" s="189" t="e">
        <f t="shared" si="30"/>
        <v>#REF!</v>
      </c>
      <c r="O467" s="201" t="e">
        <f>+O465*0.2</f>
        <v>#REF!</v>
      </c>
    </row>
    <row r="468" spans="1:17" s="40" customFormat="1" ht="19.899999999999999" customHeight="1" x14ac:dyDescent="0.25">
      <c r="A468" s="39"/>
      <c r="B468" s="33" t="s">
        <v>277</v>
      </c>
      <c r="C468" s="41" t="s">
        <v>156</v>
      </c>
      <c r="D468" s="34" t="s">
        <v>48</v>
      </c>
      <c r="E468" s="42" t="e">
        <f>+#REF!</f>
        <v>#REF!</v>
      </c>
      <c r="F468" s="37" t="e">
        <f>+#REF!</f>
        <v>#REF!</v>
      </c>
      <c r="G468" s="35" t="e">
        <f>+E468*F468</f>
        <v>#REF!</v>
      </c>
      <c r="H468" s="27"/>
      <c r="I468" s="123"/>
      <c r="J468" s="123"/>
      <c r="K468" s="185">
        <v>58529</v>
      </c>
      <c r="L468" s="189" t="e">
        <f t="shared" si="30"/>
        <v>#REF!</v>
      </c>
      <c r="O468" s="201" t="e">
        <f>+O465*0.0883</f>
        <v>#REF!</v>
      </c>
    </row>
    <row r="469" spans="1:17" ht="19.899999999999999" customHeight="1" x14ac:dyDescent="0.25">
      <c r="A469" s="26"/>
      <c r="B469" s="28">
        <v>16</v>
      </c>
      <c r="C469" s="29" t="s">
        <v>413</v>
      </c>
      <c r="D469" s="30" t="s">
        <v>27</v>
      </c>
      <c r="E469" s="83" t="s">
        <v>28</v>
      </c>
      <c r="F469" s="30" t="s">
        <v>29</v>
      </c>
      <c r="G469" s="32" t="s">
        <v>30</v>
      </c>
      <c r="H469" s="27"/>
      <c r="K469" s="185" t="s">
        <v>29</v>
      </c>
      <c r="L469" s="189"/>
      <c r="O469" s="120" t="e">
        <f>+O465-O466-O467-O468</f>
        <v>#REF!</v>
      </c>
      <c r="P469" s="203"/>
    </row>
    <row r="470" spans="1:17" s="40" customFormat="1" ht="33" customHeight="1" x14ac:dyDescent="0.25">
      <c r="A470" s="39"/>
      <c r="B470" s="116" t="s">
        <v>278</v>
      </c>
      <c r="C470" s="36" t="s">
        <v>109</v>
      </c>
      <c r="D470" s="38" t="s">
        <v>48</v>
      </c>
      <c r="E470" s="43" t="e">
        <f>+#REF!</f>
        <v>#REF!</v>
      </c>
      <c r="F470" s="117" t="e">
        <f>+#REF!</f>
        <v>#REF!</v>
      </c>
      <c r="G470" s="118" t="e">
        <f>+E470*F470</f>
        <v>#REF!</v>
      </c>
      <c r="H470" s="27"/>
      <c r="I470" s="159"/>
      <c r="J470" s="159"/>
      <c r="K470" s="187">
        <v>595000</v>
      </c>
      <c r="L470" s="189" t="e">
        <f t="shared" si="30"/>
        <v>#REF!</v>
      </c>
    </row>
    <row r="471" spans="1:17" s="40" customFormat="1" ht="60" customHeight="1" x14ac:dyDescent="0.25">
      <c r="A471" s="39"/>
      <c r="B471" s="116" t="s">
        <v>279</v>
      </c>
      <c r="C471" s="36" t="s">
        <v>192</v>
      </c>
      <c r="D471" s="38" t="s">
        <v>27</v>
      </c>
      <c r="E471" s="43" t="e">
        <f>+#REF!</f>
        <v>#REF!</v>
      </c>
      <c r="F471" s="117" t="e">
        <f>+#REF!</f>
        <v>#REF!</v>
      </c>
      <c r="G471" s="118" t="e">
        <f>+E471*F471</f>
        <v>#REF!</v>
      </c>
      <c r="H471" s="27"/>
      <c r="I471" s="159"/>
      <c r="J471" s="159"/>
      <c r="K471" s="187">
        <v>450000</v>
      </c>
      <c r="L471" s="189" t="e">
        <f t="shared" si="30"/>
        <v>#REF!</v>
      </c>
    </row>
    <row r="472" spans="1:17" s="40" customFormat="1" ht="56.25" customHeight="1" x14ac:dyDescent="0.25">
      <c r="A472" s="39"/>
      <c r="B472" s="116" t="s">
        <v>283</v>
      </c>
      <c r="C472" s="41" t="s">
        <v>285</v>
      </c>
      <c r="D472" s="34" t="s">
        <v>48</v>
      </c>
      <c r="E472" s="42" t="e">
        <f>+#REF!</f>
        <v>#REF!</v>
      </c>
      <c r="F472" s="119" t="e">
        <f>+#REF!</f>
        <v>#REF!</v>
      </c>
      <c r="G472" s="35" t="e">
        <f>+E472*F472</f>
        <v>#REF!</v>
      </c>
      <c r="H472" s="27"/>
      <c r="I472" s="123"/>
      <c r="J472" s="123"/>
      <c r="K472" s="185">
        <v>52800</v>
      </c>
      <c r="L472" s="189" t="e">
        <f t="shared" si="30"/>
        <v>#REF!</v>
      </c>
    </row>
    <row r="473" spans="1:17" ht="24" customHeight="1" x14ac:dyDescent="0.25">
      <c r="A473" s="26"/>
      <c r="B473" s="305" t="s">
        <v>254</v>
      </c>
      <c r="C473" s="306"/>
      <c r="D473" s="306"/>
      <c r="E473" s="306"/>
      <c r="F473" s="100"/>
      <c r="G473" s="101" t="e">
        <f>SUM(G459:G472)</f>
        <v>#REF!</v>
      </c>
      <c r="H473" s="27"/>
      <c r="L473" s="189">
        <f t="shared" si="30"/>
        <v>0</v>
      </c>
    </row>
    <row r="474" spans="1:17" ht="19.149999999999999" customHeight="1" x14ac:dyDescent="0.25">
      <c r="A474" s="26"/>
      <c r="B474" s="190"/>
      <c r="C474" s="82" t="s">
        <v>78</v>
      </c>
      <c r="D474" s="80"/>
      <c r="E474" s="90"/>
      <c r="F474" s="80"/>
      <c r="G474" s="81"/>
      <c r="H474" s="27"/>
      <c r="L474" s="189">
        <f t="shared" si="30"/>
        <v>0</v>
      </c>
    </row>
    <row r="475" spans="1:17" ht="19.899999999999999" customHeight="1" x14ac:dyDescent="0.25">
      <c r="A475" s="26"/>
      <c r="B475" s="28">
        <v>17</v>
      </c>
      <c r="C475" s="29"/>
      <c r="D475" s="30" t="s">
        <v>27</v>
      </c>
      <c r="E475" s="83" t="s">
        <v>28</v>
      </c>
      <c r="F475" s="30" t="s">
        <v>29</v>
      </c>
      <c r="G475" s="32" t="s">
        <v>30</v>
      </c>
      <c r="H475" s="27"/>
      <c r="K475" s="185" t="s">
        <v>29</v>
      </c>
      <c r="L475" s="189"/>
    </row>
    <row r="476" spans="1:17" s="40" customFormat="1" ht="45.75" customHeight="1" x14ac:dyDescent="0.25">
      <c r="A476" s="39"/>
      <c r="B476" s="33" t="s">
        <v>280</v>
      </c>
      <c r="C476" s="41" t="s">
        <v>398</v>
      </c>
      <c r="D476" s="34" t="s">
        <v>32</v>
      </c>
      <c r="E476" s="42" t="e">
        <f>+#REF!</f>
        <v>#REF!</v>
      </c>
      <c r="F476" s="37" t="e">
        <f>+#REF!</f>
        <v>#REF!</v>
      </c>
      <c r="G476" s="35" t="e">
        <f>+E476*F476</f>
        <v>#REF!</v>
      </c>
      <c r="H476" s="27"/>
      <c r="I476" s="124"/>
      <c r="J476" s="124"/>
      <c r="K476" s="187">
        <v>1849092</v>
      </c>
      <c r="L476" s="189" t="e">
        <f t="shared" si="30"/>
        <v>#REF!</v>
      </c>
    </row>
    <row r="477" spans="1:17" ht="24" customHeight="1" x14ac:dyDescent="0.25">
      <c r="A477" s="26"/>
      <c r="B477" s="305" t="s">
        <v>127</v>
      </c>
      <c r="C477" s="306"/>
      <c r="D477" s="306"/>
      <c r="E477" s="306"/>
      <c r="F477" s="100"/>
      <c r="G477" s="101" t="e">
        <f>SUM(G476)</f>
        <v>#REF!</v>
      </c>
      <c r="H477" s="27"/>
      <c r="L477" s="189" t="e">
        <f>SUM(L320:L476)</f>
        <v>#REF!</v>
      </c>
    </row>
    <row r="478" spans="1:17" s="40" customFormat="1" ht="30.6" customHeight="1" thickBot="1" x14ac:dyDescent="0.3">
      <c r="A478" s="39"/>
      <c r="B478" s="191"/>
      <c r="C478" s="44"/>
      <c r="D478" s="45"/>
      <c r="E478" s="312" t="s">
        <v>128</v>
      </c>
      <c r="F478" s="312"/>
      <c r="G478" s="109" t="e">
        <f>G477+G473+G456+G439+G409+G394+G332+G434+G415</f>
        <v>#REF!</v>
      </c>
      <c r="H478" s="27"/>
      <c r="I478" s="124"/>
      <c r="J478" s="124"/>
      <c r="K478" s="187"/>
    </row>
    <row r="479" spans="1:17" s="40" customFormat="1" ht="9.75" customHeight="1" thickBot="1" x14ac:dyDescent="0.3">
      <c r="A479" s="39"/>
      <c r="B479" s="95"/>
      <c r="C479" s="63"/>
      <c r="D479" s="62"/>
      <c r="E479" s="95"/>
      <c r="F479" s="64"/>
      <c r="G479" s="65"/>
      <c r="H479" s="27"/>
      <c r="I479" s="124"/>
      <c r="J479" s="124"/>
      <c r="K479" s="187"/>
    </row>
    <row r="480" spans="1:17" s="40" customFormat="1" ht="25.15" customHeight="1" x14ac:dyDescent="0.25">
      <c r="A480" s="39"/>
      <c r="B480" s="313" t="s">
        <v>79</v>
      </c>
      <c r="C480" s="314"/>
      <c r="D480" s="47" t="s">
        <v>80</v>
      </c>
      <c r="E480" s="91"/>
      <c r="F480" s="48"/>
      <c r="G480" s="49" t="e">
        <f>G478</f>
        <v>#REF!</v>
      </c>
      <c r="H480" s="27"/>
      <c r="I480" s="124"/>
      <c r="J480" s="124"/>
      <c r="K480" s="187"/>
    </row>
    <row r="481" spans="1:11" s="40" customFormat="1" ht="21.6" customHeight="1" x14ac:dyDescent="0.25">
      <c r="A481" s="39"/>
      <c r="B481" s="315" t="s">
        <v>81</v>
      </c>
      <c r="C481" s="316"/>
      <c r="D481" s="319" t="s">
        <v>82</v>
      </c>
      <c r="E481" s="320"/>
      <c r="F481" s="50">
        <v>0.15</v>
      </c>
      <c r="G481" s="51" t="e">
        <f>G480*F481</f>
        <v>#REF!</v>
      </c>
      <c r="H481" s="27"/>
      <c r="I481" s="124"/>
      <c r="J481" s="124"/>
      <c r="K481" s="187">
        <v>0.15</v>
      </c>
    </row>
    <row r="482" spans="1:11" s="40" customFormat="1" ht="22.15" customHeight="1" x14ac:dyDescent="0.25">
      <c r="A482" s="39"/>
      <c r="B482" s="317"/>
      <c r="C482" s="318"/>
      <c r="D482" s="319" t="s">
        <v>83</v>
      </c>
      <c r="E482" s="320"/>
      <c r="F482" s="50">
        <v>0.05</v>
      </c>
      <c r="G482" s="51" t="e">
        <f>G480*F482</f>
        <v>#REF!</v>
      </c>
      <c r="H482" s="27"/>
      <c r="I482" s="124"/>
      <c r="J482" s="124"/>
      <c r="K482" s="187">
        <v>0.05</v>
      </c>
    </row>
    <row r="483" spans="1:11" s="40" customFormat="1" ht="21" customHeight="1" x14ac:dyDescent="0.25">
      <c r="A483" s="39"/>
      <c r="B483" s="325" t="s">
        <v>84</v>
      </c>
      <c r="C483" s="326"/>
      <c r="D483" s="319" t="s">
        <v>85</v>
      </c>
      <c r="E483" s="320"/>
      <c r="F483" s="50">
        <v>0.05</v>
      </c>
      <c r="G483" s="51" t="e">
        <f>G480*F483</f>
        <v>#REF!</v>
      </c>
      <c r="H483" s="27"/>
      <c r="I483" s="124"/>
      <c r="J483" s="124"/>
      <c r="K483" s="187">
        <v>0.05</v>
      </c>
    </row>
    <row r="484" spans="1:11" s="40" customFormat="1" ht="24" customHeight="1" x14ac:dyDescent="0.25">
      <c r="A484" s="39"/>
      <c r="B484" s="327"/>
      <c r="C484" s="328"/>
      <c r="D484" s="319" t="s">
        <v>86</v>
      </c>
      <c r="E484" s="320"/>
      <c r="F484" s="50">
        <v>0.19</v>
      </c>
      <c r="G484" s="52" t="e">
        <f>G483*F484</f>
        <v>#REF!</v>
      </c>
      <c r="H484" s="27"/>
      <c r="I484" s="124"/>
      <c r="J484" s="124"/>
      <c r="K484" s="187">
        <v>0.19</v>
      </c>
    </row>
    <row r="485" spans="1:11" s="40" customFormat="1" ht="34.9" customHeight="1" thickBot="1" x14ac:dyDescent="0.3">
      <c r="A485" s="39"/>
      <c r="B485" s="329"/>
      <c r="C485" s="330"/>
      <c r="D485" s="53" t="s">
        <v>87</v>
      </c>
      <c r="E485" s="92"/>
      <c r="F485" s="54"/>
      <c r="G485" s="166" t="e">
        <f>ROUND((SUM(G480:G484)),0)</f>
        <v>#REF!</v>
      </c>
      <c r="H485" s="27"/>
      <c r="I485" s="124"/>
      <c r="J485" s="124"/>
      <c r="K485" s="187"/>
    </row>
    <row r="486" spans="1:11" s="40" customFormat="1" ht="9.75" customHeight="1" thickBot="1" x14ac:dyDescent="0.3">
      <c r="A486" s="39"/>
      <c r="B486" s="95"/>
      <c r="C486" s="63"/>
      <c r="D486" s="62"/>
      <c r="E486" s="95"/>
      <c r="F486" s="64"/>
      <c r="G486" s="65"/>
      <c r="H486" s="27"/>
      <c r="I486" s="124"/>
      <c r="J486" s="124"/>
      <c r="K486" s="187"/>
    </row>
    <row r="487" spans="1:11" s="40" customFormat="1" ht="21" customHeight="1" x14ac:dyDescent="0.25">
      <c r="A487" s="39"/>
      <c r="B487" s="192">
        <v>18</v>
      </c>
      <c r="C487" s="106" t="s">
        <v>88</v>
      </c>
      <c r="D487" s="55" t="s">
        <v>27</v>
      </c>
      <c r="E487" s="93" t="s">
        <v>28</v>
      </c>
      <c r="F487" s="55" t="s">
        <v>29</v>
      </c>
      <c r="G487" s="56" t="s">
        <v>30</v>
      </c>
      <c r="H487" s="27"/>
      <c r="I487" s="124"/>
      <c r="J487" s="124"/>
      <c r="K487" s="187" t="s">
        <v>29</v>
      </c>
    </row>
    <row r="488" spans="1:11" s="40" customFormat="1" x14ac:dyDescent="0.25">
      <c r="A488" s="39"/>
      <c r="B488" s="193" t="s">
        <v>284</v>
      </c>
      <c r="C488" s="103" t="s">
        <v>146</v>
      </c>
      <c r="D488" s="58" t="s">
        <v>27</v>
      </c>
      <c r="E488" s="104">
        <v>1</v>
      </c>
      <c r="F488" s="59" t="e">
        <f>+G485*0.03</f>
        <v>#REF!</v>
      </c>
      <c r="G488" s="57" t="e">
        <f>+E488*F488</f>
        <v>#REF!</v>
      </c>
      <c r="H488" s="27"/>
      <c r="I488" s="124"/>
      <c r="J488" s="124"/>
      <c r="K488" s="187">
        <v>27567555.359999999</v>
      </c>
    </row>
    <row r="489" spans="1:11" s="40" customFormat="1" ht="23.45" customHeight="1" thickBot="1" x14ac:dyDescent="0.3">
      <c r="A489" s="39"/>
      <c r="B489" s="191" t="s">
        <v>89</v>
      </c>
      <c r="C489" s="60"/>
      <c r="D489" s="61"/>
      <c r="E489" s="94"/>
      <c r="F489" s="46"/>
      <c r="G489" s="110" t="e">
        <f>ROUND((SUM(G488:G488)),0)</f>
        <v>#REF!</v>
      </c>
      <c r="H489" s="27"/>
      <c r="I489" s="124"/>
      <c r="J489" s="124"/>
      <c r="K489" s="187"/>
    </row>
    <row r="490" spans="1:11" s="40" customFormat="1" ht="9.75" customHeight="1" thickBot="1" x14ac:dyDescent="0.3">
      <c r="A490" s="39"/>
      <c r="B490" s="95"/>
      <c r="C490" s="63"/>
      <c r="D490" s="62"/>
      <c r="E490" s="95"/>
      <c r="F490" s="64"/>
      <c r="G490" s="65"/>
      <c r="H490" s="27"/>
      <c r="I490" s="124"/>
      <c r="J490" s="124"/>
      <c r="K490" s="187"/>
    </row>
    <row r="491" spans="1:11" s="40" customFormat="1" ht="27.6" customHeight="1" thickBot="1" x14ac:dyDescent="0.3">
      <c r="A491" s="39"/>
      <c r="B491" s="331" t="s">
        <v>90</v>
      </c>
      <c r="C491" s="332"/>
      <c r="D491" s="108"/>
      <c r="E491" s="108"/>
      <c r="F491" s="333" t="e">
        <f>ROUND((SUM(+G489+G485)),0)</f>
        <v>#REF!</v>
      </c>
      <c r="G491" s="334"/>
      <c r="H491" s="27"/>
      <c r="I491" s="125">
        <v>946486067</v>
      </c>
      <c r="J491" s="125"/>
      <c r="K491" s="187">
        <v>946486067</v>
      </c>
    </row>
    <row r="492" spans="1:11" s="40" customFormat="1" ht="9.75" customHeight="1" thickBot="1" x14ac:dyDescent="0.3">
      <c r="A492" s="39"/>
      <c r="B492" s="95"/>
      <c r="C492" s="63"/>
      <c r="D492" s="62"/>
      <c r="E492" s="95"/>
      <c r="F492" s="64"/>
      <c r="G492" s="65"/>
      <c r="H492" s="27"/>
      <c r="I492" s="124"/>
      <c r="J492" s="124"/>
      <c r="K492" s="187"/>
    </row>
    <row r="493" spans="1:11" s="40" customFormat="1" x14ac:dyDescent="0.25">
      <c r="A493" s="39"/>
      <c r="B493" s="307" t="s">
        <v>91</v>
      </c>
      <c r="C493" s="66"/>
      <c r="D493" s="67"/>
      <c r="E493" s="96"/>
      <c r="F493" s="67"/>
      <c r="G493" s="67"/>
      <c r="H493" s="27"/>
      <c r="I493" s="125" t="e">
        <f>+I491-F491</f>
        <v>#REF!</v>
      </c>
      <c r="J493" s="125"/>
      <c r="K493" s="187"/>
    </row>
    <row r="494" spans="1:11" s="40" customFormat="1" x14ac:dyDescent="0.25">
      <c r="A494" s="39"/>
      <c r="B494" s="308"/>
      <c r="C494" s="68"/>
      <c r="D494" s="67"/>
      <c r="E494" s="96"/>
      <c r="F494" s="67"/>
      <c r="G494" s="67"/>
      <c r="H494" s="27"/>
      <c r="I494" s="124"/>
      <c r="J494" s="124"/>
      <c r="K494" s="187"/>
    </row>
    <row r="495" spans="1:11" s="40" customFormat="1" x14ac:dyDescent="0.25">
      <c r="A495" s="39"/>
      <c r="B495" s="309"/>
      <c r="C495" s="69"/>
      <c r="D495" s="67"/>
      <c r="E495" s="97" t="s">
        <v>92</v>
      </c>
      <c r="F495" s="310" t="s">
        <v>93</v>
      </c>
      <c r="G495" s="311"/>
      <c r="H495" s="27"/>
      <c r="I495" s="124"/>
      <c r="J495" s="124"/>
      <c r="K495" s="187" t="s">
        <v>93</v>
      </c>
    </row>
    <row r="496" spans="1:11" s="40" customFormat="1" x14ac:dyDescent="0.25">
      <c r="A496" s="39"/>
      <c r="B496" s="194" t="s">
        <v>18</v>
      </c>
      <c r="C496" s="70"/>
      <c r="D496" s="67"/>
      <c r="E496" s="98" t="s">
        <v>94</v>
      </c>
      <c r="F496" s="71" t="s">
        <v>95</v>
      </c>
      <c r="G496" s="71" t="s">
        <v>96</v>
      </c>
      <c r="H496" s="27"/>
      <c r="I496" s="124"/>
      <c r="J496" s="124"/>
      <c r="K496" s="187" t="s">
        <v>95</v>
      </c>
    </row>
    <row r="497" spans="1:11" s="40" customFormat="1" x14ac:dyDescent="0.25">
      <c r="A497" s="39"/>
      <c r="B497" s="195" t="s">
        <v>97</v>
      </c>
      <c r="C497" s="72"/>
      <c r="D497" s="67"/>
      <c r="E497" s="98" t="s">
        <v>98</v>
      </c>
      <c r="F497" s="71" t="s">
        <v>99</v>
      </c>
      <c r="G497" s="71" t="s">
        <v>100</v>
      </c>
      <c r="H497" s="27"/>
      <c r="I497" s="124"/>
      <c r="J497" s="124"/>
      <c r="K497" s="187" t="s">
        <v>99</v>
      </c>
    </row>
    <row r="498" spans="1:11" s="40" customFormat="1" ht="26.25" thickBot="1" x14ac:dyDescent="0.3">
      <c r="A498" s="39"/>
      <c r="B498" s="196" t="s">
        <v>101</v>
      </c>
      <c r="C498" s="73"/>
      <c r="D498" s="67"/>
      <c r="E498" s="98" t="s">
        <v>102</v>
      </c>
      <c r="F498" s="310" t="s">
        <v>103</v>
      </c>
      <c r="G498" s="311"/>
      <c r="H498" s="27"/>
      <c r="I498" s="124"/>
      <c r="J498" s="124"/>
      <c r="K498" s="187" t="s">
        <v>103</v>
      </c>
    </row>
    <row r="499" spans="1:11" s="40" customFormat="1" ht="8.25" customHeight="1" thickBot="1" x14ac:dyDescent="0.3">
      <c r="A499" s="74"/>
      <c r="B499" s="99"/>
      <c r="C499" s="76"/>
      <c r="D499" s="75"/>
      <c r="E499" s="99"/>
      <c r="F499" s="77"/>
      <c r="G499" s="78"/>
      <c r="H499" s="79"/>
      <c r="I499" s="124"/>
      <c r="J499" s="124"/>
      <c r="K499" s="187"/>
    </row>
    <row r="500" spans="1:11" s="40" customFormat="1" x14ac:dyDescent="0.25">
      <c r="B500" s="95"/>
      <c r="C500" s="63"/>
      <c r="D500" s="62"/>
      <c r="E500" s="95"/>
      <c r="F500" s="64"/>
      <c r="G500" s="65"/>
      <c r="I500" s="124"/>
      <c r="J500" s="124"/>
      <c r="K500" s="187"/>
    </row>
    <row r="501" spans="1:11" s="40" customFormat="1" x14ac:dyDescent="0.25">
      <c r="B501" s="95"/>
      <c r="C501" s="62"/>
      <c r="D501" s="62"/>
      <c r="E501" s="95"/>
      <c r="F501" s="64"/>
      <c r="G501" s="65"/>
      <c r="I501" s="124"/>
      <c r="J501" s="124"/>
      <c r="K501" s="187"/>
    </row>
  </sheetData>
  <mergeCells count="51">
    <mergeCell ref="B215:E215"/>
    <mergeCell ref="B242:E242"/>
    <mergeCell ref="B53:E53"/>
    <mergeCell ref="B80:E80"/>
    <mergeCell ref="B107:E107"/>
    <mergeCell ref="B134:E134"/>
    <mergeCell ref="B161:E161"/>
    <mergeCell ref="B434:E434"/>
    <mergeCell ref="B439:E439"/>
    <mergeCell ref="B19:C19"/>
    <mergeCell ref="B2:C2"/>
    <mergeCell ref="D2:G2"/>
    <mergeCell ref="B3:G3"/>
    <mergeCell ref="B4:G4"/>
    <mergeCell ref="D8:F8"/>
    <mergeCell ref="B9:B10"/>
    <mergeCell ref="C9:G10"/>
    <mergeCell ref="B11:G11"/>
    <mergeCell ref="B12:G12"/>
    <mergeCell ref="B16:G16"/>
    <mergeCell ref="B17:G17"/>
    <mergeCell ref="B18:C18"/>
    <mergeCell ref="B188:E188"/>
    <mergeCell ref="B374:C374"/>
    <mergeCell ref="B394:E394"/>
    <mergeCell ref="B395:C395"/>
    <mergeCell ref="B409:E409"/>
    <mergeCell ref="B415:E415"/>
    <mergeCell ref="F498:G498"/>
    <mergeCell ref="B483:C483"/>
    <mergeCell ref="D483:E483"/>
    <mergeCell ref="B484:C485"/>
    <mergeCell ref="D484:E484"/>
    <mergeCell ref="B491:C491"/>
    <mergeCell ref="F491:G491"/>
    <mergeCell ref="B275:E275"/>
    <mergeCell ref="B26:E26"/>
    <mergeCell ref="B318:E318"/>
    <mergeCell ref="B493:B495"/>
    <mergeCell ref="F495:G495"/>
    <mergeCell ref="B473:E473"/>
    <mergeCell ref="B477:E477"/>
    <mergeCell ref="E478:F478"/>
    <mergeCell ref="B480:C480"/>
    <mergeCell ref="B481:C482"/>
    <mergeCell ref="D481:E481"/>
    <mergeCell ref="D482:E482"/>
    <mergeCell ref="B456:E456"/>
    <mergeCell ref="B332:E332"/>
    <mergeCell ref="B333:C333"/>
    <mergeCell ref="B334:C334"/>
  </mergeCells>
  <phoneticPr fontId="18" type="noConversion"/>
  <printOptions horizontalCentered="1"/>
  <pageMargins left="0.19685039370078741" right="0.19685039370078741" top="0.39370078740157483" bottom="0.39370078740157483" header="0" footer="0"/>
  <pageSetup scale="56" fitToHeight="0" orientation="portrait" r:id="rId1"/>
  <rowBreaks count="3" manualBreakCount="3">
    <brk id="80" max="7" man="1"/>
    <brk id="387" max="7" man="1"/>
    <brk id="411" max="7" man="1"/>
  </rowBreaks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990AB-8EFD-4F40-AFFE-B4C772E47A0A}">
  <sheetPr>
    <tabColor theme="4" tint="-0.249977111117893"/>
    <pageSetUpPr fitToPage="1"/>
  </sheetPr>
  <dimension ref="A1:T351"/>
  <sheetViews>
    <sheetView view="pageBreakPreview" topLeftCell="A333" zoomScale="70" zoomScaleNormal="70" zoomScaleSheetLayoutView="70" workbookViewId="0">
      <selection activeCell="C249" sqref="C249"/>
    </sheetView>
  </sheetViews>
  <sheetFormatPr baseColWidth="10" defaultColWidth="10.7109375" defaultRowHeight="25.5" x14ac:dyDescent="0.25"/>
  <cols>
    <col min="1" max="1" width="1.7109375" style="7" customWidth="1"/>
    <col min="2" max="2" width="21.85546875" style="95" customWidth="1"/>
    <col min="3" max="3" width="83.5703125" style="63" customWidth="1"/>
    <col min="4" max="4" width="15.42578125" style="62" customWidth="1"/>
    <col min="5" max="5" width="16.28515625" style="95" customWidth="1"/>
    <col min="6" max="6" width="21.85546875" style="64" customWidth="1"/>
    <col min="7" max="7" width="23.140625" style="65" customWidth="1"/>
    <col min="8" max="8" width="1.5703125" style="7" customWidth="1"/>
    <col min="9" max="10" width="31.42578125" style="122" customWidth="1"/>
    <col min="11" max="11" width="31.42578125" style="185" customWidth="1"/>
    <col min="12" max="12" width="23.140625" style="7" customWidth="1"/>
    <col min="13" max="13" width="12.85546875" style="7" bestFit="1" customWidth="1"/>
    <col min="14" max="14" width="15.85546875" style="7" customWidth="1"/>
    <col min="15" max="15" width="17.140625" style="7" bestFit="1" customWidth="1"/>
    <col min="16" max="16" width="20.140625" style="7" customWidth="1"/>
    <col min="17" max="17" width="12.5703125" style="7" bestFit="1" customWidth="1"/>
    <col min="18" max="19" width="15.42578125" style="7" bestFit="1" customWidth="1"/>
    <col min="20" max="16384" width="10.7109375" style="7"/>
  </cols>
  <sheetData>
    <row r="1" spans="1:16" ht="9.9499999999999993" customHeight="1" thickBot="1" x14ac:dyDescent="0.3">
      <c r="A1" s="1"/>
      <c r="B1" s="84"/>
      <c r="C1" s="3"/>
      <c r="D1" s="2"/>
      <c r="E1" s="84"/>
      <c r="F1" s="4"/>
      <c r="G1" s="5"/>
      <c r="H1" s="6"/>
    </row>
    <row r="2" spans="1:16" s="10" customFormat="1" ht="99.95" customHeight="1" thickBot="1" x14ac:dyDescent="0.35">
      <c r="A2" s="8"/>
      <c r="B2" s="337"/>
      <c r="C2" s="338"/>
      <c r="D2" s="339" t="s">
        <v>0</v>
      </c>
      <c r="E2" s="339"/>
      <c r="F2" s="339"/>
      <c r="G2" s="340"/>
      <c r="H2" s="9"/>
      <c r="I2" s="114"/>
      <c r="J2" s="114"/>
      <c r="K2" s="186"/>
    </row>
    <row r="3" spans="1:16" s="10" customFormat="1" ht="9.9499999999999993" customHeight="1" thickBot="1" x14ac:dyDescent="0.35">
      <c r="A3" s="8"/>
      <c r="B3" s="338"/>
      <c r="C3" s="338"/>
      <c r="D3" s="338"/>
      <c r="E3" s="338"/>
      <c r="F3" s="338"/>
      <c r="G3" s="338"/>
      <c r="H3" s="9"/>
      <c r="I3" s="114"/>
      <c r="J3" s="114"/>
      <c r="K3" s="186"/>
    </row>
    <row r="4" spans="1:16" s="10" customFormat="1" ht="20.100000000000001" customHeight="1" x14ac:dyDescent="0.25">
      <c r="A4" s="8"/>
      <c r="B4" s="341" t="s">
        <v>1</v>
      </c>
      <c r="C4" s="342"/>
      <c r="D4" s="342"/>
      <c r="E4" s="342"/>
      <c r="F4" s="342"/>
      <c r="G4" s="343"/>
      <c r="H4" s="9"/>
      <c r="I4" s="114"/>
      <c r="J4" s="114"/>
      <c r="K4" s="186"/>
    </row>
    <row r="5" spans="1:16" s="10" customFormat="1" ht="20.100000000000001" customHeight="1" x14ac:dyDescent="0.25">
      <c r="A5" s="8"/>
      <c r="B5" s="11" t="s">
        <v>2</v>
      </c>
      <c r="C5" s="12" t="s">
        <v>3</v>
      </c>
      <c r="D5" s="13" t="s">
        <v>4</v>
      </c>
      <c r="E5" s="85"/>
      <c r="F5" s="14" t="s">
        <v>5</v>
      </c>
      <c r="G5" s="15" t="s">
        <v>6</v>
      </c>
      <c r="H5" s="9"/>
      <c r="I5" s="114"/>
      <c r="J5" s="114"/>
      <c r="K5" s="186"/>
    </row>
    <row r="6" spans="1:16" s="10" customFormat="1" ht="28.15" customHeight="1" x14ac:dyDescent="0.25">
      <c r="A6" s="8"/>
      <c r="B6" s="11" t="s">
        <v>7</v>
      </c>
      <c r="C6" s="16" t="s">
        <v>8</v>
      </c>
      <c r="D6" s="13" t="s">
        <v>9</v>
      </c>
      <c r="E6" s="85"/>
      <c r="F6" s="13" t="s">
        <v>10</v>
      </c>
      <c r="G6" s="17"/>
      <c r="H6" s="9"/>
      <c r="I6" s="114"/>
      <c r="J6" s="114"/>
      <c r="K6" s="186"/>
    </row>
    <row r="7" spans="1:16" s="10" customFormat="1" ht="23.45" customHeight="1" x14ac:dyDescent="0.25">
      <c r="A7" s="8"/>
      <c r="B7" s="11" t="s">
        <v>11</v>
      </c>
      <c r="C7" s="16"/>
      <c r="D7" s="165" t="s">
        <v>12</v>
      </c>
      <c r="E7" s="86"/>
      <c r="F7" s="165" t="s">
        <v>13</v>
      </c>
      <c r="G7" s="18"/>
      <c r="H7" s="9"/>
      <c r="I7" s="114"/>
      <c r="J7" s="114"/>
      <c r="K7" s="186"/>
    </row>
    <row r="8" spans="1:16" s="10" customFormat="1" ht="29.45" customHeight="1" x14ac:dyDescent="0.25">
      <c r="A8" s="8"/>
      <c r="B8" s="11" t="s">
        <v>14</v>
      </c>
      <c r="C8" s="16"/>
      <c r="D8" s="344" t="s">
        <v>15</v>
      </c>
      <c r="E8" s="345"/>
      <c r="F8" s="345"/>
      <c r="G8" s="19"/>
      <c r="H8" s="9"/>
      <c r="I8" s="114"/>
      <c r="J8" s="114"/>
      <c r="K8" s="208" t="s">
        <v>416</v>
      </c>
      <c r="L8" s="10" t="s">
        <v>417</v>
      </c>
      <c r="M8" s="10" t="s">
        <v>418</v>
      </c>
      <c r="N8" s="10" t="s">
        <v>420</v>
      </c>
      <c r="O8" s="10" t="s">
        <v>419</v>
      </c>
      <c r="P8" s="207" t="s">
        <v>316</v>
      </c>
    </row>
    <row r="9" spans="1:16" s="10" customFormat="1" ht="20.100000000000001" customHeight="1" x14ac:dyDescent="0.25">
      <c r="A9" s="8"/>
      <c r="B9" s="346" t="s">
        <v>16</v>
      </c>
      <c r="C9" s="348" t="s">
        <v>414</v>
      </c>
      <c r="D9" s="348"/>
      <c r="E9" s="348"/>
      <c r="F9" s="348"/>
      <c r="G9" s="349"/>
      <c r="H9" s="9"/>
      <c r="I9" s="114"/>
      <c r="J9" s="114"/>
      <c r="K9" s="186"/>
    </row>
    <row r="10" spans="1:16" s="10" customFormat="1" ht="42.75" customHeight="1" thickBot="1" x14ac:dyDescent="0.3">
      <c r="A10" s="8"/>
      <c r="B10" s="347"/>
      <c r="C10" s="350"/>
      <c r="D10" s="350"/>
      <c r="E10" s="350"/>
      <c r="F10" s="350"/>
      <c r="G10" s="351"/>
      <c r="H10" s="9"/>
      <c r="I10" s="114"/>
      <c r="J10" s="205"/>
      <c r="K10" s="208">
        <f>+J10*1.25</f>
        <v>0</v>
      </c>
      <c r="L10" s="10">
        <f>+K10*10%</f>
        <v>0</v>
      </c>
      <c r="M10" s="10">
        <v>31800</v>
      </c>
      <c r="N10" s="10">
        <f>+K10*0.2</f>
        <v>0</v>
      </c>
      <c r="O10" s="206">
        <f>+K10-L10-M10-N10</f>
        <v>-31800</v>
      </c>
      <c r="P10" s="206" t="e">
        <f>+O10/K10</f>
        <v>#DIV/0!</v>
      </c>
    </row>
    <row r="11" spans="1:16" s="10" customFormat="1" ht="9.9499999999999993" customHeight="1" thickBot="1" x14ac:dyDescent="0.3">
      <c r="A11" s="8"/>
      <c r="B11" s="352"/>
      <c r="C11" s="352"/>
      <c r="D11" s="352"/>
      <c r="E11" s="352"/>
      <c r="F11" s="352"/>
      <c r="G11" s="352"/>
      <c r="H11" s="9"/>
      <c r="I11" s="114"/>
      <c r="J11" s="114"/>
      <c r="K11" s="186"/>
    </row>
    <row r="12" spans="1:16" s="10" customFormat="1" ht="20.100000000000001" customHeight="1" x14ac:dyDescent="0.25">
      <c r="A12" s="8"/>
      <c r="B12" s="341" t="s">
        <v>17</v>
      </c>
      <c r="C12" s="342"/>
      <c r="D12" s="342"/>
      <c r="E12" s="342"/>
      <c r="F12" s="342"/>
      <c r="G12" s="343"/>
      <c r="H12" s="9"/>
      <c r="I12" s="114"/>
      <c r="J12" s="114"/>
      <c r="K12" s="186"/>
    </row>
    <row r="13" spans="1:16" s="10" customFormat="1" ht="20.100000000000001" customHeight="1" x14ac:dyDescent="0.25">
      <c r="A13" s="8"/>
      <c r="B13" s="20" t="s">
        <v>18</v>
      </c>
      <c r="C13" s="16"/>
      <c r="D13" s="21" t="s">
        <v>19</v>
      </c>
      <c r="E13" s="87"/>
      <c r="F13" s="21" t="s">
        <v>20</v>
      </c>
      <c r="G13" s="22"/>
      <c r="H13" s="9"/>
      <c r="I13" s="114"/>
      <c r="J13" s="114"/>
      <c r="K13" s="186"/>
    </row>
    <row r="14" spans="1:16" s="10" customFormat="1" ht="20.25" customHeight="1" x14ac:dyDescent="0.25">
      <c r="A14" s="8"/>
      <c r="B14" s="20" t="s">
        <v>21</v>
      </c>
      <c r="C14" s="16"/>
      <c r="D14" s="21" t="s">
        <v>22</v>
      </c>
      <c r="E14" s="88"/>
      <c r="F14" s="21" t="s">
        <v>23</v>
      </c>
      <c r="G14" s="18"/>
      <c r="H14" s="9"/>
      <c r="I14" s="114"/>
      <c r="J14" s="114"/>
      <c r="K14" s="186"/>
    </row>
    <row r="15" spans="1:16" s="10" customFormat="1" ht="29.45" customHeight="1" thickBot="1" x14ac:dyDescent="0.3">
      <c r="A15" s="8"/>
      <c r="B15" s="23" t="s">
        <v>24</v>
      </c>
      <c r="C15" s="24"/>
      <c r="D15" s="25" t="s">
        <v>25</v>
      </c>
      <c r="E15" s="89"/>
      <c r="F15" s="25" t="s">
        <v>26</v>
      </c>
      <c r="G15" s="168"/>
      <c r="H15" s="9"/>
      <c r="I15" s="114"/>
      <c r="J15" s="114"/>
      <c r="K15" s="186"/>
    </row>
    <row r="16" spans="1:16" s="10" customFormat="1" ht="9.9499999999999993" customHeight="1" thickBot="1" x14ac:dyDescent="0.3">
      <c r="A16" s="8"/>
      <c r="B16" s="353"/>
      <c r="C16" s="353"/>
      <c r="D16" s="353"/>
      <c r="E16" s="353"/>
      <c r="F16" s="353"/>
      <c r="G16" s="353"/>
      <c r="H16" s="9"/>
      <c r="I16" s="114"/>
      <c r="J16" s="114"/>
      <c r="K16" s="186"/>
    </row>
    <row r="17" spans="1:17" ht="28.15" customHeight="1" x14ac:dyDescent="0.25">
      <c r="A17" s="26"/>
      <c r="B17" s="354" t="s">
        <v>118</v>
      </c>
      <c r="C17" s="355"/>
      <c r="D17" s="355"/>
      <c r="E17" s="355"/>
      <c r="F17" s="355"/>
      <c r="G17" s="356"/>
      <c r="H17" s="27"/>
    </row>
    <row r="18" spans="1:17" x14ac:dyDescent="0.25">
      <c r="A18" s="26"/>
      <c r="B18" s="321" t="s">
        <v>107</v>
      </c>
      <c r="C18" s="322"/>
      <c r="D18" s="80"/>
      <c r="E18" s="90"/>
      <c r="F18" s="80"/>
      <c r="G18" s="81"/>
      <c r="H18" s="27"/>
    </row>
    <row r="19" spans="1:17" ht="24" customHeight="1" x14ac:dyDescent="0.25">
      <c r="A19" s="26"/>
      <c r="B19" s="323" t="s">
        <v>105</v>
      </c>
      <c r="C19" s="324"/>
      <c r="D19" s="111"/>
      <c r="E19" s="112"/>
      <c r="F19" s="111"/>
      <c r="G19" s="113"/>
      <c r="H19" s="27"/>
      <c r="I19" s="122">
        <f>+I21*1.1</f>
        <v>52971.600000000006</v>
      </c>
    </row>
    <row r="20" spans="1:17" ht="35.25" customHeight="1" x14ac:dyDescent="0.25">
      <c r="A20" s="26"/>
      <c r="B20" s="28">
        <v>1</v>
      </c>
      <c r="C20" s="29" t="s">
        <v>159</v>
      </c>
      <c r="D20" s="30" t="s">
        <v>27</v>
      </c>
      <c r="E20" s="83" t="s">
        <v>28</v>
      </c>
      <c r="F20" s="30" t="s">
        <v>29</v>
      </c>
      <c r="G20" s="32" t="s">
        <v>30</v>
      </c>
      <c r="H20" s="27"/>
      <c r="K20" s="185" t="s">
        <v>29</v>
      </c>
      <c r="L20" s="189"/>
      <c r="M20" s="7">
        <f>+L17-42400</f>
        <v>-42400</v>
      </c>
      <c r="O20" s="204" t="e">
        <f>+M20/L17</f>
        <v>#DIV/0!</v>
      </c>
    </row>
    <row r="21" spans="1:17" s="40" customFormat="1" ht="38.25" x14ac:dyDescent="0.25">
      <c r="A21" s="39"/>
      <c r="B21" s="33">
        <v>1.1000000000000001</v>
      </c>
      <c r="C21" s="41" t="s">
        <v>150</v>
      </c>
      <c r="D21" s="34" t="s">
        <v>34</v>
      </c>
      <c r="E21" s="42">
        <v>278</v>
      </c>
      <c r="F21" s="37">
        <v>52971</v>
      </c>
      <c r="G21" s="35">
        <f>+E21*F21</f>
        <v>14725938</v>
      </c>
      <c r="H21" s="27"/>
      <c r="I21" s="123">
        <v>48156</v>
      </c>
      <c r="J21" s="123"/>
      <c r="K21" s="185">
        <v>48156</v>
      </c>
      <c r="L21" s="189">
        <f>+K21-F21</f>
        <v>-4815</v>
      </c>
    </row>
    <row r="22" spans="1:17" s="40" customFormat="1" ht="22.15" customHeight="1" x14ac:dyDescent="0.25">
      <c r="A22" s="39"/>
      <c r="B22" s="33">
        <v>1.2</v>
      </c>
      <c r="C22" s="41" t="s">
        <v>154</v>
      </c>
      <c r="D22" s="34" t="s">
        <v>149</v>
      </c>
      <c r="E22" s="42">
        <v>278</v>
      </c>
      <c r="F22" s="37">
        <v>585200</v>
      </c>
      <c r="G22" s="35">
        <f>+E22*F22</f>
        <v>162685600</v>
      </c>
      <c r="H22" s="27"/>
      <c r="I22" s="123">
        <v>485000</v>
      </c>
      <c r="J22" s="123"/>
      <c r="K22" s="185">
        <v>485000</v>
      </c>
      <c r="L22" s="189">
        <f>+K22-F22</f>
        <v>-100200</v>
      </c>
      <c r="O22" s="201">
        <v>229776631</v>
      </c>
      <c r="Q22" s="202"/>
    </row>
    <row r="23" spans="1:17" s="40" customFormat="1" ht="24.75" customHeight="1" x14ac:dyDescent="0.25">
      <c r="A23" s="39"/>
      <c r="B23" s="33">
        <v>1.3</v>
      </c>
      <c r="C23" s="41" t="s">
        <v>415</v>
      </c>
      <c r="D23" s="34" t="s">
        <v>48</v>
      </c>
      <c r="E23" s="42">
        <v>392</v>
      </c>
      <c r="F23" s="37">
        <v>75200</v>
      </c>
      <c r="G23" s="35">
        <f>+E23*F23</f>
        <v>29478400</v>
      </c>
      <c r="H23" s="27"/>
      <c r="I23" s="123">
        <v>58529</v>
      </c>
      <c r="J23" s="123"/>
      <c r="K23" s="185">
        <v>58529</v>
      </c>
      <c r="L23" s="189">
        <f>+K23-F23</f>
        <v>-16671</v>
      </c>
      <c r="O23" s="201" t="e">
        <f>+#REF!*0.0883</f>
        <v>#REF!</v>
      </c>
    </row>
    <row r="24" spans="1:17" s="40" customFormat="1" ht="24.75" customHeight="1" x14ac:dyDescent="0.25">
      <c r="A24" s="39"/>
      <c r="B24" s="33">
        <v>1.4</v>
      </c>
      <c r="C24" s="41" t="s">
        <v>421</v>
      </c>
      <c r="D24" s="34" t="s">
        <v>48</v>
      </c>
      <c r="E24" s="42">
        <v>371</v>
      </c>
      <c r="F24" s="37">
        <v>54200</v>
      </c>
      <c r="G24" s="35">
        <f>+E24*F24</f>
        <v>20108200</v>
      </c>
      <c r="H24" s="27"/>
      <c r="I24" s="123"/>
      <c r="J24" s="123"/>
      <c r="K24" s="185"/>
      <c r="L24" s="189"/>
      <c r="O24" s="201"/>
    </row>
    <row r="25" spans="1:17" s="40" customFormat="1" ht="24.75" customHeight="1" x14ac:dyDescent="0.25">
      <c r="A25" s="39"/>
      <c r="B25" s="33">
        <v>1.5</v>
      </c>
      <c r="C25" s="41" t="s">
        <v>422</v>
      </c>
      <c r="D25" s="34" t="s">
        <v>48</v>
      </c>
      <c r="E25" s="42">
        <v>47.3</v>
      </c>
      <c r="F25" s="37">
        <v>56200</v>
      </c>
      <c r="G25" s="35">
        <f>+E25*F25</f>
        <v>2658260</v>
      </c>
      <c r="H25" s="27"/>
      <c r="I25" s="123"/>
      <c r="J25" s="123"/>
      <c r="K25" s="185"/>
      <c r="L25" s="189"/>
      <c r="O25" s="201"/>
    </row>
    <row r="26" spans="1:17" ht="24" customHeight="1" x14ac:dyDescent="0.25">
      <c r="A26" s="26"/>
      <c r="B26" s="305" t="s">
        <v>452</v>
      </c>
      <c r="C26" s="306"/>
      <c r="D26" s="306"/>
      <c r="E26" s="306"/>
      <c r="F26" s="100"/>
      <c r="G26" s="101">
        <f>SUM(G21:G25)</f>
        <v>229656398</v>
      </c>
      <c r="H26" s="27"/>
      <c r="L26" s="189">
        <f>+K26-F26</f>
        <v>0</v>
      </c>
    </row>
    <row r="27" spans="1:17" ht="34.5" customHeight="1" x14ac:dyDescent="0.25">
      <c r="A27" s="26"/>
      <c r="B27" s="28">
        <v>2</v>
      </c>
      <c r="C27" s="29" t="s">
        <v>423</v>
      </c>
      <c r="D27" s="30" t="s">
        <v>27</v>
      </c>
      <c r="E27" s="83" t="s">
        <v>28</v>
      </c>
      <c r="F27" s="30" t="s">
        <v>29</v>
      </c>
      <c r="G27" s="32" t="s">
        <v>30</v>
      </c>
      <c r="H27" s="27"/>
      <c r="K27" s="185" t="s">
        <v>29</v>
      </c>
      <c r="L27" s="189"/>
    </row>
    <row r="28" spans="1:17" s="40" customFormat="1" x14ac:dyDescent="0.25">
      <c r="A28" s="39"/>
      <c r="B28" s="211">
        <v>2.1</v>
      </c>
      <c r="C28" s="212" t="s">
        <v>358</v>
      </c>
      <c r="D28" s="34" t="s">
        <v>34</v>
      </c>
      <c r="E28" s="42" t="e">
        <f>+#REF!</f>
        <v>#REF!</v>
      </c>
      <c r="F28" s="37">
        <v>152350</v>
      </c>
      <c r="G28" s="35" t="e">
        <f t="shared" ref="G28:G60" si="0">+E28*F28</f>
        <v>#REF!</v>
      </c>
      <c r="H28" s="27"/>
      <c r="I28" s="159"/>
      <c r="J28" s="159"/>
      <c r="K28" s="187">
        <v>152350</v>
      </c>
      <c r="L28" s="189">
        <f>+K28-F28</f>
        <v>0</v>
      </c>
      <c r="Q28" s="40">
        <f>+O28*1.4</f>
        <v>0</v>
      </c>
    </row>
    <row r="29" spans="1:17" s="40" customFormat="1" ht="38.25" x14ac:dyDescent="0.25">
      <c r="A29" s="39"/>
      <c r="B29" s="210">
        <v>2.2000000000000002</v>
      </c>
      <c r="C29" s="115" t="s">
        <v>424</v>
      </c>
      <c r="D29" s="38" t="s">
        <v>389</v>
      </c>
      <c r="E29" s="43" t="e">
        <f>+#REF!</f>
        <v>#REF!</v>
      </c>
      <c r="F29" s="117">
        <v>171293</v>
      </c>
      <c r="G29" s="118" t="e">
        <f t="shared" si="0"/>
        <v>#REF!</v>
      </c>
      <c r="H29" s="27"/>
      <c r="I29" s="214"/>
      <c r="J29" s="159"/>
      <c r="K29" s="187"/>
      <c r="L29" s="189"/>
    </row>
    <row r="30" spans="1:17" s="40" customFormat="1" x14ac:dyDescent="0.25">
      <c r="A30" s="39"/>
      <c r="B30" s="211">
        <v>2.2999999999999998</v>
      </c>
      <c r="C30" s="115" t="s">
        <v>425</v>
      </c>
      <c r="D30" s="38" t="s">
        <v>389</v>
      </c>
      <c r="E30" s="43" t="e">
        <f>+#REF!</f>
        <v>#REF!</v>
      </c>
      <c r="F30" s="117">
        <v>27410</v>
      </c>
      <c r="G30" s="118" t="e">
        <f t="shared" si="0"/>
        <v>#REF!</v>
      </c>
      <c r="H30" s="27"/>
      <c r="I30" s="159"/>
      <c r="J30" s="159"/>
      <c r="K30" s="187"/>
      <c r="L30" s="189"/>
    </row>
    <row r="31" spans="1:17" s="40" customFormat="1" x14ac:dyDescent="0.25">
      <c r="A31" s="39"/>
      <c r="B31" s="210">
        <v>2.4</v>
      </c>
      <c r="C31" s="115" t="s">
        <v>426</v>
      </c>
      <c r="D31" s="38" t="s">
        <v>389</v>
      </c>
      <c r="E31" s="43" t="e">
        <f>+#REF!</f>
        <v>#REF!</v>
      </c>
      <c r="F31" s="117">
        <v>25002</v>
      </c>
      <c r="G31" s="118" t="e">
        <f t="shared" si="0"/>
        <v>#REF!</v>
      </c>
      <c r="H31" s="27"/>
      <c r="I31" s="159"/>
      <c r="J31" s="159"/>
      <c r="K31" s="187"/>
      <c r="L31" s="189"/>
    </row>
    <row r="32" spans="1:17" s="40" customFormat="1" ht="16.5" x14ac:dyDescent="0.25">
      <c r="A32" s="39"/>
      <c r="B32" s="211">
        <v>2.5</v>
      </c>
      <c r="C32" s="115" t="s">
        <v>427</v>
      </c>
      <c r="D32" s="38" t="s">
        <v>34</v>
      </c>
      <c r="E32" s="43" t="e">
        <f>+#REF!</f>
        <v>#REF!</v>
      </c>
      <c r="F32" s="117">
        <v>118800</v>
      </c>
      <c r="G32" s="118" t="e">
        <f t="shared" si="0"/>
        <v>#REF!</v>
      </c>
      <c r="H32" s="27"/>
      <c r="I32" s="159"/>
      <c r="J32" s="159"/>
      <c r="K32" s="187"/>
      <c r="L32" s="189"/>
    </row>
    <row r="33" spans="1:20" s="40" customFormat="1" ht="38.25" x14ac:dyDescent="0.25">
      <c r="A33" s="39"/>
      <c r="B33" s="210">
        <v>2.6</v>
      </c>
      <c r="C33" s="115" t="s">
        <v>428</v>
      </c>
      <c r="D33" s="38" t="s">
        <v>389</v>
      </c>
      <c r="E33" s="43" t="e">
        <f>+#REF!</f>
        <v>#REF!</v>
      </c>
      <c r="F33" s="117">
        <v>10773</v>
      </c>
      <c r="G33" s="118" t="e">
        <f t="shared" si="0"/>
        <v>#REF!</v>
      </c>
      <c r="H33" s="27"/>
      <c r="I33" s="159"/>
      <c r="J33" s="159"/>
      <c r="K33" s="187"/>
      <c r="L33" s="189"/>
    </row>
    <row r="34" spans="1:20" s="40" customFormat="1" ht="16.5" x14ac:dyDescent="0.25">
      <c r="A34" s="39"/>
      <c r="B34" s="211">
        <v>2.7</v>
      </c>
      <c r="C34" s="115" t="s">
        <v>429</v>
      </c>
      <c r="D34" s="38" t="s">
        <v>389</v>
      </c>
      <c r="E34" s="43" t="e">
        <f>+#REF!</f>
        <v>#REF!</v>
      </c>
      <c r="F34" s="117">
        <v>61222</v>
      </c>
      <c r="G34" s="118" t="e">
        <f t="shared" si="0"/>
        <v>#REF!</v>
      </c>
      <c r="H34" s="27"/>
      <c r="I34" s="159"/>
      <c r="J34" s="159"/>
      <c r="K34" s="187"/>
      <c r="L34" s="189"/>
    </row>
    <row r="35" spans="1:20" ht="38.25" x14ac:dyDescent="0.25">
      <c r="A35" s="26"/>
      <c r="B35" s="211">
        <v>2.8</v>
      </c>
      <c r="C35" s="212" t="s">
        <v>515</v>
      </c>
      <c r="D35" s="34" t="s">
        <v>389</v>
      </c>
      <c r="E35" s="42" t="e">
        <f>+#REF!</f>
        <v>#REF!</v>
      </c>
      <c r="F35" s="37">
        <v>76867.12</v>
      </c>
      <c r="G35" s="35" t="e">
        <f t="shared" si="0"/>
        <v>#REF!</v>
      </c>
      <c r="H35" s="216"/>
      <c r="I35" s="123"/>
      <c r="J35" s="123"/>
      <c r="K35" s="218"/>
      <c r="L35" s="189"/>
    </row>
    <row r="36" spans="1:20" ht="77.45" customHeight="1" x14ac:dyDescent="0.25">
      <c r="A36" s="26"/>
      <c r="B36" s="210">
        <v>2.9</v>
      </c>
      <c r="C36" s="115" t="s">
        <v>522</v>
      </c>
      <c r="D36" s="38" t="s">
        <v>27</v>
      </c>
      <c r="E36" s="42">
        <v>1</v>
      </c>
      <c r="F36" s="37">
        <v>8137500</v>
      </c>
      <c r="G36" s="118">
        <f t="shared" si="0"/>
        <v>8137500</v>
      </c>
      <c r="H36" s="27"/>
      <c r="I36" s="123">
        <v>4650000</v>
      </c>
      <c r="J36" s="123"/>
      <c r="K36" s="185">
        <v>9201198</v>
      </c>
      <c r="L36" s="189">
        <v>5300000</v>
      </c>
      <c r="M36" s="189">
        <f>+K36-L36</f>
        <v>3901198</v>
      </c>
      <c r="N36" s="189"/>
      <c r="O36" s="197">
        <f>+M36/L36</f>
        <v>0.73607509433962259</v>
      </c>
      <c r="P36" s="199">
        <f>+O36-1.19</f>
        <v>-0.45392490566037735</v>
      </c>
      <c r="Q36" s="7">
        <f>+F36*1.25</f>
        <v>10171875</v>
      </c>
      <c r="R36" s="121">
        <f>+Q36*0.2</f>
        <v>2034375</v>
      </c>
      <c r="S36" s="198">
        <f>+Q36-L36-R36-Q36*0.0883</f>
        <v>1939323.4375</v>
      </c>
      <c r="T36" s="199">
        <f>+S36/Q36</f>
        <v>0.19065545314900154</v>
      </c>
    </row>
    <row r="37" spans="1:20" ht="69.599999999999994" customHeight="1" x14ac:dyDescent="0.25">
      <c r="A37" s="26"/>
      <c r="B37" s="213">
        <v>2.1</v>
      </c>
      <c r="C37" s="36" t="s">
        <v>523</v>
      </c>
      <c r="D37" s="38" t="s">
        <v>27</v>
      </c>
      <c r="E37" s="42">
        <v>1</v>
      </c>
      <c r="F37" s="37">
        <v>4637500</v>
      </c>
      <c r="G37" s="118">
        <f t="shared" si="0"/>
        <v>4637500</v>
      </c>
      <c r="H37" s="27"/>
      <c r="I37" s="123">
        <v>2650000</v>
      </c>
      <c r="J37" s="123"/>
      <c r="K37" s="185">
        <v>1372799</v>
      </c>
      <c r="L37" s="189">
        <f t="shared" ref="L37:L61" si="1">+K37-F37</f>
        <v>-3264701</v>
      </c>
    </row>
    <row r="38" spans="1:20" ht="85.15" customHeight="1" x14ac:dyDescent="0.25">
      <c r="A38" s="26"/>
      <c r="B38" s="209">
        <v>2.11</v>
      </c>
      <c r="C38" s="36" t="s">
        <v>524</v>
      </c>
      <c r="D38" s="38" t="s">
        <v>27</v>
      </c>
      <c r="E38" s="42">
        <v>1</v>
      </c>
      <c r="F38" s="37">
        <v>4900000</v>
      </c>
      <c r="G38" s="118">
        <f t="shared" si="0"/>
        <v>4900000</v>
      </c>
      <c r="H38" s="27"/>
      <c r="I38" s="123">
        <v>2800000</v>
      </c>
      <c r="J38" s="123"/>
      <c r="K38" s="185">
        <v>8079175</v>
      </c>
      <c r="L38" s="189">
        <f t="shared" si="1"/>
        <v>3179175</v>
      </c>
      <c r="P38" s="200"/>
    </row>
    <row r="39" spans="1:20" ht="68.45" customHeight="1" x14ac:dyDescent="0.25">
      <c r="A39" s="26"/>
      <c r="B39" s="213">
        <v>2.12</v>
      </c>
      <c r="C39" s="36" t="s">
        <v>525</v>
      </c>
      <c r="D39" s="38" t="s">
        <v>27</v>
      </c>
      <c r="E39" s="42">
        <v>1</v>
      </c>
      <c r="F39" s="37">
        <v>4725000</v>
      </c>
      <c r="G39" s="118">
        <f t="shared" si="0"/>
        <v>4725000</v>
      </c>
      <c r="H39" s="27"/>
      <c r="I39" s="123">
        <v>2700000</v>
      </c>
      <c r="J39" s="123"/>
      <c r="K39" s="185">
        <v>2420664</v>
      </c>
      <c r="L39" s="189">
        <f t="shared" si="1"/>
        <v>-2304336</v>
      </c>
      <c r="P39" s="200"/>
    </row>
    <row r="40" spans="1:20" ht="80.45" customHeight="1" x14ac:dyDescent="0.25">
      <c r="A40" s="26"/>
      <c r="B40" s="209">
        <v>2.13</v>
      </c>
      <c r="C40" s="36" t="s">
        <v>526</v>
      </c>
      <c r="D40" s="38" t="s">
        <v>27</v>
      </c>
      <c r="E40" s="42">
        <v>1</v>
      </c>
      <c r="F40" s="37">
        <v>4900000</v>
      </c>
      <c r="G40" s="118">
        <f t="shared" si="0"/>
        <v>4900000</v>
      </c>
      <c r="H40" s="27"/>
      <c r="I40" s="123">
        <v>2800000</v>
      </c>
      <c r="J40" s="123"/>
      <c r="K40" s="185">
        <v>6250503</v>
      </c>
      <c r="L40" s="189">
        <f t="shared" si="1"/>
        <v>1350503</v>
      </c>
    </row>
    <row r="41" spans="1:20" ht="91.5" customHeight="1" x14ac:dyDescent="0.25">
      <c r="A41" s="26"/>
      <c r="B41" s="213">
        <v>2.14</v>
      </c>
      <c r="C41" s="36" t="s">
        <v>527</v>
      </c>
      <c r="D41" s="38" t="s">
        <v>27</v>
      </c>
      <c r="E41" s="42">
        <v>1</v>
      </c>
      <c r="F41" s="37">
        <v>4725000</v>
      </c>
      <c r="G41" s="118">
        <f t="shared" si="0"/>
        <v>4725000</v>
      </c>
      <c r="H41" s="27"/>
      <c r="I41" s="123">
        <v>2700000</v>
      </c>
      <c r="J41" s="123"/>
      <c r="K41" s="185">
        <v>2504932</v>
      </c>
      <c r="L41" s="189">
        <f t="shared" si="1"/>
        <v>-2220068</v>
      </c>
    </row>
    <row r="42" spans="1:20" ht="78.599999999999994" customHeight="1" x14ac:dyDescent="0.25">
      <c r="A42" s="26"/>
      <c r="B42" s="209">
        <v>2.15</v>
      </c>
      <c r="C42" s="36" t="s">
        <v>528</v>
      </c>
      <c r="D42" s="38" t="s">
        <v>27</v>
      </c>
      <c r="E42" s="42">
        <v>1</v>
      </c>
      <c r="F42" s="37">
        <v>5075000</v>
      </c>
      <c r="G42" s="118">
        <f t="shared" si="0"/>
        <v>5075000</v>
      </c>
      <c r="H42" s="27"/>
      <c r="I42" s="123">
        <v>2900000</v>
      </c>
      <c r="J42" s="123"/>
      <c r="K42" s="185">
        <v>854470</v>
      </c>
      <c r="L42" s="189">
        <f t="shared" si="1"/>
        <v>-4220530</v>
      </c>
    </row>
    <row r="43" spans="1:20" ht="67.5" customHeight="1" x14ac:dyDescent="0.25">
      <c r="A43" s="26"/>
      <c r="B43" s="213">
        <v>2.16</v>
      </c>
      <c r="C43" s="36" t="s">
        <v>529</v>
      </c>
      <c r="D43" s="38" t="s">
        <v>27</v>
      </c>
      <c r="E43" s="42">
        <v>1</v>
      </c>
      <c r="F43" s="37">
        <v>4462500</v>
      </c>
      <c r="G43" s="118">
        <f t="shared" si="0"/>
        <v>4462500</v>
      </c>
      <c r="H43" s="27"/>
      <c r="I43" s="123">
        <v>2550000</v>
      </c>
      <c r="J43" s="123"/>
      <c r="K43" s="185">
        <v>1723199</v>
      </c>
      <c r="L43" s="189">
        <f t="shared" si="1"/>
        <v>-2739301</v>
      </c>
    </row>
    <row r="44" spans="1:20" ht="70.150000000000006" customHeight="1" x14ac:dyDescent="0.25">
      <c r="A44" s="26"/>
      <c r="B44" s="209">
        <v>2.17</v>
      </c>
      <c r="C44" s="36" t="s">
        <v>530</v>
      </c>
      <c r="D44" s="38" t="s">
        <v>27</v>
      </c>
      <c r="E44" s="42">
        <v>1</v>
      </c>
      <c r="F44" s="37">
        <v>4637500</v>
      </c>
      <c r="G44" s="118">
        <f t="shared" si="0"/>
        <v>4637500</v>
      </c>
      <c r="H44" s="27"/>
      <c r="I44" s="123">
        <v>2650000</v>
      </c>
      <c r="J44" s="123"/>
      <c r="K44" s="185">
        <v>2014817</v>
      </c>
      <c r="L44" s="189">
        <f t="shared" si="1"/>
        <v>-2622683</v>
      </c>
    </row>
    <row r="45" spans="1:20" ht="77.45" customHeight="1" x14ac:dyDescent="0.25">
      <c r="A45" s="26"/>
      <c r="B45" s="213">
        <v>2.1800000000000002</v>
      </c>
      <c r="C45" s="36" t="s">
        <v>531</v>
      </c>
      <c r="D45" s="38" t="s">
        <v>27</v>
      </c>
      <c r="E45" s="42">
        <v>1</v>
      </c>
      <c r="F45" s="37">
        <v>4287500</v>
      </c>
      <c r="G45" s="118">
        <f t="shared" si="0"/>
        <v>4287500</v>
      </c>
      <c r="H45" s="27"/>
      <c r="I45" s="123">
        <v>2450000</v>
      </c>
      <c r="J45" s="123"/>
      <c r="K45" s="185">
        <v>2081094</v>
      </c>
      <c r="L45" s="189">
        <f t="shared" si="1"/>
        <v>-2206406</v>
      </c>
    </row>
    <row r="46" spans="1:20" ht="63" customHeight="1" x14ac:dyDescent="0.25">
      <c r="A46" s="26"/>
      <c r="B46" s="209">
        <v>2.19</v>
      </c>
      <c r="C46" s="36" t="s">
        <v>532</v>
      </c>
      <c r="D46" s="38" t="s">
        <v>27</v>
      </c>
      <c r="E46" s="42">
        <v>1</v>
      </c>
      <c r="F46" s="37">
        <v>4725000</v>
      </c>
      <c r="G46" s="118">
        <f t="shared" si="0"/>
        <v>4725000</v>
      </c>
      <c r="H46" s="27"/>
      <c r="I46" s="123">
        <v>2700000</v>
      </c>
      <c r="J46" s="123"/>
      <c r="K46" s="185">
        <v>10929600</v>
      </c>
      <c r="L46" s="189">
        <f t="shared" si="1"/>
        <v>6204600</v>
      </c>
    </row>
    <row r="47" spans="1:20" ht="88.15" customHeight="1" x14ac:dyDescent="0.25">
      <c r="A47" s="26"/>
      <c r="B47" s="213">
        <v>2.2000000000000002</v>
      </c>
      <c r="C47" s="36" t="s">
        <v>533</v>
      </c>
      <c r="D47" s="38" t="s">
        <v>27</v>
      </c>
      <c r="E47" s="42">
        <v>1</v>
      </c>
      <c r="F47" s="37">
        <v>4812500</v>
      </c>
      <c r="G47" s="118">
        <f t="shared" si="0"/>
        <v>4812500</v>
      </c>
      <c r="H47" s="27"/>
      <c r="I47" s="123">
        <v>2750000</v>
      </c>
      <c r="J47" s="123"/>
      <c r="K47" s="185">
        <v>12028500</v>
      </c>
      <c r="L47" s="189">
        <f t="shared" si="1"/>
        <v>7216000</v>
      </c>
    </row>
    <row r="48" spans="1:20" ht="87" customHeight="1" x14ac:dyDescent="0.25">
      <c r="A48" s="26"/>
      <c r="B48" s="209">
        <v>2.21</v>
      </c>
      <c r="C48" s="36" t="s">
        <v>534</v>
      </c>
      <c r="D48" s="38" t="s">
        <v>27</v>
      </c>
      <c r="E48" s="42">
        <v>1</v>
      </c>
      <c r="F48" s="37">
        <v>1715000</v>
      </c>
      <c r="G48" s="118">
        <f t="shared" si="0"/>
        <v>1715000</v>
      </c>
      <c r="H48" s="27"/>
      <c r="I48" s="123">
        <v>980000</v>
      </c>
      <c r="J48" s="123"/>
      <c r="K48" s="185">
        <v>10453500</v>
      </c>
      <c r="L48" s="189">
        <f t="shared" si="1"/>
        <v>8738500</v>
      </c>
    </row>
    <row r="49" spans="1:17" ht="87" customHeight="1" x14ac:dyDescent="0.25">
      <c r="A49" s="26"/>
      <c r="B49" s="213">
        <v>2.2200000000000002</v>
      </c>
      <c r="C49" s="36" t="s">
        <v>535</v>
      </c>
      <c r="D49" s="38" t="s">
        <v>27</v>
      </c>
      <c r="E49" s="42">
        <v>1</v>
      </c>
      <c r="F49" s="37">
        <v>4200000</v>
      </c>
      <c r="G49" s="118">
        <f t="shared" si="0"/>
        <v>4200000</v>
      </c>
      <c r="H49" s="27"/>
      <c r="I49" s="123">
        <v>2400000</v>
      </c>
      <c r="J49" s="123"/>
      <c r="K49" s="185">
        <v>8806500</v>
      </c>
      <c r="L49" s="189">
        <f t="shared" si="1"/>
        <v>4606500</v>
      </c>
    </row>
    <row r="50" spans="1:17" ht="84" customHeight="1" x14ac:dyDescent="0.25">
      <c r="A50" s="26"/>
      <c r="B50" s="209">
        <v>2.23</v>
      </c>
      <c r="C50" s="36" t="s">
        <v>536</v>
      </c>
      <c r="D50" s="38" t="s">
        <v>27</v>
      </c>
      <c r="E50" s="42">
        <v>1</v>
      </c>
      <c r="F50" s="37">
        <v>4112500</v>
      </c>
      <c r="G50" s="118">
        <f t="shared" si="0"/>
        <v>4112500</v>
      </c>
      <c r="H50" s="27"/>
      <c r="I50" s="123">
        <v>2350000</v>
      </c>
      <c r="J50" s="123"/>
      <c r="K50" s="185">
        <v>1166400</v>
      </c>
      <c r="L50" s="189">
        <f t="shared" si="1"/>
        <v>-2946100</v>
      </c>
    </row>
    <row r="51" spans="1:17" ht="70.5" customHeight="1" x14ac:dyDescent="0.25">
      <c r="A51" s="26"/>
      <c r="B51" s="213">
        <v>2.2400000000000002</v>
      </c>
      <c r="C51" s="36" t="s">
        <v>537</v>
      </c>
      <c r="D51" s="38" t="s">
        <v>27</v>
      </c>
      <c r="E51" s="42">
        <v>1</v>
      </c>
      <c r="F51" s="37">
        <v>3937500</v>
      </c>
      <c r="G51" s="118">
        <f t="shared" si="0"/>
        <v>3937500</v>
      </c>
      <c r="H51" s="27"/>
      <c r="I51" s="123">
        <v>2250000</v>
      </c>
      <c r="J51" s="123"/>
      <c r="K51" s="185">
        <v>2568000</v>
      </c>
      <c r="L51" s="189">
        <f t="shared" si="1"/>
        <v>-1369500</v>
      </c>
    </row>
    <row r="52" spans="1:17" ht="77.45" customHeight="1" x14ac:dyDescent="0.25">
      <c r="A52" s="26"/>
      <c r="B52" s="209">
        <v>2.25</v>
      </c>
      <c r="C52" s="36" t="s">
        <v>538</v>
      </c>
      <c r="D52" s="38" t="s">
        <v>27</v>
      </c>
      <c r="E52" s="42">
        <v>1</v>
      </c>
      <c r="F52" s="37">
        <v>3937500</v>
      </c>
      <c r="G52" s="118">
        <f t="shared" si="0"/>
        <v>3937500</v>
      </c>
      <c r="H52" s="27"/>
      <c r="I52" s="123">
        <v>2250000</v>
      </c>
      <c r="J52" s="123"/>
      <c r="K52" s="185">
        <v>4784000</v>
      </c>
      <c r="L52" s="189">
        <f t="shared" si="1"/>
        <v>846500</v>
      </c>
    </row>
    <row r="53" spans="1:17" ht="77.45" customHeight="1" x14ac:dyDescent="0.25">
      <c r="A53" s="26"/>
      <c r="B53" s="209">
        <v>2.25</v>
      </c>
      <c r="C53" s="36" t="s">
        <v>539</v>
      </c>
      <c r="D53" s="38" t="s">
        <v>27</v>
      </c>
      <c r="E53" s="42">
        <v>1</v>
      </c>
      <c r="F53" s="37">
        <v>7962500</v>
      </c>
      <c r="G53" s="118">
        <f>+E53*F53</f>
        <v>7962500</v>
      </c>
      <c r="H53" s="27"/>
      <c r="I53" s="123">
        <v>4550000</v>
      </c>
      <c r="J53" s="123"/>
      <c r="K53" s="185">
        <v>4784000</v>
      </c>
      <c r="L53" s="189">
        <f>+K53-F53</f>
        <v>-3178500</v>
      </c>
    </row>
    <row r="54" spans="1:17" ht="74.45" customHeight="1" x14ac:dyDescent="0.25">
      <c r="A54" s="26"/>
      <c r="B54" s="209">
        <v>2.25</v>
      </c>
      <c r="C54" s="36" t="s">
        <v>540</v>
      </c>
      <c r="D54" s="38" t="s">
        <v>27</v>
      </c>
      <c r="E54" s="42">
        <v>1</v>
      </c>
      <c r="F54" s="37">
        <v>2100000</v>
      </c>
      <c r="G54" s="118">
        <f t="shared" si="0"/>
        <v>2100000</v>
      </c>
      <c r="H54" s="27"/>
      <c r="I54" s="123">
        <v>1200000</v>
      </c>
      <c r="J54" s="123"/>
      <c r="K54" s="185">
        <v>4784000</v>
      </c>
      <c r="L54" s="189">
        <f t="shared" si="1"/>
        <v>2684000</v>
      </c>
    </row>
    <row r="55" spans="1:17" ht="72.599999999999994" customHeight="1" x14ac:dyDescent="0.25">
      <c r="A55" s="26"/>
      <c r="B55" s="209">
        <v>2.25</v>
      </c>
      <c r="C55" s="36" t="s">
        <v>541</v>
      </c>
      <c r="D55" s="38" t="s">
        <v>27</v>
      </c>
      <c r="E55" s="42">
        <v>1</v>
      </c>
      <c r="F55" s="37">
        <v>5635000</v>
      </c>
      <c r="G55" s="118">
        <f>+E55*F55</f>
        <v>5635000</v>
      </c>
      <c r="H55" s="27"/>
      <c r="I55" s="123">
        <v>3220000</v>
      </c>
      <c r="J55" s="123"/>
      <c r="K55" s="185">
        <v>4784000</v>
      </c>
      <c r="L55" s="189">
        <f>+K55-F55</f>
        <v>-851000</v>
      </c>
    </row>
    <row r="56" spans="1:17" ht="82.9" customHeight="1" x14ac:dyDescent="0.25">
      <c r="A56" s="26"/>
      <c r="B56" s="209">
        <v>2.25</v>
      </c>
      <c r="C56" s="36" t="s">
        <v>542</v>
      </c>
      <c r="D56" s="38" t="s">
        <v>27</v>
      </c>
      <c r="E56" s="42">
        <v>1</v>
      </c>
      <c r="F56" s="37">
        <v>4340000</v>
      </c>
      <c r="G56" s="118">
        <f t="shared" si="0"/>
        <v>4340000</v>
      </c>
      <c r="H56" s="27"/>
      <c r="I56" s="123">
        <v>2480000</v>
      </c>
      <c r="J56" s="123"/>
      <c r="K56" s="185">
        <v>4784000</v>
      </c>
      <c r="L56" s="189">
        <f t="shared" si="1"/>
        <v>444000</v>
      </c>
    </row>
    <row r="57" spans="1:17" ht="72" customHeight="1" x14ac:dyDescent="0.25">
      <c r="A57" s="26"/>
      <c r="B57" s="209">
        <v>2.25</v>
      </c>
      <c r="C57" s="36" t="s">
        <v>543</v>
      </c>
      <c r="D57" s="38" t="s">
        <v>27</v>
      </c>
      <c r="E57" s="42">
        <v>1</v>
      </c>
      <c r="F57" s="37">
        <v>4287500</v>
      </c>
      <c r="G57" s="118">
        <f>+E57*F57</f>
        <v>4287500</v>
      </c>
      <c r="H57" s="27"/>
      <c r="I57" s="123">
        <v>2450000</v>
      </c>
      <c r="J57" s="123"/>
      <c r="K57" s="185">
        <v>4784000</v>
      </c>
      <c r="L57" s="189">
        <f>+K57-F57</f>
        <v>496500</v>
      </c>
    </row>
    <row r="58" spans="1:17" ht="82.9" customHeight="1" x14ac:dyDescent="0.25">
      <c r="A58" s="26"/>
      <c r="B58" s="209">
        <v>2.25</v>
      </c>
      <c r="C58" s="36" t="s">
        <v>544</v>
      </c>
      <c r="D58" s="38" t="s">
        <v>27</v>
      </c>
      <c r="E58" s="42">
        <v>1</v>
      </c>
      <c r="F58" s="37">
        <v>6247500</v>
      </c>
      <c r="G58" s="118">
        <f>+E58*F58</f>
        <v>6247500</v>
      </c>
      <c r="H58" s="27"/>
      <c r="I58" s="123">
        <v>3570000</v>
      </c>
      <c r="J58" s="123"/>
      <c r="K58" s="185">
        <v>4784000</v>
      </c>
      <c r="L58" s="189">
        <f>+K58-F58</f>
        <v>-1463500</v>
      </c>
    </row>
    <row r="59" spans="1:17" ht="75.599999999999994" customHeight="1" x14ac:dyDescent="0.25">
      <c r="A59" s="26"/>
      <c r="B59" s="209">
        <v>2.25</v>
      </c>
      <c r="C59" s="36" t="s">
        <v>545</v>
      </c>
      <c r="D59" s="38" t="s">
        <v>27</v>
      </c>
      <c r="E59" s="42">
        <v>1</v>
      </c>
      <c r="F59" s="37">
        <v>4812500</v>
      </c>
      <c r="G59" s="118">
        <f>+E59*F59</f>
        <v>4812500</v>
      </c>
      <c r="H59" s="27"/>
      <c r="I59" s="123">
        <v>2750000</v>
      </c>
      <c r="J59" s="123"/>
      <c r="K59" s="185">
        <v>4784000</v>
      </c>
      <c r="L59" s="189">
        <f>+K59-F59</f>
        <v>-28500</v>
      </c>
    </row>
    <row r="60" spans="1:17" ht="72.599999999999994" customHeight="1" x14ac:dyDescent="0.25">
      <c r="A60" s="26"/>
      <c r="B60" s="209">
        <v>2.25</v>
      </c>
      <c r="C60" s="36" t="s">
        <v>546</v>
      </c>
      <c r="D60" s="38" t="s">
        <v>27</v>
      </c>
      <c r="E60" s="42">
        <v>1</v>
      </c>
      <c r="F60" s="37">
        <v>787500</v>
      </c>
      <c r="G60" s="118">
        <f t="shared" si="0"/>
        <v>787500</v>
      </c>
      <c r="H60" s="27"/>
      <c r="I60" s="123">
        <v>450000</v>
      </c>
      <c r="J60" s="123"/>
      <c r="K60" s="185">
        <v>4784000</v>
      </c>
      <c r="L60" s="189">
        <f t="shared" si="1"/>
        <v>3996500</v>
      </c>
    </row>
    <row r="61" spans="1:17" ht="24" customHeight="1" x14ac:dyDescent="0.25">
      <c r="A61" s="26"/>
      <c r="B61" s="305" t="s">
        <v>432</v>
      </c>
      <c r="C61" s="306"/>
      <c r="D61" s="306"/>
      <c r="E61" s="306"/>
      <c r="F61" s="100"/>
      <c r="G61" s="101" t="e">
        <f>SUM(G28:G54)</f>
        <v>#REF!</v>
      </c>
      <c r="H61" s="27"/>
      <c r="J61" s="123"/>
      <c r="L61" s="189">
        <f t="shared" si="1"/>
        <v>0</v>
      </c>
    </row>
    <row r="62" spans="1:17" ht="34.5" customHeight="1" x14ac:dyDescent="0.25">
      <c r="A62" s="26"/>
      <c r="B62" s="28">
        <v>3</v>
      </c>
      <c r="C62" s="29" t="s">
        <v>430</v>
      </c>
      <c r="D62" s="30" t="s">
        <v>27</v>
      </c>
      <c r="E62" s="83" t="s">
        <v>28</v>
      </c>
      <c r="F62" s="30" t="s">
        <v>29</v>
      </c>
      <c r="G62" s="32" t="s">
        <v>30</v>
      </c>
      <c r="H62" s="27"/>
      <c r="J62" s="123"/>
      <c r="K62" s="185" t="s">
        <v>29</v>
      </c>
      <c r="L62" s="189"/>
    </row>
    <row r="63" spans="1:17" s="40" customFormat="1" x14ac:dyDescent="0.25">
      <c r="A63" s="39"/>
      <c r="B63" s="211">
        <v>3.1</v>
      </c>
      <c r="C63" s="212" t="s">
        <v>358</v>
      </c>
      <c r="D63" s="34" t="s">
        <v>34</v>
      </c>
      <c r="E63" s="42" t="e">
        <f>+#REF!</f>
        <v>#REF!</v>
      </c>
      <c r="F63" s="37">
        <v>152350</v>
      </c>
      <c r="G63" s="35" t="e">
        <f t="shared" ref="G63:G89" si="2">+E63*F63</f>
        <v>#REF!</v>
      </c>
      <c r="H63" s="27"/>
      <c r="I63" s="159"/>
      <c r="J63" s="123"/>
      <c r="K63" s="187">
        <v>152350</v>
      </c>
      <c r="L63" s="189">
        <f>+K63-F63</f>
        <v>0</v>
      </c>
      <c r="Q63" s="40">
        <f>+O63*1.4</f>
        <v>0</v>
      </c>
    </row>
    <row r="64" spans="1:17" s="40" customFormat="1" ht="38.25" x14ac:dyDescent="0.25">
      <c r="A64" s="39"/>
      <c r="B64" s="210">
        <v>3.2</v>
      </c>
      <c r="C64" s="115" t="s">
        <v>424</v>
      </c>
      <c r="D64" s="38" t="s">
        <v>389</v>
      </c>
      <c r="E64" s="43" t="e">
        <f>+#REF!</f>
        <v>#REF!</v>
      </c>
      <c r="F64" s="117">
        <v>171293</v>
      </c>
      <c r="G64" s="118" t="e">
        <f t="shared" si="2"/>
        <v>#REF!</v>
      </c>
      <c r="H64" s="27"/>
      <c r="I64" s="159"/>
      <c r="J64" s="159"/>
      <c r="K64" s="187"/>
      <c r="L64" s="189"/>
    </row>
    <row r="65" spans="1:20" s="40" customFormat="1" x14ac:dyDescent="0.25">
      <c r="A65" s="39"/>
      <c r="B65" s="211">
        <v>3.3</v>
      </c>
      <c r="C65" s="115" t="s">
        <v>425</v>
      </c>
      <c r="D65" s="38" t="s">
        <v>389</v>
      </c>
      <c r="E65" s="43" t="e">
        <f>+#REF!</f>
        <v>#REF!</v>
      </c>
      <c r="F65" s="117">
        <v>27410</v>
      </c>
      <c r="G65" s="118" t="e">
        <f t="shared" si="2"/>
        <v>#REF!</v>
      </c>
      <c r="H65" s="27"/>
      <c r="I65" s="159"/>
      <c r="J65" s="159"/>
      <c r="K65" s="187"/>
      <c r="L65" s="189"/>
    </row>
    <row r="66" spans="1:20" s="40" customFormat="1" x14ac:dyDescent="0.25">
      <c r="A66" s="39"/>
      <c r="B66" s="210">
        <v>3.4</v>
      </c>
      <c r="C66" s="115" t="s">
        <v>426</v>
      </c>
      <c r="D66" s="38" t="s">
        <v>389</v>
      </c>
      <c r="E66" s="43" t="e">
        <f>+#REF!</f>
        <v>#REF!</v>
      </c>
      <c r="F66" s="117">
        <v>25002</v>
      </c>
      <c r="G66" s="118" t="e">
        <f t="shared" si="2"/>
        <v>#REF!</v>
      </c>
      <c r="H66" s="27"/>
      <c r="I66" s="159"/>
      <c r="J66" s="159"/>
      <c r="K66" s="187"/>
      <c r="L66" s="189"/>
    </row>
    <row r="67" spans="1:20" s="40" customFormat="1" ht="16.5" x14ac:dyDescent="0.25">
      <c r="A67" s="39"/>
      <c r="B67" s="211">
        <v>3.5</v>
      </c>
      <c r="C67" s="115" t="s">
        <v>427</v>
      </c>
      <c r="D67" s="38" t="s">
        <v>34</v>
      </c>
      <c r="E67" s="43" t="e">
        <f>+#REF!</f>
        <v>#REF!</v>
      </c>
      <c r="F67" s="117">
        <v>118800</v>
      </c>
      <c r="G67" s="118" t="e">
        <f t="shared" si="2"/>
        <v>#REF!</v>
      </c>
      <c r="H67" s="27"/>
      <c r="I67" s="159"/>
      <c r="J67" s="159"/>
      <c r="K67" s="187"/>
      <c r="L67" s="189"/>
    </row>
    <row r="68" spans="1:20" s="40" customFormat="1" ht="38.25" x14ac:dyDescent="0.25">
      <c r="A68" s="39"/>
      <c r="B68" s="210">
        <v>3.6</v>
      </c>
      <c r="C68" s="115" t="s">
        <v>428</v>
      </c>
      <c r="D68" s="38" t="s">
        <v>389</v>
      </c>
      <c r="E68" s="43" t="e">
        <f>+#REF!</f>
        <v>#REF!</v>
      </c>
      <c r="F68" s="117">
        <v>10773</v>
      </c>
      <c r="G68" s="118" t="e">
        <f t="shared" si="2"/>
        <v>#REF!</v>
      </c>
      <c r="H68" s="27"/>
      <c r="I68" s="159"/>
      <c r="J68" s="159"/>
      <c r="K68" s="187"/>
      <c r="L68" s="189"/>
    </row>
    <row r="69" spans="1:20" s="40" customFormat="1" ht="16.5" x14ac:dyDescent="0.25">
      <c r="A69" s="39"/>
      <c r="B69" s="211">
        <v>3.7</v>
      </c>
      <c r="C69" s="115" t="s">
        <v>429</v>
      </c>
      <c r="D69" s="38" t="s">
        <v>389</v>
      </c>
      <c r="E69" s="43" t="e">
        <f>+#REF!</f>
        <v>#REF!</v>
      </c>
      <c r="F69" s="117">
        <v>61222</v>
      </c>
      <c r="G69" s="118" t="e">
        <f t="shared" si="2"/>
        <v>#REF!</v>
      </c>
      <c r="H69" s="27"/>
      <c r="I69" s="159">
        <f>54663*1.13</f>
        <v>61769.189999999995</v>
      </c>
      <c r="J69" s="159"/>
      <c r="K69" s="187"/>
      <c r="L69" s="189"/>
    </row>
    <row r="70" spans="1:20" ht="38.25" x14ac:dyDescent="0.25">
      <c r="A70" s="26"/>
      <c r="B70" s="211">
        <v>3.8</v>
      </c>
      <c r="C70" s="212" t="s">
        <v>515</v>
      </c>
      <c r="D70" s="34" t="s">
        <v>389</v>
      </c>
      <c r="E70" s="42" t="e">
        <f>+#REF!</f>
        <v>#REF!</v>
      </c>
      <c r="F70" s="37">
        <v>76867.12</v>
      </c>
      <c r="G70" s="35" t="e">
        <f t="shared" si="2"/>
        <v>#REF!</v>
      </c>
      <c r="H70" s="216"/>
      <c r="I70" s="123"/>
      <c r="J70" s="123"/>
      <c r="K70" s="218"/>
      <c r="L70" s="189"/>
    </row>
    <row r="71" spans="1:20" ht="79.900000000000006" customHeight="1" x14ac:dyDescent="0.25">
      <c r="A71" s="26"/>
      <c r="B71" s="210">
        <v>3.8</v>
      </c>
      <c r="C71" s="115" t="s">
        <v>547</v>
      </c>
      <c r="D71" s="38" t="s">
        <v>27</v>
      </c>
      <c r="E71" s="42">
        <v>1</v>
      </c>
      <c r="F71" s="37">
        <v>1837500</v>
      </c>
      <c r="G71" s="118">
        <f t="shared" si="2"/>
        <v>1837500</v>
      </c>
      <c r="H71" s="27"/>
      <c r="I71" s="123">
        <v>1050000</v>
      </c>
      <c r="J71" s="123"/>
      <c r="K71" s="185">
        <v>9201198</v>
      </c>
      <c r="L71" s="189">
        <v>5300000</v>
      </c>
      <c r="M71" s="189">
        <f>+K71-L71</f>
        <v>3901198</v>
      </c>
      <c r="N71" s="189"/>
      <c r="O71" s="197">
        <f>+M71/L71</f>
        <v>0.73607509433962259</v>
      </c>
      <c r="P71" s="199">
        <f>+O71-1.19</f>
        <v>-0.45392490566037735</v>
      </c>
      <c r="Q71" s="7">
        <f>+F71*1.25</f>
        <v>2296875</v>
      </c>
      <c r="R71" s="121">
        <f>+Q71*0.2</f>
        <v>459375</v>
      </c>
      <c r="S71" s="198">
        <f>+Q71-L71-R71-Q71*0.0883</f>
        <v>-3665314.0625</v>
      </c>
      <c r="T71" s="199">
        <f>+S71/Q71</f>
        <v>-1.5957829931972789</v>
      </c>
    </row>
    <row r="72" spans="1:20" ht="87" customHeight="1" x14ac:dyDescent="0.25">
      <c r="A72" s="26"/>
      <c r="B72" s="211">
        <v>3.9</v>
      </c>
      <c r="C72" s="36" t="s">
        <v>548</v>
      </c>
      <c r="D72" s="38" t="s">
        <v>27</v>
      </c>
      <c r="E72" s="42">
        <v>1</v>
      </c>
      <c r="F72" s="37">
        <v>3062500</v>
      </c>
      <c r="G72" s="118">
        <f t="shared" si="2"/>
        <v>3062500</v>
      </c>
      <c r="H72" s="27"/>
      <c r="I72" s="123">
        <v>1750000</v>
      </c>
      <c r="J72" s="123"/>
      <c r="K72" s="185">
        <v>1372799</v>
      </c>
      <c r="L72" s="189">
        <f t="shared" ref="L72:L90" si="3">+K72-F72</f>
        <v>-1689701</v>
      </c>
    </row>
    <row r="73" spans="1:20" ht="85.15" customHeight="1" x14ac:dyDescent="0.25">
      <c r="A73" s="26"/>
      <c r="B73" s="209">
        <v>3.1</v>
      </c>
      <c r="C73" s="36" t="s">
        <v>549</v>
      </c>
      <c r="D73" s="38" t="s">
        <v>27</v>
      </c>
      <c r="E73" s="42">
        <v>1</v>
      </c>
      <c r="F73" s="37">
        <v>4375000</v>
      </c>
      <c r="G73" s="118">
        <f t="shared" si="2"/>
        <v>4375000</v>
      </c>
      <c r="H73" s="27"/>
      <c r="I73" s="123">
        <v>2500000</v>
      </c>
      <c r="J73" s="123"/>
      <c r="K73" s="185">
        <v>8079175</v>
      </c>
      <c r="L73" s="189">
        <f t="shared" si="3"/>
        <v>3704175</v>
      </c>
      <c r="P73" s="200"/>
    </row>
    <row r="74" spans="1:20" ht="64.5" customHeight="1" x14ac:dyDescent="0.25">
      <c r="A74" s="26"/>
      <c r="B74" s="213">
        <v>3.11</v>
      </c>
      <c r="C74" s="36" t="s">
        <v>550</v>
      </c>
      <c r="D74" s="38" t="s">
        <v>27</v>
      </c>
      <c r="E74" s="42">
        <v>1</v>
      </c>
      <c r="F74" s="37">
        <v>4900000</v>
      </c>
      <c r="G74" s="118">
        <f t="shared" si="2"/>
        <v>4900000</v>
      </c>
      <c r="H74" s="27"/>
      <c r="I74" s="123">
        <v>2800000</v>
      </c>
      <c r="J74" s="123"/>
      <c r="K74" s="185">
        <v>2420664</v>
      </c>
      <c r="L74" s="189">
        <f t="shared" si="3"/>
        <v>-2479336</v>
      </c>
      <c r="P74" s="200"/>
    </row>
    <row r="75" spans="1:20" ht="50.1" customHeight="1" x14ac:dyDescent="0.25">
      <c r="A75" s="26"/>
      <c r="B75" s="209">
        <v>3.12</v>
      </c>
      <c r="C75" s="36" t="s">
        <v>551</v>
      </c>
      <c r="D75" s="38" t="s">
        <v>27</v>
      </c>
      <c r="E75" s="42">
        <v>1</v>
      </c>
      <c r="F75" s="37">
        <v>3850000</v>
      </c>
      <c r="G75" s="118">
        <f t="shared" si="2"/>
        <v>3850000</v>
      </c>
      <c r="H75" s="27"/>
      <c r="I75" s="123">
        <v>2200000</v>
      </c>
      <c r="J75" s="123"/>
      <c r="K75" s="185">
        <v>6250503</v>
      </c>
      <c r="L75" s="189">
        <f t="shared" si="3"/>
        <v>2400503</v>
      </c>
    </row>
    <row r="76" spans="1:20" ht="86.45" customHeight="1" x14ac:dyDescent="0.25">
      <c r="A76" s="26"/>
      <c r="B76" s="213">
        <v>3.13</v>
      </c>
      <c r="C76" s="36" t="s">
        <v>552</v>
      </c>
      <c r="D76" s="38" t="s">
        <v>27</v>
      </c>
      <c r="E76" s="42">
        <v>1</v>
      </c>
      <c r="F76" s="37">
        <v>3325000</v>
      </c>
      <c r="G76" s="118">
        <f t="shared" si="2"/>
        <v>3325000</v>
      </c>
      <c r="H76" s="27"/>
      <c r="I76" s="123">
        <v>1900000</v>
      </c>
      <c r="J76" s="123"/>
      <c r="K76" s="185">
        <v>2504932</v>
      </c>
      <c r="L76" s="189">
        <f t="shared" si="3"/>
        <v>-820068</v>
      </c>
    </row>
    <row r="77" spans="1:20" ht="60.6" customHeight="1" x14ac:dyDescent="0.25">
      <c r="A77" s="26"/>
      <c r="B77" s="209">
        <v>3.14</v>
      </c>
      <c r="C77" s="36" t="s">
        <v>553</v>
      </c>
      <c r="D77" s="38" t="s">
        <v>27</v>
      </c>
      <c r="E77" s="42">
        <v>1</v>
      </c>
      <c r="F77" s="37">
        <v>1575000</v>
      </c>
      <c r="G77" s="118">
        <f t="shared" si="2"/>
        <v>1575000</v>
      </c>
      <c r="H77" s="27"/>
      <c r="I77" s="123">
        <v>900000</v>
      </c>
      <c r="J77" s="123"/>
      <c r="K77" s="185">
        <v>854470</v>
      </c>
      <c r="L77" s="189">
        <f t="shared" si="3"/>
        <v>-720530</v>
      </c>
    </row>
    <row r="78" spans="1:20" ht="68.45" customHeight="1" x14ac:dyDescent="0.25">
      <c r="A78" s="26"/>
      <c r="B78" s="213">
        <v>3.15</v>
      </c>
      <c r="C78" s="36" t="s">
        <v>554</v>
      </c>
      <c r="D78" s="38" t="s">
        <v>27</v>
      </c>
      <c r="E78" s="42">
        <v>1</v>
      </c>
      <c r="F78" s="37">
        <v>5162500</v>
      </c>
      <c r="G78" s="118">
        <f t="shared" si="2"/>
        <v>5162500</v>
      </c>
      <c r="H78" s="27"/>
      <c r="I78" s="123">
        <v>2950000</v>
      </c>
      <c r="J78" s="123"/>
      <c r="K78" s="185">
        <v>1723199</v>
      </c>
      <c r="L78" s="189">
        <f t="shared" si="3"/>
        <v>-3439301</v>
      </c>
    </row>
    <row r="79" spans="1:20" ht="70.150000000000006" customHeight="1" x14ac:dyDescent="0.25">
      <c r="A79" s="26"/>
      <c r="B79" s="209">
        <v>3.16</v>
      </c>
      <c r="C79" s="36" t="s">
        <v>555</v>
      </c>
      <c r="D79" s="38" t="s">
        <v>27</v>
      </c>
      <c r="E79" s="42">
        <v>1</v>
      </c>
      <c r="F79" s="37">
        <v>5775000</v>
      </c>
      <c r="G79" s="118">
        <f t="shared" si="2"/>
        <v>5775000</v>
      </c>
      <c r="H79" s="27"/>
      <c r="I79" s="123">
        <v>3300000</v>
      </c>
      <c r="J79" s="123"/>
      <c r="K79" s="185">
        <v>2014817</v>
      </c>
      <c r="L79" s="189">
        <f t="shared" si="3"/>
        <v>-3760183</v>
      </c>
    </row>
    <row r="80" spans="1:20" ht="65.45" customHeight="1" x14ac:dyDescent="0.25">
      <c r="A80" s="26"/>
      <c r="B80" s="213">
        <v>3.17</v>
      </c>
      <c r="C80" s="36" t="s">
        <v>556</v>
      </c>
      <c r="D80" s="38" t="s">
        <v>27</v>
      </c>
      <c r="E80" s="42">
        <v>1</v>
      </c>
      <c r="F80" s="37">
        <v>4200000</v>
      </c>
      <c r="G80" s="118">
        <f t="shared" si="2"/>
        <v>4200000</v>
      </c>
      <c r="H80" s="27"/>
      <c r="I80" s="123">
        <v>2400000</v>
      </c>
      <c r="J80" s="123"/>
      <c r="K80" s="185">
        <v>2081094</v>
      </c>
      <c r="L80" s="189">
        <f t="shared" si="3"/>
        <v>-2118906</v>
      </c>
    </row>
    <row r="81" spans="1:17" ht="62.45" customHeight="1" x14ac:dyDescent="0.25">
      <c r="A81" s="26"/>
      <c r="B81" s="209">
        <v>3.18</v>
      </c>
      <c r="C81" s="36" t="s">
        <v>557</v>
      </c>
      <c r="D81" s="38" t="s">
        <v>27</v>
      </c>
      <c r="E81" s="42">
        <v>1</v>
      </c>
      <c r="F81" s="37">
        <v>1575000</v>
      </c>
      <c r="G81" s="118">
        <f t="shared" si="2"/>
        <v>1575000</v>
      </c>
      <c r="H81" s="27"/>
      <c r="I81" s="123">
        <v>900000</v>
      </c>
      <c r="J81" s="123"/>
      <c r="K81" s="185">
        <v>10929600</v>
      </c>
      <c r="L81" s="189">
        <f t="shared" si="3"/>
        <v>9354600</v>
      </c>
    </row>
    <row r="82" spans="1:17" ht="88.15" customHeight="1" x14ac:dyDescent="0.25">
      <c r="A82" s="26"/>
      <c r="B82" s="213">
        <v>3.19</v>
      </c>
      <c r="C82" s="36" t="s">
        <v>558</v>
      </c>
      <c r="D82" s="38" t="s">
        <v>27</v>
      </c>
      <c r="E82" s="42">
        <v>1</v>
      </c>
      <c r="F82" s="37">
        <v>3062500</v>
      </c>
      <c r="G82" s="118">
        <f t="shared" si="2"/>
        <v>3062500</v>
      </c>
      <c r="H82" s="27"/>
      <c r="I82" s="123">
        <v>1750000</v>
      </c>
      <c r="J82" s="123"/>
      <c r="K82" s="185">
        <v>12028500</v>
      </c>
      <c r="L82" s="189">
        <f t="shared" si="3"/>
        <v>8966000</v>
      </c>
    </row>
    <row r="83" spans="1:17" ht="87" customHeight="1" x14ac:dyDescent="0.25">
      <c r="A83" s="26"/>
      <c r="B83" s="209">
        <v>3.2</v>
      </c>
      <c r="C83" s="36" t="s">
        <v>559</v>
      </c>
      <c r="D83" s="38" t="s">
        <v>27</v>
      </c>
      <c r="E83" s="42">
        <v>1</v>
      </c>
      <c r="F83" s="37">
        <v>7087500</v>
      </c>
      <c r="G83" s="118">
        <f t="shared" si="2"/>
        <v>7087500</v>
      </c>
      <c r="H83" s="27"/>
      <c r="I83" s="123">
        <v>4050000</v>
      </c>
      <c r="J83" s="123"/>
      <c r="K83" s="185">
        <v>10453500</v>
      </c>
      <c r="L83" s="189">
        <f t="shared" si="3"/>
        <v>3366000</v>
      </c>
    </row>
    <row r="84" spans="1:17" ht="87" customHeight="1" x14ac:dyDescent="0.25">
      <c r="A84" s="26"/>
      <c r="B84" s="213">
        <v>3.21</v>
      </c>
      <c r="C84" s="36" t="s">
        <v>560</v>
      </c>
      <c r="D84" s="38" t="s">
        <v>27</v>
      </c>
      <c r="E84" s="42">
        <v>1</v>
      </c>
      <c r="F84" s="37">
        <v>8575000</v>
      </c>
      <c r="G84" s="118">
        <f t="shared" si="2"/>
        <v>8575000</v>
      </c>
      <c r="H84" s="27"/>
      <c r="I84" s="123">
        <v>4900000</v>
      </c>
      <c r="J84" s="123"/>
      <c r="K84" s="185">
        <v>8806500</v>
      </c>
      <c r="L84" s="189">
        <f t="shared" si="3"/>
        <v>231500</v>
      </c>
    </row>
    <row r="85" spans="1:17" ht="57.6" customHeight="1" x14ac:dyDescent="0.25">
      <c r="A85" s="26"/>
      <c r="B85" s="209">
        <v>3.22</v>
      </c>
      <c r="C85" s="36" t="s">
        <v>561</v>
      </c>
      <c r="D85" s="38" t="s">
        <v>27</v>
      </c>
      <c r="E85" s="42">
        <v>1</v>
      </c>
      <c r="F85" s="37">
        <v>1610000</v>
      </c>
      <c r="G85" s="118">
        <f t="shared" si="2"/>
        <v>1610000</v>
      </c>
      <c r="H85" s="27"/>
      <c r="I85" s="123">
        <v>920000</v>
      </c>
      <c r="J85" s="123"/>
      <c r="K85" s="185">
        <v>1166400</v>
      </c>
      <c r="L85" s="189">
        <f t="shared" si="3"/>
        <v>-443600</v>
      </c>
    </row>
    <row r="86" spans="1:17" ht="73.5" customHeight="1" x14ac:dyDescent="0.25">
      <c r="A86" s="26"/>
      <c r="B86" s="213">
        <v>3.23</v>
      </c>
      <c r="C86" s="36" t="s">
        <v>562</v>
      </c>
      <c r="D86" s="38" t="s">
        <v>27</v>
      </c>
      <c r="E86" s="42">
        <v>1</v>
      </c>
      <c r="F86" s="37">
        <v>4900000</v>
      </c>
      <c r="G86" s="118">
        <f t="shared" si="2"/>
        <v>4900000</v>
      </c>
      <c r="H86" s="27"/>
      <c r="I86" s="123">
        <v>2800000</v>
      </c>
      <c r="J86" s="123"/>
      <c r="K86" s="185">
        <v>2568000</v>
      </c>
      <c r="L86" s="189">
        <f t="shared" si="3"/>
        <v>-2332000</v>
      </c>
    </row>
    <row r="87" spans="1:17" ht="72.599999999999994" customHeight="1" x14ac:dyDescent="0.25">
      <c r="A87" s="26"/>
      <c r="B87" s="209">
        <v>3.24</v>
      </c>
      <c r="C87" s="36" t="s">
        <v>563</v>
      </c>
      <c r="D87" s="38" t="s">
        <v>27</v>
      </c>
      <c r="E87" s="42">
        <v>1</v>
      </c>
      <c r="F87" s="37">
        <v>3062500</v>
      </c>
      <c r="G87" s="118">
        <f t="shared" si="2"/>
        <v>3062500</v>
      </c>
      <c r="H87" s="27"/>
      <c r="I87" s="123">
        <v>1750000</v>
      </c>
      <c r="J87" s="123"/>
      <c r="K87" s="185">
        <v>4784000</v>
      </c>
      <c r="L87" s="189">
        <f t="shared" si="3"/>
        <v>1721500</v>
      </c>
    </row>
    <row r="88" spans="1:17" ht="70.5" customHeight="1" x14ac:dyDescent="0.25">
      <c r="A88" s="26"/>
      <c r="B88" s="213">
        <v>3.25</v>
      </c>
      <c r="C88" s="36" t="s">
        <v>564</v>
      </c>
      <c r="D88" s="38" t="s">
        <v>27</v>
      </c>
      <c r="E88" s="42">
        <v>1</v>
      </c>
      <c r="F88" s="37">
        <v>1312500</v>
      </c>
      <c r="G88" s="118">
        <f>+E88*F88</f>
        <v>1312500</v>
      </c>
      <c r="H88" s="27"/>
      <c r="I88" s="123">
        <v>750000</v>
      </c>
      <c r="J88" s="123"/>
      <c r="K88" s="185">
        <v>4784000</v>
      </c>
      <c r="L88" s="189">
        <f>+K88-F88</f>
        <v>3471500</v>
      </c>
    </row>
    <row r="89" spans="1:17" ht="72" customHeight="1" x14ac:dyDescent="0.25">
      <c r="A89" s="26"/>
      <c r="B89" s="209">
        <v>3.26</v>
      </c>
      <c r="C89" s="36" t="s">
        <v>565</v>
      </c>
      <c r="D89" s="38" t="s">
        <v>27</v>
      </c>
      <c r="E89" s="42">
        <v>1</v>
      </c>
      <c r="F89" s="37">
        <v>3412500</v>
      </c>
      <c r="G89" s="118">
        <f t="shared" si="2"/>
        <v>3412500</v>
      </c>
      <c r="H89" s="27"/>
      <c r="I89" s="123">
        <v>1950000</v>
      </c>
      <c r="J89" s="123"/>
      <c r="K89" s="185">
        <v>4784000</v>
      </c>
      <c r="L89" s="189">
        <f t="shared" si="3"/>
        <v>1371500</v>
      </c>
    </row>
    <row r="90" spans="1:17" ht="24" customHeight="1" x14ac:dyDescent="0.25">
      <c r="A90" s="26"/>
      <c r="B90" s="305" t="s">
        <v>431</v>
      </c>
      <c r="C90" s="306"/>
      <c r="D90" s="306"/>
      <c r="E90" s="306"/>
      <c r="F90" s="100"/>
      <c r="G90" s="101" t="e">
        <f>SUM(G63:G89)</f>
        <v>#REF!</v>
      </c>
      <c r="H90" s="27"/>
      <c r="J90" s="123"/>
      <c r="L90" s="189">
        <f t="shared" si="3"/>
        <v>0</v>
      </c>
    </row>
    <row r="91" spans="1:17" ht="34.5" customHeight="1" x14ac:dyDescent="0.25">
      <c r="A91" s="26"/>
      <c r="B91" s="28">
        <v>4</v>
      </c>
      <c r="C91" s="29" t="s">
        <v>433</v>
      </c>
      <c r="D91" s="30" t="s">
        <v>27</v>
      </c>
      <c r="E91" s="83" t="s">
        <v>28</v>
      </c>
      <c r="F91" s="30" t="s">
        <v>29</v>
      </c>
      <c r="G91" s="32" t="s">
        <v>30</v>
      </c>
      <c r="H91" s="27"/>
      <c r="J91" s="123"/>
      <c r="K91" s="185" t="s">
        <v>29</v>
      </c>
      <c r="L91" s="189"/>
    </row>
    <row r="92" spans="1:17" s="40" customFormat="1" x14ac:dyDescent="0.25">
      <c r="A92" s="39"/>
      <c r="B92" s="211">
        <v>4.0999999999999996</v>
      </c>
      <c r="C92" s="212" t="s">
        <v>358</v>
      </c>
      <c r="D92" s="34" t="s">
        <v>34</v>
      </c>
      <c r="E92" s="42" t="e">
        <f>+#REF!</f>
        <v>#REF!</v>
      </c>
      <c r="F92" s="37">
        <v>152350</v>
      </c>
      <c r="G92" s="35" t="e">
        <f t="shared" ref="G92:G116" si="4">+E92*F92</f>
        <v>#REF!</v>
      </c>
      <c r="H92" s="27"/>
      <c r="I92" s="159"/>
      <c r="J92" s="123"/>
      <c r="K92" s="187">
        <v>152350</v>
      </c>
      <c r="L92" s="189">
        <f>+K92-F92</f>
        <v>0</v>
      </c>
      <c r="Q92" s="40">
        <f>+O92*1.4</f>
        <v>0</v>
      </c>
    </row>
    <row r="93" spans="1:17" s="40" customFormat="1" ht="38.25" x14ac:dyDescent="0.25">
      <c r="A93" s="39"/>
      <c r="B93" s="210">
        <v>4.2</v>
      </c>
      <c r="C93" s="115" t="s">
        <v>424</v>
      </c>
      <c r="D93" s="38" t="s">
        <v>389</v>
      </c>
      <c r="E93" s="43" t="e">
        <f>+#REF!</f>
        <v>#REF!</v>
      </c>
      <c r="F93" s="117">
        <v>171293</v>
      </c>
      <c r="G93" s="118" t="e">
        <f t="shared" si="4"/>
        <v>#REF!</v>
      </c>
      <c r="H93" s="27"/>
      <c r="I93" s="159"/>
      <c r="J93" s="159"/>
      <c r="K93" s="187"/>
      <c r="L93" s="189"/>
    </row>
    <row r="94" spans="1:17" s="40" customFormat="1" x14ac:dyDescent="0.25">
      <c r="A94" s="39"/>
      <c r="B94" s="211">
        <v>4.3</v>
      </c>
      <c r="C94" s="115" t="s">
        <v>425</v>
      </c>
      <c r="D94" s="38" t="s">
        <v>389</v>
      </c>
      <c r="E94" s="43" t="e">
        <f>+#REF!</f>
        <v>#REF!</v>
      </c>
      <c r="F94" s="117">
        <v>27410</v>
      </c>
      <c r="G94" s="118" t="e">
        <f t="shared" si="4"/>
        <v>#REF!</v>
      </c>
      <c r="H94" s="27"/>
      <c r="I94" s="159"/>
      <c r="J94" s="159"/>
      <c r="K94" s="187"/>
      <c r="L94" s="189"/>
    </row>
    <row r="95" spans="1:17" s="40" customFormat="1" x14ac:dyDescent="0.25">
      <c r="A95" s="39"/>
      <c r="B95" s="210">
        <v>4.4000000000000004</v>
      </c>
      <c r="C95" s="115" t="s">
        <v>426</v>
      </c>
      <c r="D95" s="38" t="s">
        <v>389</v>
      </c>
      <c r="E95" s="43" t="e">
        <f>+#REF!</f>
        <v>#REF!</v>
      </c>
      <c r="F95" s="117">
        <v>25002</v>
      </c>
      <c r="G95" s="118" t="e">
        <f t="shared" si="4"/>
        <v>#REF!</v>
      </c>
      <c r="H95" s="27"/>
      <c r="I95" s="159"/>
      <c r="J95" s="159"/>
      <c r="K95" s="187"/>
      <c r="L95" s="189"/>
    </row>
    <row r="96" spans="1:17" s="40" customFormat="1" ht="16.5" x14ac:dyDescent="0.25">
      <c r="A96" s="39"/>
      <c r="B96" s="211">
        <v>4.5</v>
      </c>
      <c r="C96" s="115" t="s">
        <v>427</v>
      </c>
      <c r="D96" s="38" t="s">
        <v>34</v>
      </c>
      <c r="E96" s="43" t="e">
        <f>+#REF!</f>
        <v>#REF!</v>
      </c>
      <c r="F96" s="117">
        <v>118800</v>
      </c>
      <c r="G96" s="118" t="e">
        <f t="shared" si="4"/>
        <v>#REF!</v>
      </c>
      <c r="H96" s="27"/>
      <c r="I96" s="159"/>
      <c r="J96" s="159"/>
      <c r="K96" s="187"/>
      <c r="L96" s="189"/>
    </row>
    <row r="97" spans="1:20" s="40" customFormat="1" ht="38.25" x14ac:dyDescent="0.25">
      <c r="A97" s="39"/>
      <c r="B97" s="210">
        <v>4.5999999999999996</v>
      </c>
      <c r="C97" s="115" t="s">
        <v>428</v>
      </c>
      <c r="D97" s="38" t="s">
        <v>389</v>
      </c>
      <c r="E97" s="43" t="e">
        <f>+#REF!</f>
        <v>#REF!</v>
      </c>
      <c r="F97" s="117">
        <v>10773</v>
      </c>
      <c r="G97" s="118" t="e">
        <f t="shared" si="4"/>
        <v>#REF!</v>
      </c>
      <c r="H97" s="27"/>
      <c r="I97" s="159"/>
      <c r="J97" s="159"/>
      <c r="K97" s="187"/>
      <c r="L97" s="189"/>
    </row>
    <row r="98" spans="1:20" s="40" customFormat="1" ht="16.5" x14ac:dyDescent="0.25">
      <c r="A98" s="39"/>
      <c r="B98" s="211">
        <v>4.7</v>
      </c>
      <c r="C98" s="115" t="s">
        <v>429</v>
      </c>
      <c r="D98" s="38" t="s">
        <v>389</v>
      </c>
      <c r="E98" s="43" t="e">
        <f>+#REF!</f>
        <v>#REF!</v>
      </c>
      <c r="F98" s="117">
        <v>61222</v>
      </c>
      <c r="G98" s="118" t="e">
        <f t="shared" si="4"/>
        <v>#REF!</v>
      </c>
      <c r="H98" s="27"/>
      <c r="I98" s="159">
        <f>54663*1.13</f>
        <v>61769.189999999995</v>
      </c>
      <c r="J98" s="159"/>
      <c r="K98" s="187"/>
      <c r="L98" s="189"/>
    </row>
    <row r="99" spans="1:20" ht="38.25" x14ac:dyDescent="0.25">
      <c r="A99" s="26"/>
      <c r="B99" s="211">
        <v>4.8</v>
      </c>
      <c r="C99" s="212" t="s">
        <v>515</v>
      </c>
      <c r="D99" s="34" t="s">
        <v>389</v>
      </c>
      <c r="E99" s="42" t="e">
        <f>+#REF!</f>
        <v>#REF!</v>
      </c>
      <c r="F99" s="37">
        <v>76867.12</v>
      </c>
      <c r="G99" s="35" t="e">
        <f t="shared" si="4"/>
        <v>#REF!</v>
      </c>
      <c r="H99" s="216"/>
      <c r="I99" s="123"/>
      <c r="J99" s="123"/>
      <c r="K99" s="218"/>
      <c r="L99" s="189"/>
    </row>
    <row r="100" spans="1:20" ht="79.900000000000006" customHeight="1" x14ac:dyDescent="0.25">
      <c r="A100" s="26"/>
      <c r="B100" s="211">
        <v>4.9000000000000004</v>
      </c>
      <c r="C100" s="115" t="s">
        <v>566</v>
      </c>
      <c r="D100" s="38" t="s">
        <v>27</v>
      </c>
      <c r="E100" s="42">
        <v>1</v>
      </c>
      <c r="F100" s="37">
        <v>1837500</v>
      </c>
      <c r="G100" s="118">
        <f t="shared" si="4"/>
        <v>1837500</v>
      </c>
      <c r="H100" s="27"/>
      <c r="I100" s="123">
        <v>1050000</v>
      </c>
      <c r="J100" s="123"/>
      <c r="K100" s="185">
        <v>9201198</v>
      </c>
      <c r="L100" s="189">
        <v>5300000</v>
      </c>
      <c r="M100" s="189">
        <f>+K100-L100</f>
        <v>3901198</v>
      </c>
      <c r="N100" s="189"/>
      <c r="O100" s="197">
        <f>+M100/L100</f>
        <v>0.73607509433962259</v>
      </c>
      <c r="P100" s="199">
        <f>+O100-1.19</f>
        <v>-0.45392490566037735</v>
      </c>
      <c r="Q100" s="7">
        <f>+F100*1.25</f>
        <v>2296875</v>
      </c>
      <c r="R100" s="121">
        <f>+Q100*0.2</f>
        <v>459375</v>
      </c>
      <c r="S100" s="198">
        <f>+Q100-L100-R100-Q100*0.0883</f>
        <v>-3665314.0625</v>
      </c>
      <c r="T100" s="199">
        <f>+S100/Q100</f>
        <v>-1.5957829931972789</v>
      </c>
    </row>
    <row r="101" spans="1:20" ht="87" customHeight="1" x14ac:dyDescent="0.25">
      <c r="A101" s="26"/>
      <c r="B101" s="213">
        <v>4.0999999999999996</v>
      </c>
      <c r="C101" s="36" t="s">
        <v>567</v>
      </c>
      <c r="D101" s="38" t="s">
        <v>27</v>
      </c>
      <c r="E101" s="42">
        <v>1</v>
      </c>
      <c r="F101" s="37">
        <v>3937500</v>
      </c>
      <c r="G101" s="118">
        <f t="shared" si="4"/>
        <v>3937500</v>
      </c>
      <c r="H101" s="27"/>
      <c r="I101" s="123">
        <v>2250000</v>
      </c>
      <c r="J101" s="123"/>
      <c r="K101" s="185">
        <v>1372799</v>
      </c>
      <c r="L101" s="189">
        <f t="shared" ref="L101:L117" si="5">+K101-F101</f>
        <v>-2564701</v>
      </c>
    </row>
    <row r="102" spans="1:20" ht="85.15" customHeight="1" x14ac:dyDescent="0.25">
      <c r="A102" s="26"/>
      <c r="B102" s="209">
        <v>4.1100000000000003</v>
      </c>
      <c r="C102" s="36" t="s">
        <v>568</v>
      </c>
      <c r="D102" s="38" t="s">
        <v>27</v>
      </c>
      <c r="E102" s="42">
        <v>1</v>
      </c>
      <c r="F102" s="37">
        <v>4375000</v>
      </c>
      <c r="G102" s="118">
        <f t="shared" si="4"/>
        <v>4375000</v>
      </c>
      <c r="H102" s="27"/>
      <c r="I102" s="123">
        <v>2500000</v>
      </c>
      <c r="J102" s="123"/>
      <c r="K102" s="185">
        <v>8079175</v>
      </c>
      <c r="L102" s="189">
        <f t="shared" si="5"/>
        <v>3704175</v>
      </c>
      <c r="P102" s="200"/>
    </row>
    <row r="103" spans="1:20" ht="78" customHeight="1" x14ac:dyDescent="0.25">
      <c r="A103" s="26"/>
      <c r="B103" s="213">
        <v>4.12</v>
      </c>
      <c r="C103" s="36" t="s">
        <v>569</v>
      </c>
      <c r="D103" s="38" t="s">
        <v>27</v>
      </c>
      <c r="E103" s="42">
        <v>1</v>
      </c>
      <c r="F103" s="37">
        <v>4900000</v>
      </c>
      <c r="G103" s="118">
        <f t="shared" si="4"/>
        <v>4900000</v>
      </c>
      <c r="H103" s="27"/>
      <c r="I103" s="123">
        <v>2800000</v>
      </c>
      <c r="J103" s="123"/>
      <c r="K103" s="185">
        <v>2420664</v>
      </c>
      <c r="L103" s="189">
        <f t="shared" si="5"/>
        <v>-2479336</v>
      </c>
      <c r="P103" s="200"/>
    </row>
    <row r="104" spans="1:20" ht="80.45" customHeight="1" x14ac:dyDescent="0.25">
      <c r="A104" s="26"/>
      <c r="B104" s="209">
        <v>4.13</v>
      </c>
      <c r="C104" s="36" t="s">
        <v>570</v>
      </c>
      <c r="D104" s="38" t="s">
        <v>27</v>
      </c>
      <c r="E104" s="42">
        <v>1</v>
      </c>
      <c r="F104" s="37">
        <v>4200000</v>
      </c>
      <c r="G104" s="118">
        <f t="shared" si="4"/>
        <v>4200000</v>
      </c>
      <c r="H104" s="27"/>
      <c r="I104" s="123">
        <v>2400000</v>
      </c>
      <c r="J104" s="123"/>
      <c r="K104" s="185">
        <v>6250503</v>
      </c>
      <c r="L104" s="189">
        <f t="shared" si="5"/>
        <v>2050503</v>
      </c>
    </row>
    <row r="105" spans="1:20" ht="91.5" customHeight="1" x14ac:dyDescent="0.25">
      <c r="A105" s="26"/>
      <c r="B105" s="213">
        <v>4.1399999999999997</v>
      </c>
      <c r="C105" s="36" t="s">
        <v>571</v>
      </c>
      <c r="D105" s="38" t="s">
        <v>27</v>
      </c>
      <c r="E105" s="42">
        <v>1</v>
      </c>
      <c r="F105" s="37">
        <v>4725000</v>
      </c>
      <c r="G105" s="118">
        <f t="shared" si="4"/>
        <v>4725000</v>
      </c>
      <c r="H105" s="27"/>
      <c r="I105" s="123">
        <v>2700000</v>
      </c>
      <c r="J105" s="123"/>
      <c r="K105" s="185">
        <v>2504932</v>
      </c>
      <c r="L105" s="189">
        <f t="shared" si="5"/>
        <v>-2220068</v>
      </c>
    </row>
    <row r="106" spans="1:20" ht="78.599999999999994" customHeight="1" x14ac:dyDescent="0.25">
      <c r="A106" s="26"/>
      <c r="B106" s="209">
        <v>4.1500000000000004</v>
      </c>
      <c r="C106" s="36" t="s">
        <v>572</v>
      </c>
      <c r="D106" s="38" t="s">
        <v>27</v>
      </c>
      <c r="E106" s="42">
        <v>1</v>
      </c>
      <c r="F106" s="37">
        <v>5075000</v>
      </c>
      <c r="G106" s="118">
        <f t="shared" si="4"/>
        <v>5075000</v>
      </c>
      <c r="H106" s="27"/>
      <c r="I106" s="123">
        <v>2900000</v>
      </c>
      <c r="J106" s="123"/>
      <c r="K106" s="185">
        <v>854470</v>
      </c>
      <c r="L106" s="189">
        <f t="shared" si="5"/>
        <v>-4220530</v>
      </c>
    </row>
    <row r="107" spans="1:20" ht="72" customHeight="1" x14ac:dyDescent="0.25">
      <c r="A107" s="26"/>
      <c r="B107" s="213">
        <v>4.16</v>
      </c>
      <c r="C107" s="36" t="s">
        <v>573</v>
      </c>
      <c r="D107" s="38" t="s">
        <v>27</v>
      </c>
      <c r="E107" s="42">
        <v>1</v>
      </c>
      <c r="F107" s="37">
        <v>2012500</v>
      </c>
      <c r="G107" s="118">
        <f t="shared" si="4"/>
        <v>2012500</v>
      </c>
      <c r="H107" s="27"/>
      <c r="I107" s="123">
        <v>1150000</v>
      </c>
      <c r="J107" s="123"/>
      <c r="K107" s="185">
        <v>1723199</v>
      </c>
      <c r="L107" s="189">
        <f t="shared" si="5"/>
        <v>-289301</v>
      </c>
    </row>
    <row r="108" spans="1:20" ht="70.150000000000006" customHeight="1" x14ac:dyDescent="0.25">
      <c r="A108" s="26"/>
      <c r="B108" s="209">
        <v>4.17</v>
      </c>
      <c r="C108" s="36" t="s">
        <v>574</v>
      </c>
      <c r="D108" s="38" t="s">
        <v>27</v>
      </c>
      <c r="E108" s="42">
        <v>1</v>
      </c>
      <c r="F108" s="37">
        <v>4725000</v>
      </c>
      <c r="G108" s="118">
        <f t="shared" si="4"/>
        <v>4725000</v>
      </c>
      <c r="H108" s="27"/>
      <c r="I108" s="123">
        <v>2700000</v>
      </c>
      <c r="J108" s="123"/>
      <c r="K108" s="185">
        <v>2014817</v>
      </c>
      <c r="L108" s="189">
        <f t="shared" si="5"/>
        <v>-2710183</v>
      </c>
    </row>
    <row r="109" spans="1:20" ht="65.45" customHeight="1" x14ac:dyDescent="0.25">
      <c r="A109" s="26"/>
      <c r="B109" s="213">
        <v>4.18</v>
      </c>
      <c r="C109" s="36" t="s">
        <v>575</v>
      </c>
      <c r="D109" s="38" t="s">
        <v>27</v>
      </c>
      <c r="E109" s="42">
        <v>1</v>
      </c>
      <c r="F109" s="37">
        <v>2100000</v>
      </c>
      <c r="G109" s="118">
        <f t="shared" si="4"/>
        <v>2100000</v>
      </c>
      <c r="H109" s="27"/>
      <c r="I109" s="123">
        <v>1200000</v>
      </c>
      <c r="J109" s="123"/>
      <c r="K109" s="185">
        <v>2081094</v>
      </c>
      <c r="L109" s="189">
        <f t="shared" si="5"/>
        <v>-18906</v>
      </c>
    </row>
    <row r="110" spans="1:20" ht="88.15" customHeight="1" x14ac:dyDescent="0.25">
      <c r="A110" s="26"/>
      <c r="B110" s="209">
        <v>4.1900000000000004</v>
      </c>
      <c r="C110" s="36" t="s">
        <v>576</v>
      </c>
      <c r="D110" s="38" t="s">
        <v>27</v>
      </c>
      <c r="E110" s="42">
        <v>1</v>
      </c>
      <c r="F110" s="37">
        <v>9887500</v>
      </c>
      <c r="G110" s="118">
        <f t="shared" si="4"/>
        <v>9887500</v>
      </c>
      <c r="H110" s="27"/>
      <c r="I110" s="123">
        <v>5650000</v>
      </c>
      <c r="J110" s="123"/>
      <c r="K110" s="185">
        <v>10929600</v>
      </c>
      <c r="L110" s="189">
        <f t="shared" si="5"/>
        <v>1042100</v>
      </c>
    </row>
    <row r="111" spans="1:20" ht="88.15" customHeight="1" x14ac:dyDescent="0.25">
      <c r="A111" s="26"/>
      <c r="B111" s="213">
        <v>4.2</v>
      </c>
      <c r="C111" s="36" t="s">
        <v>577</v>
      </c>
      <c r="D111" s="38" t="s">
        <v>27</v>
      </c>
      <c r="E111" s="42">
        <v>1</v>
      </c>
      <c r="F111" s="37">
        <v>4900000</v>
      </c>
      <c r="G111" s="118">
        <f t="shared" si="4"/>
        <v>4900000</v>
      </c>
      <c r="H111" s="27"/>
      <c r="I111" s="123">
        <v>2800000</v>
      </c>
      <c r="J111" s="123"/>
      <c r="K111" s="185">
        <v>12028500</v>
      </c>
      <c r="L111" s="189">
        <f t="shared" si="5"/>
        <v>7128500</v>
      </c>
    </row>
    <row r="112" spans="1:20" ht="87" customHeight="1" x14ac:dyDescent="0.25">
      <c r="A112" s="26"/>
      <c r="B112" s="209">
        <v>4.21</v>
      </c>
      <c r="C112" s="36" t="s">
        <v>578</v>
      </c>
      <c r="D112" s="38" t="s">
        <v>27</v>
      </c>
      <c r="E112" s="42">
        <v>1</v>
      </c>
      <c r="F112" s="37">
        <v>7000000</v>
      </c>
      <c r="G112" s="118">
        <f t="shared" si="4"/>
        <v>7000000</v>
      </c>
      <c r="H112" s="27"/>
      <c r="I112" s="123">
        <v>4000000</v>
      </c>
      <c r="J112" s="123"/>
      <c r="K112" s="185">
        <v>10453500</v>
      </c>
      <c r="L112" s="189">
        <f t="shared" si="5"/>
        <v>3453500</v>
      </c>
    </row>
    <row r="113" spans="1:20" ht="87" customHeight="1" x14ac:dyDescent="0.25">
      <c r="A113" s="26"/>
      <c r="B113" s="213">
        <v>4.22</v>
      </c>
      <c r="C113" s="36" t="s">
        <v>579</v>
      </c>
      <c r="D113" s="38" t="s">
        <v>27</v>
      </c>
      <c r="E113" s="42">
        <v>1</v>
      </c>
      <c r="F113" s="37">
        <v>1837500</v>
      </c>
      <c r="G113" s="118">
        <f t="shared" si="4"/>
        <v>1837500</v>
      </c>
      <c r="H113" s="27"/>
      <c r="I113" s="123">
        <v>1050000</v>
      </c>
      <c r="J113" s="123"/>
      <c r="K113" s="185">
        <v>8806500</v>
      </c>
      <c r="L113" s="189">
        <f t="shared" si="5"/>
        <v>6969000</v>
      </c>
    </row>
    <row r="114" spans="1:20" ht="84" customHeight="1" x14ac:dyDescent="0.25">
      <c r="A114" s="26"/>
      <c r="B114" s="209">
        <v>4.2300000000000004</v>
      </c>
      <c r="C114" s="36" t="s">
        <v>580</v>
      </c>
      <c r="D114" s="38" t="s">
        <v>27</v>
      </c>
      <c r="E114" s="42">
        <v>1</v>
      </c>
      <c r="F114" s="37">
        <v>2712500</v>
      </c>
      <c r="G114" s="118">
        <f t="shared" si="4"/>
        <v>2712500</v>
      </c>
      <c r="H114" s="27"/>
      <c r="I114" s="123">
        <v>1550000</v>
      </c>
      <c r="J114" s="123"/>
      <c r="K114" s="185">
        <v>1166400</v>
      </c>
      <c r="L114" s="189">
        <f t="shared" si="5"/>
        <v>-1546100</v>
      </c>
    </row>
    <row r="115" spans="1:20" ht="80.45" customHeight="1" x14ac:dyDescent="0.25">
      <c r="A115" s="26"/>
      <c r="B115" s="213">
        <v>4.24</v>
      </c>
      <c r="C115" s="36" t="s">
        <v>581</v>
      </c>
      <c r="D115" s="38" t="s">
        <v>27</v>
      </c>
      <c r="E115" s="42">
        <v>1</v>
      </c>
      <c r="F115" s="37">
        <v>5985000</v>
      </c>
      <c r="G115" s="118">
        <f t="shared" si="4"/>
        <v>5985000</v>
      </c>
      <c r="H115" s="27"/>
      <c r="I115" s="123">
        <v>3420000</v>
      </c>
      <c r="J115" s="123"/>
      <c r="K115" s="185">
        <v>2568000</v>
      </c>
      <c r="L115" s="189">
        <f t="shared" si="5"/>
        <v>-3417000</v>
      </c>
    </row>
    <row r="116" spans="1:20" ht="59.1" customHeight="1" x14ac:dyDescent="0.25">
      <c r="A116" s="26"/>
      <c r="B116" s="209">
        <v>4.25</v>
      </c>
      <c r="C116" s="36" t="s">
        <v>582</v>
      </c>
      <c r="D116" s="38" t="s">
        <v>27</v>
      </c>
      <c r="E116" s="42">
        <v>1</v>
      </c>
      <c r="F116" s="37">
        <v>1137500</v>
      </c>
      <c r="G116" s="118">
        <f t="shared" si="4"/>
        <v>1137500</v>
      </c>
      <c r="H116" s="27"/>
      <c r="I116" s="123">
        <v>650000</v>
      </c>
      <c r="J116" s="123"/>
      <c r="K116" s="185">
        <v>4784000</v>
      </c>
      <c r="L116" s="189">
        <f t="shared" si="5"/>
        <v>3646500</v>
      </c>
    </row>
    <row r="117" spans="1:20" ht="24" customHeight="1" x14ac:dyDescent="0.25">
      <c r="A117" s="26"/>
      <c r="B117" s="305" t="s">
        <v>434</v>
      </c>
      <c r="C117" s="306"/>
      <c r="D117" s="306"/>
      <c r="E117" s="306"/>
      <c r="F117" s="100"/>
      <c r="G117" s="101" t="e">
        <f>SUM(G92:G116)</f>
        <v>#REF!</v>
      </c>
      <c r="H117" s="27"/>
      <c r="J117" s="123"/>
      <c r="L117" s="189">
        <f t="shared" si="5"/>
        <v>0</v>
      </c>
    </row>
    <row r="118" spans="1:20" ht="34.5" customHeight="1" x14ac:dyDescent="0.25">
      <c r="A118" s="26"/>
      <c r="B118" s="28">
        <v>5</v>
      </c>
      <c r="C118" s="29" t="s">
        <v>435</v>
      </c>
      <c r="D118" s="30" t="s">
        <v>27</v>
      </c>
      <c r="E118" s="83" t="s">
        <v>28</v>
      </c>
      <c r="F118" s="30" t="s">
        <v>29</v>
      </c>
      <c r="G118" s="32" t="s">
        <v>30</v>
      </c>
      <c r="H118" s="27"/>
      <c r="J118" s="123"/>
      <c r="K118" s="185" t="s">
        <v>29</v>
      </c>
      <c r="L118" s="189"/>
    </row>
    <row r="119" spans="1:20" s="40" customFormat="1" x14ac:dyDescent="0.25">
      <c r="A119" s="39"/>
      <c r="B119" s="211">
        <v>5.0999999999999996</v>
      </c>
      <c r="C119" s="212" t="s">
        <v>358</v>
      </c>
      <c r="D119" s="34" t="s">
        <v>34</v>
      </c>
      <c r="E119" s="42" t="e">
        <f>+#REF!</f>
        <v>#REF!</v>
      </c>
      <c r="F119" s="37">
        <v>152350</v>
      </c>
      <c r="G119" s="35" t="e">
        <f t="shared" ref="G119:G145" si="6">+E119*F119</f>
        <v>#REF!</v>
      </c>
      <c r="H119" s="27"/>
      <c r="I119" s="159"/>
      <c r="J119" s="123"/>
      <c r="K119" s="187">
        <v>152350</v>
      </c>
      <c r="L119" s="189">
        <f>+K119-F119</f>
        <v>0</v>
      </c>
      <c r="Q119" s="40">
        <f>+O119*1.4</f>
        <v>0</v>
      </c>
    </row>
    <row r="120" spans="1:20" s="40" customFormat="1" ht="38.25" x14ac:dyDescent="0.25">
      <c r="A120" s="39"/>
      <c r="B120" s="210">
        <v>5.2</v>
      </c>
      <c r="C120" s="115" t="s">
        <v>424</v>
      </c>
      <c r="D120" s="38" t="s">
        <v>389</v>
      </c>
      <c r="E120" s="43" t="e">
        <f>+#REF!</f>
        <v>#REF!</v>
      </c>
      <c r="F120" s="117">
        <v>171293</v>
      </c>
      <c r="G120" s="118" t="e">
        <f t="shared" si="6"/>
        <v>#REF!</v>
      </c>
      <c r="H120" s="27"/>
      <c r="I120" s="159"/>
      <c r="J120" s="159"/>
      <c r="K120" s="187"/>
      <c r="L120" s="189"/>
    </row>
    <row r="121" spans="1:20" s="40" customFormat="1" x14ac:dyDescent="0.25">
      <c r="A121" s="39"/>
      <c r="B121" s="211">
        <v>5.3</v>
      </c>
      <c r="C121" s="115" t="s">
        <v>425</v>
      </c>
      <c r="D121" s="38" t="s">
        <v>389</v>
      </c>
      <c r="E121" s="43" t="e">
        <f>+#REF!</f>
        <v>#REF!</v>
      </c>
      <c r="F121" s="117">
        <v>27410</v>
      </c>
      <c r="G121" s="118" t="e">
        <f t="shared" si="6"/>
        <v>#REF!</v>
      </c>
      <c r="H121" s="27"/>
      <c r="I121" s="159"/>
      <c r="J121" s="159"/>
      <c r="K121" s="187"/>
      <c r="L121" s="189"/>
    </row>
    <row r="122" spans="1:20" s="40" customFormat="1" x14ac:dyDescent="0.25">
      <c r="A122" s="39"/>
      <c r="B122" s="210">
        <v>5.4</v>
      </c>
      <c r="C122" s="115" t="s">
        <v>426</v>
      </c>
      <c r="D122" s="38" t="s">
        <v>389</v>
      </c>
      <c r="E122" s="43" t="e">
        <f>+#REF!</f>
        <v>#REF!</v>
      </c>
      <c r="F122" s="117">
        <v>25002</v>
      </c>
      <c r="G122" s="118" t="e">
        <f t="shared" si="6"/>
        <v>#REF!</v>
      </c>
      <c r="H122" s="27"/>
      <c r="I122" s="159"/>
      <c r="J122" s="159"/>
      <c r="K122" s="187"/>
      <c r="L122" s="189"/>
    </row>
    <row r="123" spans="1:20" s="40" customFormat="1" ht="16.5" x14ac:dyDescent="0.25">
      <c r="A123" s="39"/>
      <c r="B123" s="211">
        <v>5.5</v>
      </c>
      <c r="C123" s="115" t="s">
        <v>427</v>
      </c>
      <c r="D123" s="38" t="s">
        <v>34</v>
      </c>
      <c r="E123" s="43" t="e">
        <f>+#REF!</f>
        <v>#REF!</v>
      </c>
      <c r="F123" s="117">
        <v>118800</v>
      </c>
      <c r="G123" s="118" t="e">
        <f t="shared" si="6"/>
        <v>#REF!</v>
      </c>
      <c r="H123" s="27"/>
      <c r="I123" s="159"/>
      <c r="J123" s="159"/>
      <c r="K123" s="187"/>
      <c r="L123" s="189"/>
    </row>
    <row r="124" spans="1:20" s="40" customFormat="1" ht="38.25" x14ac:dyDescent="0.25">
      <c r="A124" s="39"/>
      <c r="B124" s="210">
        <v>5.6</v>
      </c>
      <c r="C124" s="115" t="s">
        <v>428</v>
      </c>
      <c r="D124" s="38" t="s">
        <v>389</v>
      </c>
      <c r="E124" s="43" t="e">
        <f>+#REF!</f>
        <v>#REF!</v>
      </c>
      <c r="F124" s="117">
        <v>10773</v>
      </c>
      <c r="G124" s="118" t="e">
        <f t="shared" si="6"/>
        <v>#REF!</v>
      </c>
      <c r="H124" s="27"/>
      <c r="I124" s="159"/>
      <c r="J124" s="159"/>
      <c r="K124" s="187"/>
      <c r="L124" s="189"/>
    </row>
    <row r="125" spans="1:20" s="40" customFormat="1" ht="16.5" x14ac:dyDescent="0.25">
      <c r="A125" s="39"/>
      <c r="B125" s="211">
        <v>5.7</v>
      </c>
      <c r="C125" s="115" t="s">
        <v>429</v>
      </c>
      <c r="D125" s="38" t="s">
        <v>389</v>
      </c>
      <c r="E125" s="43" t="e">
        <f>+#REF!</f>
        <v>#REF!</v>
      </c>
      <c r="F125" s="117">
        <v>61222</v>
      </c>
      <c r="G125" s="118" t="e">
        <f t="shared" si="6"/>
        <v>#REF!</v>
      </c>
      <c r="H125" s="27"/>
      <c r="I125" s="159">
        <f>54663*1.13</f>
        <v>61769.189999999995</v>
      </c>
      <c r="J125" s="159"/>
      <c r="K125" s="187"/>
      <c r="L125" s="189"/>
    </row>
    <row r="126" spans="1:20" ht="38.25" x14ac:dyDescent="0.25">
      <c r="A126" s="26"/>
      <c r="B126" s="211">
        <v>5.8</v>
      </c>
      <c r="C126" s="212" t="s">
        <v>515</v>
      </c>
      <c r="D126" s="34" t="s">
        <v>389</v>
      </c>
      <c r="E126" s="42" t="e">
        <f>+#REF!</f>
        <v>#REF!</v>
      </c>
      <c r="F126" s="37">
        <v>76867.12</v>
      </c>
      <c r="G126" s="35" t="e">
        <f t="shared" si="6"/>
        <v>#REF!</v>
      </c>
      <c r="H126" s="216"/>
      <c r="I126" s="123"/>
      <c r="J126" s="123"/>
      <c r="K126" s="218"/>
      <c r="L126" s="189"/>
    </row>
    <row r="127" spans="1:20" ht="79.900000000000006" customHeight="1" x14ac:dyDescent="0.25">
      <c r="A127" s="26"/>
      <c r="B127" s="210">
        <v>5.9</v>
      </c>
      <c r="C127" s="115" t="s">
        <v>583</v>
      </c>
      <c r="D127" s="38" t="s">
        <v>27</v>
      </c>
      <c r="E127" s="42">
        <v>1</v>
      </c>
      <c r="F127" s="37">
        <v>1925000</v>
      </c>
      <c r="G127" s="118">
        <f t="shared" si="6"/>
        <v>1925000</v>
      </c>
      <c r="H127" s="27"/>
      <c r="I127" s="123">
        <v>1100000</v>
      </c>
      <c r="J127" s="123"/>
      <c r="K127" s="185">
        <v>9201198</v>
      </c>
      <c r="L127" s="189">
        <v>5300000</v>
      </c>
      <c r="M127" s="189">
        <f>+K127-L127</f>
        <v>3901198</v>
      </c>
      <c r="N127" s="189"/>
      <c r="O127" s="197">
        <f>+M127/L127</f>
        <v>0.73607509433962259</v>
      </c>
      <c r="P127" s="199">
        <f>+O127-1.19</f>
        <v>-0.45392490566037735</v>
      </c>
      <c r="Q127" s="7">
        <f>+F127*1.25</f>
        <v>2406250</v>
      </c>
      <c r="R127" s="121">
        <f>+Q127*0.2</f>
        <v>481250</v>
      </c>
      <c r="S127" s="198">
        <f>+Q127-L127-R127-Q127*0.0883</f>
        <v>-3587471.875</v>
      </c>
      <c r="T127" s="199">
        <f>+S127/Q127</f>
        <v>-1.4908974025974027</v>
      </c>
    </row>
    <row r="128" spans="1:20" ht="62.45" customHeight="1" x14ac:dyDescent="0.25">
      <c r="A128" s="26"/>
      <c r="B128" s="211">
        <v>5.0999999999999996</v>
      </c>
      <c r="C128" s="36" t="s">
        <v>584</v>
      </c>
      <c r="D128" s="38" t="s">
        <v>27</v>
      </c>
      <c r="E128" s="42">
        <v>1</v>
      </c>
      <c r="F128" s="37">
        <v>4112500</v>
      </c>
      <c r="G128" s="118">
        <f t="shared" si="6"/>
        <v>4112500</v>
      </c>
      <c r="H128" s="27"/>
      <c r="I128" s="123">
        <v>2350000</v>
      </c>
      <c r="J128" s="123"/>
      <c r="K128" s="185">
        <v>1372799</v>
      </c>
      <c r="L128" s="189">
        <f t="shared" ref="L128:L146" si="7">+K128-F128</f>
        <v>-2739701</v>
      </c>
    </row>
    <row r="129" spans="1:16" ht="85.15" customHeight="1" x14ac:dyDescent="0.25">
      <c r="A129" s="26"/>
      <c r="B129" s="209">
        <v>5.1100000000000003</v>
      </c>
      <c r="C129" s="36" t="s">
        <v>585</v>
      </c>
      <c r="D129" s="38" t="s">
        <v>27</v>
      </c>
      <c r="E129" s="42">
        <v>1</v>
      </c>
      <c r="F129" s="37">
        <v>4637500</v>
      </c>
      <c r="G129" s="118">
        <f t="shared" si="6"/>
        <v>4637500</v>
      </c>
      <c r="H129" s="27"/>
      <c r="I129" s="123">
        <v>2650000</v>
      </c>
      <c r="J129" s="123"/>
      <c r="K129" s="185">
        <v>8079175</v>
      </c>
      <c r="L129" s="189">
        <f t="shared" si="7"/>
        <v>3441675</v>
      </c>
      <c r="P129" s="200"/>
    </row>
    <row r="130" spans="1:16" ht="78" customHeight="1" x14ac:dyDescent="0.25">
      <c r="A130" s="26"/>
      <c r="B130" s="213">
        <v>5.12</v>
      </c>
      <c r="C130" s="36" t="s">
        <v>586</v>
      </c>
      <c r="D130" s="38" t="s">
        <v>27</v>
      </c>
      <c r="E130" s="42">
        <v>1</v>
      </c>
      <c r="F130" s="37">
        <v>4725000</v>
      </c>
      <c r="G130" s="118">
        <f t="shared" si="6"/>
        <v>4725000</v>
      </c>
      <c r="H130" s="27"/>
      <c r="I130" s="123">
        <v>2700000</v>
      </c>
      <c r="J130" s="123"/>
      <c r="K130" s="185">
        <v>2420664</v>
      </c>
      <c r="L130" s="189">
        <f t="shared" si="7"/>
        <v>-2304336</v>
      </c>
      <c r="P130" s="200"/>
    </row>
    <row r="131" spans="1:16" ht="80.45" customHeight="1" x14ac:dyDescent="0.25">
      <c r="A131" s="26"/>
      <c r="B131" s="209">
        <v>5.13</v>
      </c>
      <c r="C131" s="36" t="s">
        <v>587</v>
      </c>
      <c r="D131" s="38" t="s">
        <v>27</v>
      </c>
      <c r="E131" s="42">
        <v>1</v>
      </c>
      <c r="F131" s="37">
        <v>6912500</v>
      </c>
      <c r="G131" s="118">
        <f t="shared" si="6"/>
        <v>6912500</v>
      </c>
      <c r="H131" s="27"/>
      <c r="I131" s="123">
        <v>3950000</v>
      </c>
      <c r="J131" s="123"/>
      <c r="K131" s="185">
        <v>6250503</v>
      </c>
      <c r="L131" s="189">
        <f t="shared" si="7"/>
        <v>-661997</v>
      </c>
    </row>
    <row r="132" spans="1:16" ht="72.95" customHeight="1" x14ac:dyDescent="0.25">
      <c r="A132" s="26"/>
      <c r="B132" s="213">
        <v>5.14</v>
      </c>
      <c r="C132" s="36" t="s">
        <v>588</v>
      </c>
      <c r="D132" s="38" t="s">
        <v>27</v>
      </c>
      <c r="E132" s="42">
        <v>1</v>
      </c>
      <c r="F132" s="37">
        <v>5075000</v>
      </c>
      <c r="G132" s="118">
        <f t="shared" si="6"/>
        <v>5075000</v>
      </c>
      <c r="H132" s="27"/>
      <c r="I132" s="123">
        <v>2900000</v>
      </c>
      <c r="J132" s="123"/>
      <c r="K132" s="185">
        <v>2504932</v>
      </c>
      <c r="L132" s="189">
        <f t="shared" si="7"/>
        <v>-2570068</v>
      </c>
    </row>
    <row r="133" spans="1:16" ht="78.599999999999994" customHeight="1" x14ac:dyDescent="0.25">
      <c r="A133" s="26"/>
      <c r="B133" s="209">
        <v>5.15</v>
      </c>
      <c r="C133" s="36" t="s">
        <v>589</v>
      </c>
      <c r="D133" s="38" t="s">
        <v>27</v>
      </c>
      <c r="E133" s="42">
        <v>1</v>
      </c>
      <c r="F133" s="37">
        <v>4987500</v>
      </c>
      <c r="G133" s="118">
        <f t="shared" si="6"/>
        <v>4987500</v>
      </c>
      <c r="H133" s="27"/>
      <c r="I133" s="123">
        <v>2850000</v>
      </c>
      <c r="J133" s="123"/>
      <c r="K133" s="185">
        <v>854470</v>
      </c>
      <c r="L133" s="189">
        <f t="shared" si="7"/>
        <v>-4133030</v>
      </c>
    </row>
    <row r="134" spans="1:16" ht="69" customHeight="1" x14ac:dyDescent="0.25">
      <c r="A134" s="26"/>
      <c r="B134" s="213">
        <v>5.16</v>
      </c>
      <c r="C134" s="36" t="s">
        <v>590</v>
      </c>
      <c r="D134" s="38" t="s">
        <v>27</v>
      </c>
      <c r="E134" s="42">
        <v>1</v>
      </c>
      <c r="F134" s="37">
        <v>6300000</v>
      </c>
      <c r="G134" s="118">
        <f t="shared" si="6"/>
        <v>6300000</v>
      </c>
      <c r="H134" s="27"/>
      <c r="I134" s="123">
        <v>3600000</v>
      </c>
      <c r="J134" s="123"/>
      <c r="K134" s="185">
        <v>1723199</v>
      </c>
      <c r="L134" s="189">
        <f t="shared" si="7"/>
        <v>-4576801</v>
      </c>
    </row>
    <row r="135" spans="1:16" ht="70.150000000000006" customHeight="1" x14ac:dyDescent="0.25">
      <c r="A135" s="26"/>
      <c r="B135" s="209">
        <v>5.17</v>
      </c>
      <c r="C135" s="36" t="s">
        <v>591</v>
      </c>
      <c r="D135" s="38" t="s">
        <v>27</v>
      </c>
      <c r="E135" s="42">
        <v>1</v>
      </c>
      <c r="F135" s="37">
        <v>4725000</v>
      </c>
      <c r="G135" s="118">
        <f t="shared" si="6"/>
        <v>4725000</v>
      </c>
      <c r="H135" s="27"/>
      <c r="I135" s="123">
        <v>2700000</v>
      </c>
      <c r="J135" s="123"/>
      <c r="K135" s="185">
        <v>2014817</v>
      </c>
      <c r="L135" s="189">
        <f t="shared" si="7"/>
        <v>-2710183</v>
      </c>
    </row>
    <row r="136" spans="1:16" ht="65.45" customHeight="1" x14ac:dyDescent="0.25">
      <c r="A136" s="26"/>
      <c r="B136" s="213">
        <v>5.18</v>
      </c>
      <c r="C136" s="36" t="s">
        <v>592</v>
      </c>
      <c r="D136" s="38" t="s">
        <v>27</v>
      </c>
      <c r="E136" s="42">
        <v>1</v>
      </c>
      <c r="F136" s="37">
        <v>2975000</v>
      </c>
      <c r="G136" s="118">
        <f t="shared" si="6"/>
        <v>2975000</v>
      </c>
      <c r="H136" s="27"/>
      <c r="I136" s="123">
        <v>1700000</v>
      </c>
      <c r="J136" s="123"/>
      <c r="K136" s="185">
        <v>2081094</v>
      </c>
      <c r="L136" s="189">
        <f t="shared" si="7"/>
        <v>-893906</v>
      </c>
    </row>
    <row r="137" spans="1:16" ht="88.15" customHeight="1" x14ac:dyDescent="0.25">
      <c r="A137" s="26"/>
      <c r="B137" s="209">
        <v>5.19</v>
      </c>
      <c r="C137" s="36" t="s">
        <v>593</v>
      </c>
      <c r="D137" s="38" t="s">
        <v>27</v>
      </c>
      <c r="E137" s="42">
        <v>1</v>
      </c>
      <c r="F137" s="37">
        <v>2537500</v>
      </c>
      <c r="G137" s="118">
        <f t="shared" si="6"/>
        <v>2537500</v>
      </c>
      <c r="H137" s="27"/>
      <c r="I137" s="123">
        <v>1450000</v>
      </c>
      <c r="J137" s="123"/>
      <c r="K137" s="185">
        <v>10929600</v>
      </c>
      <c r="L137" s="189">
        <f t="shared" si="7"/>
        <v>8392100</v>
      </c>
    </row>
    <row r="138" spans="1:16" ht="73.5" customHeight="1" x14ac:dyDescent="0.25">
      <c r="A138" s="26"/>
      <c r="B138" s="213">
        <v>5.2</v>
      </c>
      <c r="C138" s="36" t="s">
        <v>594</v>
      </c>
      <c r="D138" s="38" t="s">
        <v>27</v>
      </c>
      <c r="E138" s="42">
        <v>1</v>
      </c>
      <c r="F138" s="37">
        <v>1487500</v>
      </c>
      <c r="G138" s="118">
        <f t="shared" si="6"/>
        <v>1487500</v>
      </c>
      <c r="H138" s="27"/>
      <c r="I138" s="123">
        <v>850000</v>
      </c>
      <c r="J138" s="123"/>
      <c r="K138" s="185">
        <v>12028500</v>
      </c>
      <c r="L138" s="189">
        <f t="shared" si="7"/>
        <v>10541000</v>
      </c>
    </row>
    <row r="139" spans="1:16" ht="87" customHeight="1" x14ac:dyDescent="0.25">
      <c r="A139" s="26"/>
      <c r="B139" s="209">
        <v>5.21</v>
      </c>
      <c r="C139" s="36" t="s">
        <v>595</v>
      </c>
      <c r="D139" s="38" t="s">
        <v>27</v>
      </c>
      <c r="E139" s="42">
        <v>1</v>
      </c>
      <c r="F139" s="37">
        <v>1487500</v>
      </c>
      <c r="G139" s="118">
        <f t="shared" si="6"/>
        <v>1487500</v>
      </c>
      <c r="H139" s="27"/>
      <c r="I139" s="123">
        <v>850000</v>
      </c>
      <c r="J139" s="123"/>
      <c r="K139" s="185">
        <v>10453500</v>
      </c>
      <c r="L139" s="189">
        <f t="shared" si="7"/>
        <v>8966000</v>
      </c>
    </row>
    <row r="140" spans="1:16" ht="68.45" customHeight="1" x14ac:dyDescent="0.25">
      <c r="A140" s="26"/>
      <c r="B140" s="213">
        <v>5.22</v>
      </c>
      <c r="C140" s="36" t="s">
        <v>596</v>
      </c>
      <c r="D140" s="38" t="s">
        <v>27</v>
      </c>
      <c r="E140" s="42">
        <v>1</v>
      </c>
      <c r="F140" s="37">
        <v>4112500</v>
      </c>
      <c r="G140" s="118">
        <f t="shared" si="6"/>
        <v>4112500</v>
      </c>
      <c r="H140" s="27"/>
      <c r="I140" s="123">
        <v>2350000</v>
      </c>
      <c r="J140" s="123"/>
      <c r="K140" s="185">
        <v>8806500</v>
      </c>
      <c r="L140" s="189">
        <f t="shared" si="7"/>
        <v>4694000</v>
      </c>
    </row>
    <row r="141" spans="1:16" ht="75.95" customHeight="1" x14ac:dyDescent="0.25">
      <c r="A141" s="26"/>
      <c r="B141" s="209">
        <v>5.23</v>
      </c>
      <c r="C141" s="36" t="s">
        <v>597</v>
      </c>
      <c r="D141" s="38" t="s">
        <v>27</v>
      </c>
      <c r="E141" s="42">
        <v>1</v>
      </c>
      <c r="F141" s="37">
        <v>4725000</v>
      </c>
      <c r="G141" s="118">
        <f t="shared" si="6"/>
        <v>4725000</v>
      </c>
      <c r="H141" s="27"/>
      <c r="I141" s="123">
        <v>2700000</v>
      </c>
      <c r="J141" s="123"/>
      <c r="K141" s="185">
        <v>1166400</v>
      </c>
      <c r="L141" s="189">
        <f t="shared" si="7"/>
        <v>-3558600</v>
      </c>
    </row>
    <row r="142" spans="1:16" ht="75.599999999999994" customHeight="1" x14ac:dyDescent="0.25">
      <c r="A142" s="26"/>
      <c r="B142" s="213">
        <v>5.24</v>
      </c>
      <c r="C142" s="36" t="s">
        <v>598</v>
      </c>
      <c r="D142" s="38" t="s">
        <v>27</v>
      </c>
      <c r="E142" s="42">
        <v>1</v>
      </c>
      <c r="F142" s="37">
        <v>6212500</v>
      </c>
      <c r="G142" s="118">
        <f t="shared" si="6"/>
        <v>6212500</v>
      </c>
      <c r="H142" s="27"/>
      <c r="I142" s="123">
        <v>3550000</v>
      </c>
      <c r="J142" s="123"/>
      <c r="K142" s="185">
        <v>2568000</v>
      </c>
      <c r="L142" s="189">
        <f t="shared" si="7"/>
        <v>-3644500</v>
      </c>
    </row>
    <row r="143" spans="1:16" ht="69.599999999999994" customHeight="1" x14ac:dyDescent="0.25">
      <c r="A143" s="26"/>
      <c r="B143" s="209">
        <v>5.25</v>
      </c>
      <c r="C143" s="36" t="s">
        <v>599</v>
      </c>
      <c r="D143" s="38" t="s">
        <v>27</v>
      </c>
      <c r="E143" s="42">
        <v>1</v>
      </c>
      <c r="F143" s="37">
        <v>6650000</v>
      </c>
      <c r="G143" s="118">
        <f t="shared" si="6"/>
        <v>6650000</v>
      </c>
      <c r="H143" s="27"/>
      <c r="I143" s="123">
        <v>3800000</v>
      </c>
      <c r="J143" s="123"/>
      <c r="K143" s="185">
        <v>4784000</v>
      </c>
      <c r="L143" s="189">
        <f t="shared" si="7"/>
        <v>-1866000</v>
      </c>
    </row>
    <row r="144" spans="1:16" ht="71.45" customHeight="1" x14ac:dyDescent="0.25">
      <c r="A144" s="26"/>
      <c r="B144" s="209">
        <v>5.25</v>
      </c>
      <c r="C144" s="36" t="s">
        <v>600</v>
      </c>
      <c r="D144" s="38" t="s">
        <v>27</v>
      </c>
      <c r="E144" s="42">
        <v>1</v>
      </c>
      <c r="F144" s="37">
        <v>4287500</v>
      </c>
      <c r="G144" s="118">
        <f>+E144*F144</f>
        <v>4287500</v>
      </c>
      <c r="H144" s="27"/>
      <c r="I144" s="123">
        <v>2450000</v>
      </c>
      <c r="J144" s="123"/>
      <c r="K144" s="185">
        <v>4784000</v>
      </c>
      <c r="L144" s="189">
        <f>+K144-F144</f>
        <v>496500</v>
      </c>
    </row>
    <row r="145" spans="1:20" ht="63.95" customHeight="1" x14ac:dyDescent="0.25">
      <c r="A145" s="26"/>
      <c r="B145" s="209">
        <v>5.25</v>
      </c>
      <c r="C145" s="36" t="s">
        <v>601</v>
      </c>
      <c r="D145" s="38" t="s">
        <v>27</v>
      </c>
      <c r="E145" s="42">
        <v>1</v>
      </c>
      <c r="F145" s="37">
        <v>1137500</v>
      </c>
      <c r="G145" s="118">
        <f t="shared" si="6"/>
        <v>1137500</v>
      </c>
      <c r="H145" s="27"/>
      <c r="I145" s="123">
        <v>650000</v>
      </c>
      <c r="J145" s="123"/>
      <c r="K145" s="185">
        <v>4784000</v>
      </c>
      <c r="L145" s="189">
        <f t="shared" si="7"/>
        <v>3646500</v>
      </c>
    </row>
    <row r="146" spans="1:20" ht="24" customHeight="1" x14ac:dyDescent="0.25">
      <c r="A146" s="26"/>
      <c r="B146" s="305" t="s">
        <v>436</v>
      </c>
      <c r="C146" s="306"/>
      <c r="D146" s="306"/>
      <c r="E146" s="306"/>
      <c r="F146" s="100"/>
      <c r="G146" s="101" t="e">
        <f>SUM(G119:G145)</f>
        <v>#REF!</v>
      </c>
      <c r="H146" s="27"/>
      <c r="J146" s="123"/>
      <c r="L146" s="189">
        <f t="shared" si="7"/>
        <v>0</v>
      </c>
    </row>
    <row r="147" spans="1:20" ht="34.5" customHeight="1" x14ac:dyDescent="0.25">
      <c r="A147" s="26"/>
      <c r="B147" s="28">
        <v>6</v>
      </c>
      <c r="C147" s="29" t="s">
        <v>438</v>
      </c>
      <c r="D147" s="30" t="s">
        <v>27</v>
      </c>
      <c r="E147" s="83" t="s">
        <v>28</v>
      </c>
      <c r="F147" s="30" t="s">
        <v>29</v>
      </c>
      <c r="G147" s="32" t="s">
        <v>30</v>
      </c>
      <c r="H147" s="27"/>
      <c r="J147" s="123"/>
      <c r="K147" s="185" t="s">
        <v>29</v>
      </c>
      <c r="L147" s="189"/>
    </row>
    <row r="148" spans="1:20" s="40" customFormat="1" x14ac:dyDescent="0.25">
      <c r="A148" s="39"/>
      <c r="B148" s="211">
        <v>6.1</v>
      </c>
      <c r="C148" s="212" t="s">
        <v>358</v>
      </c>
      <c r="D148" s="34" t="s">
        <v>34</v>
      </c>
      <c r="E148" s="42" t="e">
        <f>+#REF!</f>
        <v>#REF!</v>
      </c>
      <c r="F148" s="37">
        <v>152350</v>
      </c>
      <c r="G148" s="35" t="e">
        <f t="shared" ref="G148:G171" si="8">+E148*F148</f>
        <v>#REF!</v>
      </c>
      <c r="H148" s="27"/>
      <c r="I148" s="159"/>
      <c r="J148" s="123"/>
      <c r="K148" s="187">
        <v>152350</v>
      </c>
      <c r="L148" s="189">
        <f>+K148-F148</f>
        <v>0</v>
      </c>
      <c r="Q148" s="40">
        <f>+O148*1.4</f>
        <v>0</v>
      </c>
    </row>
    <row r="149" spans="1:20" s="40" customFormat="1" ht="38.25" x14ac:dyDescent="0.25">
      <c r="A149" s="39"/>
      <c r="B149" s="210">
        <v>6.2</v>
      </c>
      <c r="C149" s="115" t="s">
        <v>424</v>
      </c>
      <c r="D149" s="38" t="s">
        <v>389</v>
      </c>
      <c r="E149" s="43" t="e">
        <f>+#REF!</f>
        <v>#REF!</v>
      </c>
      <c r="F149" s="117">
        <v>171293</v>
      </c>
      <c r="G149" s="118" t="e">
        <f t="shared" si="8"/>
        <v>#REF!</v>
      </c>
      <c r="H149" s="27"/>
      <c r="I149" s="159"/>
      <c r="J149" s="159"/>
      <c r="K149" s="187"/>
      <c r="L149" s="189"/>
    </row>
    <row r="150" spans="1:20" s="40" customFormat="1" x14ac:dyDescent="0.25">
      <c r="A150" s="39"/>
      <c r="B150" s="211">
        <v>6.3</v>
      </c>
      <c r="C150" s="115" t="s">
        <v>425</v>
      </c>
      <c r="D150" s="38" t="s">
        <v>389</v>
      </c>
      <c r="E150" s="43" t="e">
        <f>+#REF!</f>
        <v>#REF!</v>
      </c>
      <c r="F150" s="117">
        <v>27410</v>
      </c>
      <c r="G150" s="118" t="e">
        <f t="shared" si="8"/>
        <v>#REF!</v>
      </c>
      <c r="H150" s="27"/>
      <c r="I150" s="159"/>
      <c r="J150" s="159"/>
      <c r="K150" s="187"/>
      <c r="L150" s="189"/>
    </row>
    <row r="151" spans="1:20" s="40" customFormat="1" x14ac:dyDescent="0.25">
      <c r="A151" s="39"/>
      <c r="B151" s="210">
        <v>6.4</v>
      </c>
      <c r="C151" s="115" t="s">
        <v>426</v>
      </c>
      <c r="D151" s="38" t="s">
        <v>389</v>
      </c>
      <c r="E151" s="43" t="e">
        <f>+#REF!</f>
        <v>#REF!</v>
      </c>
      <c r="F151" s="117">
        <v>25002</v>
      </c>
      <c r="G151" s="118" t="e">
        <f t="shared" si="8"/>
        <v>#REF!</v>
      </c>
      <c r="H151" s="27"/>
      <c r="I151" s="159"/>
      <c r="J151" s="159"/>
      <c r="K151" s="187"/>
      <c r="L151" s="189"/>
    </row>
    <row r="152" spans="1:20" s="40" customFormat="1" ht="16.5" x14ac:dyDescent="0.25">
      <c r="A152" s="39"/>
      <c r="B152" s="211">
        <v>6.5</v>
      </c>
      <c r="C152" s="115" t="s">
        <v>427</v>
      </c>
      <c r="D152" s="38" t="s">
        <v>34</v>
      </c>
      <c r="E152" s="43" t="e">
        <f>+#REF!</f>
        <v>#REF!</v>
      </c>
      <c r="F152" s="117">
        <v>118800</v>
      </c>
      <c r="G152" s="118" t="e">
        <f t="shared" si="8"/>
        <v>#REF!</v>
      </c>
      <c r="H152" s="27"/>
      <c r="I152" s="159"/>
      <c r="J152" s="159"/>
      <c r="K152" s="187"/>
      <c r="L152" s="189"/>
    </row>
    <row r="153" spans="1:20" s="40" customFormat="1" ht="38.25" x14ac:dyDescent="0.25">
      <c r="A153" s="39"/>
      <c r="B153" s="210">
        <v>6.6</v>
      </c>
      <c r="C153" s="115" t="s">
        <v>428</v>
      </c>
      <c r="D153" s="38" t="s">
        <v>389</v>
      </c>
      <c r="E153" s="43" t="e">
        <f>+#REF!</f>
        <v>#REF!</v>
      </c>
      <c r="F153" s="117">
        <v>10773</v>
      </c>
      <c r="G153" s="118" t="e">
        <f t="shared" si="8"/>
        <v>#REF!</v>
      </c>
      <c r="H153" s="27"/>
      <c r="I153" s="159"/>
      <c r="J153" s="159"/>
      <c r="K153" s="187"/>
      <c r="L153" s="189"/>
    </row>
    <row r="154" spans="1:20" s="40" customFormat="1" ht="16.5" x14ac:dyDescent="0.25">
      <c r="A154" s="39"/>
      <c r="B154" s="211">
        <v>6.7</v>
      </c>
      <c r="C154" s="115" t="s">
        <v>429</v>
      </c>
      <c r="D154" s="38" t="s">
        <v>389</v>
      </c>
      <c r="E154" s="43" t="e">
        <f>+#REF!</f>
        <v>#REF!</v>
      </c>
      <c r="F154" s="117">
        <v>61222</v>
      </c>
      <c r="G154" s="118" t="e">
        <f t="shared" si="8"/>
        <v>#REF!</v>
      </c>
      <c r="H154" s="27"/>
      <c r="I154" s="159">
        <f>54663*1.13</f>
        <v>61769.189999999995</v>
      </c>
      <c r="J154" s="159"/>
      <c r="K154" s="187"/>
      <c r="L154" s="189"/>
    </row>
    <row r="155" spans="1:20" ht="38.25" x14ac:dyDescent="0.25">
      <c r="A155" s="26"/>
      <c r="B155" s="211">
        <v>6.8</v>
      </c>
      <c r="C155" s="212" t="s">
        <v>515</v>
      </c>
      <c r="D155" s="34" t="s">
        <v>389</v>
      </c>
      <c r="E155" s="42" t="e">
        <f>+#REF!</f>
        <v>#REF!</v>
      </c>
      <c r="F155" s="37">
        <v>76867.12</v>
      </c>
      <c r="G155" s="35" t="e">
        <f t="shared" si="8"/>
        <v>#REF!</v>
      </c>
      <c r="H155" s="216"/>
      <c r="I155" s="123"/>
      <c r="J155" s="123"/>
      <c r="K155" s="218"/>
      <c r="L155" s="189"/>
    </row>
    <row r="156" spans="1:20" ht="79.900000000000006" customHeight="1" x14ac:dyDescent="0.25">
      <c r="A156" s="26"/>
      <c r="B156" s="211">
        <v>6.9</v>
      </c>
      <c r="C156" s="115" t="s">
        <v>602</v>
      </c>
      <c r="D156" s="38" t="s">
        <v>27</v>
      </c>
      <c r="E156" s="42">
        <v>1</v>
      </c>
      <c r="F156" s="37">
        <v>1837500</v>
      </c>
      <c r="G156" s="118">
        <f t="shared" si="8"/>
        <v>1837500</v>
      </c>
      <c r="H156" s="27"/>
      <c r="I156" s="123">
        <v>1050000</v>
      </c>
      <c r="J156" s="123"/>
      <c r="K156" s="185">
        <v>9201198</v>
      </c>
      <c r="L156" s="189">
        <v>5300000</v>
      </c>
      <c r="M156" s="189">
        <f>+K156-L156</f>
        <v>3901198</v>
      </c>
      <c r="N156" s="189"/>
      <c r="O156" s="197">
        <f>+M156/L156</f>
        <v>0.73607509433962259</v>
      </c>
      <c r="P156" s="199">
        <f>+O156-1.19</f>
        <v>-0.45392490566037735</v>
      </c>
      <c r="Q156" s="7">
        <f>+F156*1.25</f>
        <v>2296875</v>
      </c>
      <c r="R156" s="121">
        <f>+Q156*0.2</f>
        <v>459375</v>
      </c>
      <c r="S156" s="198">
        <f>+Q156-L156-R156-Q156*0.0883</f>
        <v>-3665314.0625</v>
      </c>
      <c r="T156" s="199">
        <f>+S156/Q156</f>
        <v>-1.5957829931972789</v>
      </c>
    </row>
    <row r="157" spans="1:20" ht="87" customHeight="1" x14ac:dyDescent="0.25">
      <c r="A157" s="26"/>
      <c r="B157" s="210">
        <v>6.1</v>
      </c>
      <c r="C157" s="36" t="s">
        <v>603</v>
      </c>
      <c r="D157" s="38" t="s">
        <v>27</v>
      </c>
      <c r="E157" s="42">
        <v>1</v>
      </c>
      <c r="F157" s="37">
        <v>2450000</v>
      </c>
      <c r="G157" s="118">
        <f t="shared" si="8"/>
        <v>2450000</v>
      </c>
      <c r="H157" s="27"/>
      <c r="I157" s="123">
        <v>1400000</v>
      </c>
      <c r="J157" s="123"/>
      <c r="K157" s="185">
        <v>1372799</v>
      </c>
      <c r="L157" s="189">
        <f t="shared" ref="L157:L172" si="9">+K157-F157</f>
        <v>-1077201</v>
      </c>
    </row>
    <row r="158" spans="1:20" ht="85.15" customHeight="1" x14ac:dyDescent="0.25">
      <c r="A158" s="26"/>
      <c r="B158" s="209">
        <v>6.11</v>
      </c>
      <c r="C158" s="36" t="s">
        <v>604</v>
      </c>
      <c r="D158" s="38" t="s">
        <v>27</v>
      </c>
      <c r="E158" s="42">
        <v>1</v>
      </c>
      <c r="F158" s="37">
        <v>9800000</v>
      </c>
      <c r="G158" s="118">
        <f t="shared" si="8"/>
        <v>9800000</v>
      </c>
      <c r="H158" s="27"/>
      <c r="I158" s="123">
        <v>5600000</v>
      </c>
      <c r="J158" s="123"/>
      <c r="K158" s="185">
        <v>8079175</v>
      </c>
      <c r="L158" s="189">
        <f t="shared" si="9"/>
        <v>-1720825</v>
      </c>
      <c r="P158" s="200"/>
    </row>
    <row r="159" spans="1:20" ht="78" customHeight="1" x14ac:dyDescent="0.25">
      <c r="A159" s="26"/>
      <c r="B159" s="209">
        <v>6.12</v>
      </c>
      <c r="C159" s="36" t="s">
        <v>605</v>
      </c>
      <c r="D159" s="38" t="s">
        <v>27</v>
      </c>
      <c r="E159" s="42">
        <v>1</v>
      </c>
      <c r="F159" s="37">
        <v>8050000</v>
      </c>
      <c r="G159" s="118">
        <f t="shared" si="8"/>
        <v>8050000</v>
      </c>
      <c r="H159" s="27"/>
      <c r="I159" s="123">
        <v>4600000</v>
      </c>
      <c r="J159" s="123"/>
      <c r="K159" s="185">
        <v>2420664</v>
      </c>
      <c r="L159" s="189">
        <f t="shared" si="9"/>
        <v>-5629336</v>
      </c>
      <c r="P159" s="200"/>
    </row>
    <row r="160" spans="1:20" ht="80.45" customHeight="1" x14ac:dyDescent="0.25">
      <c r="A160" s="26"/>
      <c r="B160" s="209">
        <v>6.13</v>
      </c>
      <c r="C160" s="36" t="s">
        <v>606</v>
      </c>
      <c r="D160" s="38" t="s">
        <v>27</v>
      </c>
      <c r="E160" s="42">
        <v>1</v>
      </c>
      <c r="F160" s="37">
        <v>4900000</v>
      </c>
      <c r="G160" s="118">
        <f t="shared" si="8"/>
        <v>4900000</v>
      </c>
      <c r="H160" s="27"/>
      <c r="I160" s="123">
        <v>2800000</v>
      </c>
      <c r="J160" s="123"/>
      <c r="K160" s="185">
        <v>6250503</v>
      </c>
      <c r="L160" s="189">
        <f t="shared" si="9"/>
        <v>1350503</v>
      </c>
    </row>
    <row r="161" spans="1:17" ht="91.5" customHeight="1" x14ac:dyDescent="0.25">
      <c r="A161" s="26"/>
      <c r="B161" s="209">
        <v>6.14</v>
      </c>
      <c r="C161" s="36" t="s">
        <v>607</v>
      </c>
      <c r="D161" s="38" t="s">
        <v>27</v>
      </c>
      <c r="E161" s="42">
        <v>1</v>
      </c>
      <c r="F161" s="37">
        <v>9362500</v>
      </c>
      <c r="G161" s="118">
        <f t="shared" si="8"/>
        <v>9362500</v>
      </c>
      <c r="H161" s="27"/>
      <c r="I161" s="123">
        <v>5350000</v>
      </c>
      <c r="J161" s="123"/>
      <c r="K161" s="185">
        <v>2504932</v>
      </c>
      <c r="L161" s="189">
        <f t="shared" si="9"/>
        <v>-6857568</v>
      </c>
    </row>
    <row r="162" spans="1:17" ht="78.599999999999994" customHeight="1" x14ac:dyDescent="0.25">
      <c r="A162" s="26"/>
      <c r="B162" s="209">
        <v>6.15</v>
      </c>
      <c r="C162" s="36" t="s">
        <v>608</v>
      </c>
      <c r="D162" s="38" t="s">
        <v>27</v>
      </c>
      <c r="E162" s="42">
        <v>1</v>
      </c>
      <c r="F162" s="37">
        <v>2625000</v>
      </c>
      <c r="G162" s="118">
        <f t="shared" si="8"/>
        <v>2625000</v>
      </c>
      <c r="H162" s="27"/>
      <c r="I162" s="123">
        <v>1500000</v>
      </c>
      <c r="J162" s="123"/>
      <c r="K162" s="185">
        <v>854470</v>
      </c>
      <c r="L162" s="189">
        <f t="shared" si="9"/>
        <v>-1770530</v>
      </c>
    </row>
    <row r="163" spans="1:17" ht="73.5" customHeight="1" x14ac:dyDescent="0.25">
      <c r="A163" s="26"/>
      <c r="B163" s="209">
        <v>6.16</v>
      </c>
      <c r="C163" s="36" t="s">
        <v>609</v>
      </c>
      <c r="D163" s="38" t="s">
        <v>27</v>
      </c>
      <c r="E163" s="42">
        <v>1</v>
      </c>
      <c r="F163" s="37">
        <v>2012500</v>
      </c>
      <c r="G163" s="118">
        <f t="shared" si="8"/>
        <v>2012500</v>
      </c>
      <c r="H163" s="27"/>
      <c r="I163" s="123">
        <v>1150000</v>
      </c>
      <c r="J163" s="123"/>
      <c r="K163" s="185">
        <v>1723199</v>
      </c>
      <c r="L163" s="189">
        <f t="shared" si="9"/>
        <v>-289301</v>
      </c>
    </row>
    <row r="164" spans="1:17" ht="70.150000000000006" customHeight="1" x14ac:dyDescent="0.25">
      <c r="A164" s="26"/>
      <c r="B164" s="209">
        <v>6.17</v>
      </c>
      <c r="C164" s="36" t="s">
        <v>610</v>
      </c>
      <c r="D164" s="38" t="s">
        <v>27</v>
      </c>
      <c r="E164" s="42">
        <v>1</v>
      </c>
      <c r="F164" s="37">
        <v>4287500</v>
      </c>
      <c r="G164" s="118">
        <f t="shared" si="8"/>
        <v>4287500</v>
      </c>
      <c r="H164" s="27"/>
      <c r="I164" s="123">
        <v>2450000</v>
      </c>
      <c r="J164" s="123"/>
      <c r="K164" s="185">
        <v>2014817</v>
      </c>
      <c r="L164" s="189">
        <f t="shared" si="9"/>
        <v>-2272683</v>
      </c>
    </row>
    <row r="165" spans="1:17" ht="65.45" customHeight="1" x14ac:dyDescent="0.25">
      <c r="A165" s="26"/>
      <c r="B165" s="209">
        <v>6.18</v>
      </c>
      <c r="C165" s="36" t="s">
        <v>611</v>
      </c>
      <c r="D165" s="38" t="s">
        <v>27</v>
      </c>
      <c r="E165" s="42">
        <v>1</v>
      </c>
      <c r="F165" s="37">
        <v>2450000</v>
      </c>
      <c r="G165" s="118">
        <f t="shared" si="8"/>
        <v>2450000</v>
      </c>
      <c r="H165" s="27"/>
      <c r="I165" s="123">
        <v>1400000</v>
      </c>
      <c r="J165" s="123"/>
      <c r="K165" s="185">
        <v>2081094</v>
      </c>
      <c r="L165" s="189">
        <f t="shared" si="9"/>
        <v>-368906</v>
      </c>
    </row>
    <row r="166" spans="1:17" ht="88.15" customHeight="1" x14ac:dyDescent="0.25">
      <c r="A166" s="26"/>
      <c r="B166" s="209">
        <v>6.19</v>
      </c>
      <c r="C166" s="36" t="s">
        <v>612</v>
      </c>
      <c r="D166" s="38" t="s">
        <v>27</v>
      </c>
      <c r="E166" s="42">
        <v>1</v>
      </c>
      <c r="F166" s="37">
        <v>4287500</v>
      </c>
      <c r="G166" s="118">
        <f t="shared" si="8"/>
        <v>4287500</v>
      </c>
      <c r="H166" s="27"/>
      <c r="I166" s="123">
        <v>2450000</v>
      </c>
      <c r="J166" s="123"/>
      <c r="K166" s="185">
        <v>10929600</v>
      </c>
      <c r="L166" s="189">
        <f t="shared" si="9"/>
        <v>6642100</v>
      </c>
    </row>
    <row r="167" spans="1:17" ht="88.15" customHeight="1" x14ac:dyDescent="0.25">
      <c r="A167" s="26"/>
      <c r="B167" s="209">
        <v>6.2</v>
      </c>
      <c r="C167" s="36" t="s">
        <v>613</v>
      </c>
      <c r="D167" s="38" t="s">
        <v>27</v>
      </c>
      <c r="E167" s="42">
        <v>1</v>
      </c>
      <c r="F167" s="37">
        <v>2975000</v>
      </c>
      <c r="G167" s="118">
        <f t="shared" si="8"/>
        <v>2975000</v>
      </c>
      <c r="H167" s="27"/>
      <c r="I167" s="123">
        <v>1700000</v>
      </c>
      <c r="J167" s="123"/>
      <c r="K167" s="185">
        <v>12028500</v>
      </c>
      <c r="L167" s="189">
        <f t="shared" si="9"/>
        <v>9053500</v>
      </c>
    </row>
    <row r="168" spans="1:17" ht="87" customHeight="1" x14ac:dyDescent="0.25">
      <c r="A168" s="26"/>
      <c r="B168" s="209">
        <v>6.21</v>
      </c>
      <c r="C168" s="36" t="s">
        <v>614</v>
      </c>
      <c r="D168" s="38" t="s">
        <v>27</v>
      </c>
      <c r="E168" s="42">
        <v>1</v>
      </c>
      <c r="F168" s="37">
        <v>5985000</v>
      </c>
      <c r="G168" s="118">
        <f t="shared" si="8"/>
        <v>5985000</v>
      </c>
      <c r="H168" s="27"/>
      <c r="I168" s="123">
        <v>3420000</v>
      </c>
      <c r="J168" s="123"/>
      <c r="K168" s="185">
        <v>10453500</v>
      </c>
      <c r="L168" s="189">
        <f t="shared" si="9"/>
        <v>4468500</v>
      </c>
    </row>
    <row r="169" spans="1:17" ht="87" customHeight="1" x14ac:dyDescent="0.25">
      <c r="A169" s="26"/>
      <c r="B169" s="209">
        <v>6.22</v>
      </c>
      <c r="C169" s="36" t="s">
        <v>615</v>
      </c>
      <c r="D169" s="38" t="s">
        <v>27</v>
      </c>
      <c r="E169" s="42">
        <v>1</v>
      </c>
      <c r="F169" s="37">
        <v>4112500</v>
      </c>
      <c r="G169" s="118">
        <f t="shared" si="8"/>
        <v>4112500</v>
      </c>
      <c r="H169" s="27"/>
      <c r="I169" s="123">
        <v>2350000</v>
      </c>
      <c r="J169" s="123"/>
      <c r="K169" s="185">
        <v>8806500</v>
      </c>
      <c r="L169" s="189">
        <f t="shared" si="9"/>
        <v>4694000</v>
      </c>
    </row>
    <row r="170" spans="1:17" ht="84" customHeight="1" x14ac:dyDescent="0.25">
      <c r="A170" s="26"/>
      <c r="B170" s="209">
        <v>6.23</v>
      </c>
      <c r="C170" s="36" t="s">
        <v>616</v>
      </c>
      <c r="D170" s="38" t="s">
        <v>27</v>
      </c>
      <c r="E170" s="42">
        <v>1</v>
      </c>
      <c r="F170" s="37">
        <v>6650000</v>
      </c>
      <c r="G170" s="118">
        <f t="shared" si="8"/>
        <v>6650000</v>
      </c>
      <c r="H170" s="27"/>
      <c r="I170" s="123">
        <v>3800000</v>
      </c>
      <c r="J170" s="123"/>
      <c r="K170" s="185">
        <v>1166400</v>
      </c>
      <c r="L170" s="189">
        <f t="shared" si="9"/>
        <v>-5483600</v>
      </c>
    </row>
    <row r="171" spans="1:17" ht="80.45" customHeight="1" x14ac:dyDescent="0.25">
      <c r="A171" s="26"/>
      <c r="B171" s="209">
        <v>6.24</v>
      </c>
      <c r="C171" s="36" t="s">
        <v>617</v>
      </c>
      <c r="D171" s="38" t="s">
        <v>27</v>
      </c>
      <c r="E171" s="42">
        <v>1</v>
      </c>
      <c r="F171" s="37">
        <v>1102500</v>
      </c>
      <c r="G171" s="118">
        <f t="shared" si="8"/>
        <v>1102500</v>
      </c>
      <c r="H171" s="27"/>
      <c r="I171" s="123">
        <v>630000</v>
      </c>
      <c r="J171" s="123"/>
      <c r="K171" s="185">
        <v>2568000</v>
      </c>
      <c r="L171" s="189">
        <f t="shared" si="9"/>
        <v>1465500</v>
      </c>
    </row>
    <row r="172" spans="1:17" ht="24" customHeight="1" x14ac:dyDescent="0.25">
      <c r="A172" s="26"/>
      <c r="B172" s="305" t="s">
        <v>437</v>
      </c>
      <c r="C172" s="306"/>
      <c r="D172" s="306"/>
      <c r="E172" s="306"/>
      <c r="F172" s="100"/>
      <c r="G172" s="101" t="e">
        <f>SUM(G148:G171)</f>
        <v>#REF!</v>
      </c>
      <c r="H172" s="27"/>
      <c r="J172" s="123"/>
      <c r="L172" s="189">
        <f t="shared" si="9"/>
        <v>0</v>
      </c>
    </row>
    <row r="173" spans="1:17" ht="34.5" customHeight="1" x14ac:dyDescent="0.25">
      <c r="A173" s="26"/>
      <c r="B173" s="28">
        <v>7</v>
      </c>
      <c r="C173" s="29" t="s">
        <v>439</v>
      </c>
      <c r="D173" s="30" t="s">
        <v>27</v>
      </c>
      <c r="E173" s="83" t="s">
        <v>28</v>
      </c>
      <c r="F173" s="30" t="s">
        <v>29</v>
      </c>
      <c r="G173" s="32" t="s">
        <v>30</v>
      </c>
      <c r="H173" s="27"/>
      <c r="J173" s="123"/>
      <c r="K173" s="185" t="s">
        <v>29</v>
      </c>
      <c r="L173" s="189"/>
    </row>
    <row r="174" spans="1:17" s="40" customFormat="1" x14ac:dyDescent="0.25">
      <c r="A174" s="39"/>
      <c r="B174" s="211">
        <v>7.1</v>
      </c>
      <c r="C174" s="212" t="s">
        <v>358</v>
      </c>
      <c r="D174" s="34" t="s">
        <v>34</v>
      </c>
      <c r="E174" s="42" t="e">
        <f>+#REF!</f>
        <v>#REF!</v>
      </c>
      <c r="F174" s="37">
        <v>152350</v>
      </c>
      <c r="G174" s="35" t="e">
        <f t="shared" ref="G174:G197" si="10">+E174*F174</f>
        <v>#REF!</v>
      </c>
      <c r="H174" s="27"/>
      <c r="I174" s="159"/>
      <c r="J174" s="123"/>
      <c r="K174" s="187">
        <v>152350</v>
      </c>
      <c r="L174" s="189">
        <f>+K174-F174</f>
        <v>0</v>
      </c>
      <c r="Q174" s="40">
        <f>+O174*1.4</f>
        <v>0</v>
      </c>
    </row>
    <row r="175" spans="1:17" s="40" customFormat="1" ht="38.25" x14ac:dyDescent="0.25">
      <c r="A175" s="39"/>
      <c r="B175" s="210">
        <v>7.2</v>
      </c>
      <c r="C175" s="115" t="s">
        <v>424</v>
      </c>
      <c r="D175" s="38" t="s">
        <v>389</v>
      </c>
      <c r="E175" s="43" t="e">
        <f>+#REF!</f>
        <v>#REF!</v>
      </c>
      <c r="F175" s="117">
        <v>171293</v>
      </c>
      <c r="G175" s="118" t="e">
        <f t="shared" si="10"/>
        <v>#REF!</v>
      </c>
      <c r="H175" s="27"/>
      <c r="I175" s="159"/>
      <c r="J175" s="159"/>
      <c r="K175" s="187"/>
      <c r="L175" s="189"/>
    </row>
    <row r="176" spans="1:17" s="40" customFormat="1" x14ac:dyDescent="0.25">
      <c r="A176" s="39"/>
      <c r="B176" s="211">
        <v>7.3</v>
      </c>
      <c r="C176" s="115" t="s">
        <v>425</v>
      </c>
      <c r="D176" s="38" t="s">
        <v>389</v>
      </c>
      <c r="E176" s="43" t="e">
        <f>+#REF!</f>
        <v>#REF!</v>
      </c>
      <c r="F176" s="117">
        <v>27410</v>
      </c>
      <c r="G176" s="118" t="e">
        <f t="shared" si="10"/>
        <v>#REF!</v>
      </c>
      <c r="H176" s="27"/>
      <c r="I176" s="159"/>
      <c r="J176" s="159"/>
      <c r="K176" s="187"/>
      <c r="L176" s="189"/>
    </row>
    <row r="177" spans="1:20" s="40" customFormat="1" x14ac:dyDescent="0.25">
      <c r="A177" s="39"/>
      <c r="B177" s="210">
        <v>7.4</v>
      </c>
      <c r="C177" s="115" t="s">
        <v>426</v>
      </c>
      <c r="D177" s="38" t="s">
        <v>389</v>
      </c>
      <c r="E177" s="43" t="e">
        <f>+#REF!</f>
        <v>#REF!</v>
      </c>
      <c r="F177" s="117">
        <v>25002</v>
      </c>
      <c r="G177" s="118" t="e">
        <f t="shared" si="10"/>
        <v>#REF!</v>
      </c>
      <c r="H177" s="27"/>
      <c r="I177" s="159"/>
      <c r="J177" s="159"/>
      <c r="K177" s="187"/>
      <c r="L177" s="189"/>
    </row>
    <row r="178" spans="1:20" s="40" customFormat="1" ht="16.5" x14ac:dyDescent="0.25">
      <c r="A178" s="39"/>
      <c r="B178" s="211">
        <v>7.5</v>
      </c>
      <c r="C178" s="115" t="s">
        <v>427</v>
      </c>
      <c r="D178" s="38" t="s">
        <v>34</v>
      </c>
      <c r="E178" s="43" t="e">
        <f>+#REF!</f>
        <v>#REF!</v>
      </c>
      <c r="F178" s="117">
        <v>118800</v>
      </c>
      <c r="G178" s="118" t="e">
        <f t="shared" si="10"/>
        <v>#REF!</v>
      </c>
      <c r="H178" s="27"/>
      <c r="I178" s="159"/>
      <c r="J178" s="159"/>
      <c r="K178" s="187"/>
      <c r="L178" s="189"/>
    </row>
    <row r="179" spans="1:20" s="40" customFormat="1" ht="38.25" x14ac:dyDescent="0.25">
      <c r="A179" s="39"/>
      <c r="B179" s="210">
        <v>7.6</v>
      </c>
      <c r="C179" s="115" t="s">
        <v>428</v>
      </c>
      <c r="D179" s="38" t="s">
        <v>389</v>
      </c>
      <c r="E179" s="43" t="e">
        <f>+#REF!</f>
        <v>#REF!</v>
      </c>
      <c r="F179" s="117">
        <v>10773</v>
      </c>
      <c r="G179" s="118" t="e">
        <f t="shared" si="10"/>
        <v>#REF!</v>
      </c>
      <c r="H179" s="27"/>
      <c r="I179" s="159"/>
      <c r="J179" s="159"/>
      <c r="K179" s="187"/>
      <c r="L179" s="189"/>
    </row>
    <row r="180" spans="1:20" s="40" customFormat="1" ht="16.5" x14ac:dyDescent="0.25">
      <c r="A180" s="39"/>
      <c r="B180" s="211">
        <v>7.7</v>
      </c>
      <c r="C180" s="115" t="s">
        <v>429</v>
      </c>
      <c r="D180" s="38" t="s">
        <v>389</v>
      </c>
      <c r="E180" s="43" t="e">
        <f>+#REF!</f>
        <v>#REF!</v>
      </c>
      <c r="F180" s="117">
        <v>61222</v>
      </c>
      <c r="G180" s="118" t="e">
        <f t="shared" si="10"/>
        <v>#REF!</v>
      </c>
      <c r="H180" s="27"/>
      <c r="I180" s="159">
        <f>54663*1.13</f>
        <v>61769.189999999995</v>
      </c>
      <c r="J180" s="159"/>
      <c r="K180" s="187"/>
      <c r="L180" s="189"/>
    </row>
    <row r="181" spans="1:20" ht="38.25" x14ac:dyDescent="0.25">
      <c r="A181" s="26"/>
      <c r="B181" s="211">
        <v>7.8</v>
      </c>
      <c r="C181" s="212" t="s">
        <v>515</v>
      </c>
      <c r="D181" s="34" t="s">
        <v>389</v>
      </c>
      <c r="E181" s="42" t="e">
        <f>+#REF!</f>
        <v>#REF!</v>
      </c>
      <c r="F181" s="37">
        <v>76867.12</v>
      </c>
      <c r="G181" s="35" t="e">
        <f t="shared" si="10"/>
        <v>#REF!</v>
      </c>
      <c r="H181" s="216"/>
      <c r="I181" s="123"/>
      <c r="J181" s="123"/>
      <c r="K181" s="218"/>
      <c r="L181" s="189"/>
    </row>
    <row r="182" spans="1:20" ht="79.900000000000006" customHeight="1" x14ac:dyDescent="0.25">
      <c r="A182" s="26"/>
      <c r="B182" s="210">
        <v>7.9</v>
      </c>
      <c r="C182" s="115" t="s">
        <v>633</v>
      </c>
      <c r="D182" s="38" t="s">
        <v>27</v>
      </c>
      <c r="E182" s="42">
        <v>1</v>
      </c>
      <c r="F182" s="37">
        <v>1925000</v>
      </c>
      <c r="G182" s="118">
        <f t="shared" si="10"/>
        <v>1925000</v>
      </c>
      <c r="H182" s="27"/>
      <c r="I182" s="123">
        <v>1100000</v>
      </c>
      <c r="J182" s="123"/>
      <c r="K182" s="185">
        <v>9201198</v>
      </c>
      <c r="L182" s="189">
        <v>5300000</v>
      </c>
      <c r="M182" s="189">
        <f>+K182-L182</f>
        <v>3901198</v>
      </c>
      <c r="N182" s="189"/>
      <c r="O182" s="197">
        <f>+M182/L182</f>
        <v>0.73607509433962259</v>
      </c>
      <c r="P182" s="199">
        <f>+O182-1.19</f>
        <v>-0.45392490566037735</v>
      </c>
      <c r="Q182" s="7">
        <f>+F182*1.25</f>
        <v>2406250</v>
      </c>
      <c r="R182" s="121">
        <f>+Q182*0.2</f>
        <v>481250</v>
      </c>
      <c r="S182" s="198">
        <f>+Q182-L182-R182-Q182*0.0883</f>
        <v>-3587471.875</v>
      </c>
      <c r="T182" s="199">
        <f>+S182/Q182</f>
        <v>-1.4908974025974027</v>
      </c>
    </row>
    <row r="183" spans="1:20" ht="69.95" customHeight="1" x14ac:dyDescent="0.25">
      <c r="A183" s="26"/>
      <c r="B183" s="211">
        <v>7.1</v>
      </c>
      <c r="C183" s="36" t="s">
        <v>618</v>
      </c>
      <c r="D183" s="38" t="s">
        <v>27</v>
      </c>
      <c r="E183" s="42">
        <v>1</v>
      </c>
      <c r="F183" s="37">
        <v>2485000</v>
      </c>
      <c r="G183" s="118">
        <f t="shared" si="10"/>
        <v>2485000</v>
      </c>
      <c r="H183" s="27"/>
      <c r="I183" s="123">
        <v>1420000</v>
      </c>
      <c r="J183" s="123"/>
      <c r="K183" s="185">
        <v>1372799</v>
      </c>
      <c r="L183" s="189">
        <f t="shared" ref="L183:L198" si="11">+K183-F183</f>
        <v>-1112201</v>
      </c>
    </row>
    <row r="184" spans="1:20" ht="71.45" customHeight="1" x14ac:dyDescent="0.25">
      <c r="A184" s="26"/>
      <c r="B184" s="209">
        <v>7.11</v>
      </c>
      <c r="C184" s="36" t="s">
        <v>619</v>
      </c>
      <c r="D184" s="38" t="s">
        <v>27</v>
      </c>
      <c r="E184" s="42">
        <v>1</v>
      </c>
      <c r="F184" s="37">
        <v>10062500</v>
      </c>
      <c r="G184" s="118">
        <f t="shared" si="10"/>
        <v>10062500</v>
      </c>
      <c r="H184" s="27"/>
      <c r="I184" s="123">
        <v>5750000</v>
      </c>
      <c r="J184" s="123"/>
      <c r="K184" s="185">
        <v>8079175</v>
      </c>
      <c r="L184" s="189">
        <f t="shared" si="11"/>
        <v>-1983325</v>
      </c>
      <c r="P184" s="200"/>
    </row>
    <row r="185" spans="1:20" ht="64.5" customHeight="1" x14ac:dyDescent="0.25">
      <c r="A185" s="26"/>
      <c r="B185" s="213">
        <v>7.12</v>
      </c>
      <c r="C185" s="36" t="s">
        <v>620</v>
      </c>
      <c r="D185" s="38" t="s">
        <v>27</v>
      </c>
      <c r="E185" s="42">
        <v>1</v>
      </c>
      <c r="F185" s="37">
        <v>6212500</v>
      </c>
      <c r="G185" s="118">
        <f t="shared" si="10"/>
        <v>6212500</v>
      </c>
      <c r="H185" s="27"/>
      <c r="I185" s="123">
        <v>3550000</v>
      </c>
      <c r="J185" s="123"/>
      <c r="K185" s="185">
        <v>2420664</v>
      </c>
      <c r="L185" s="189">
        <f t="shared" si="11"/>
        <v>-3791836</v>
      </c>
      <c r="P185" s="200"/>
    </row>
    <row r="186" spans="1:20" ht="71.099999999999994" customHeight="1" x14ac:dyDescent="0.25">
      <c r="A186" s="26"/>
      <c r="B186" s="209">
        <v>7.13</v>
      </c>
      <c r="C186" s="36" t="s">
        <v>621</v>
      </c>
      <c r="D186" s="38" t="s">
        <v>27</v>
      </c>
      <c r="E186" s="42">
        <v>1</v>
      </c>
      <c r="F186" s="37">
        <v>6037500</v>
      </c>
      <c r="G186" s="118">
        <f t="shared" si="10"/>
        <v>6037500</v>
      </c>
      <c r="H186" s="27"/>
      <c r="I186" s="123">
        <v>3450000</v>
      </c>
      <c r="J186" s="123"/>
      <c r="K186" s="185">
        <v>6250503</v>
      </c>
      <c r="L186" s="189">
        <f t="shared" si="11"/>
        <v>213003</v>
      </c>
    </row>
    <row r="187" spans="1:20" ht="78" customHeight="1" x14ac:dyDescent="0.25">
      <c r="A187" s="26"/>
      <c r="B187" s="213">
        <v>7.14</v>
      </c>
      <c r="C187" s="36" t="s">
        <v>622</v>
      </c>
      <c r="D187" s="38" t="s">
        <v>27</v>
      </c>
      <c r="E187" s="42">
        <v>1</v>
      </c>
      <c r="F187" s="37">
        <v>5075000</v>
      </c>
      <c r="G187" s="118">
        <f t="shared" si="10"/>
        <v>5075000</v>
      </c>
      <c r="H187" s="27"/>
      <c r="I187" s="123">
        <v>2900000</v>
      </c>
      <c r="J187" s="123"/>
      <c r="K187" s="185">
        <v>2504932</v>
      </c>
      <c r="L187" s="189">
        <f t="shared" si="11"/>
        <v>-2570068</v>
      </c>
    </row>
    <row r="188" spans="1:20" ht="78.599999999999994" customHeight="1" x14ac:dyDescent="0.25">
      <c r="A188" s="26"/>
      <c r="B188" s="209">
        <v>7.15</v>
      </c>
      <c r="C188" s="36" t="s">
        <v>623</v>
      </c>
      <c r="D188" s="38" t="s">
        <v>27</v>
      </c>
      <c r="E188" s="42">
        <v>1</v>
      </c>
      <c r="F188" s="37">
        <v>4987500</v>
      </c>
      <c r="G188" s="118">
        <f t="shared" si="10"/>
        <v>4987500</v>
      </c>
      <c r="H188" s="27"/>
      <c r="I188" s="123">
        <v>2850000</v>
      </c>
      <c r="J188" s="123"/>
      <c r="K188" s="185">
        <v>854470</v>
      </c>
      <c r="L188" s="189">
        <f t="shared" si="11"/>
        <v>-4133030</v>
      </c>
    </row>
    <row r="189" spans="1:20" ht="63.6" customHeight="1" x14ac:dyDescent="0.25">
      <c r="A189" s="26"/>
      <c r="B189" s="213">
        <v>7.16</v>
      </c>
      <c r="C189" s="36" t="s">
        <v>624</v>
      </c>
      <c r="D189" s="38" t="s">
        <v>27</v>
      </c>
      <c r="E189" s="42">
        <v>1</v>
      </c>
      <c r="F189" s="37">
        <v>2660000</v>
      </c>
      <c r="G189" s="118">
        <f t="shared" si="10"/>
        <v>2660000</v>
      </c>
      <c r="H189" s="27"/>
      <c r="I189" s="123">
        <v>1520000</v>
      </c>
      <c r="J189" s="123"/>
      <c r="K189" s="185">
        <v>1723199</v>
      </c>
      <c r="L189" s="189">
        <f t="shared" si="11"/>
        <v>-936801</v>
      </c>
    </row>
    <row r="190" spans="1:20" ht="72.95" customHeight="1" x14ac:dyDescent="0.25">
      <c r="A190" s="26"/>
      <c r="B190" s="209">
        <v>7.17</v>
      </c>
      <c r="C190" s="36" t="s">
        <v>625</v>
      </c>
      <c r="D190" s="38" t="s">
        <v>27</v>
      </c>
      <c r="E190" s="42">
        <v>1</v>
      </c>
      <c r="F190" s="37">
        <v>6562500</v>
      </c>
      <c r="G190" s="118">
        <f t="shared" si="10"/>
        <v>6562500</v>
      </c>
      <c r="H190" s="27"/>
      <c r="I190" s="123">
        <v>3750000</v>
      </c>
      <c r="J190" s="123"/>
      <c r="K190" s="185">
        <v>2014817</v>
      </c>
      <c r="L190" s="189">
        <f t="shared" si="11"/>
        <v>-4547683</v>
      </c>
    </row>
    <row r="191" spans="1:20" ht="65.45" customHeight="1" x14ac:dyDescent="0.25">
      <c r="A191" s="26"/>
      <c r="B191" s="213">
        <v>7.18</v>
      </c>
      <c r="C191" s="36" t="s">
        <v>626</v>
      </c>
      <c r="D191" s="38" t="s">
        <v>27</v>
      </c>
      <c r="E191" s="42">
        <v>1</v>
      </c>
      <c r="F191" s="37">
        <v>2450000</v>
      </c>
      <c r="G191" s="118">
        <f t="shared" si="10"/>
        <v>2450000</v>
      </c>
      <c r="H191" s="27"/>
      <c r="I191" s="123">
        <v>1400000</v>
      </c>
      <c r="J191" s="123"/>
      <c r="K191" s="185">
        <v>2081094</v>
      </c>
      <c r="L191" s="189">
        <f t="shared" si="11"/>
        <v>-368906</v>
      </c>
    </row>
    <row r="192" spans="1:20" ht="79.5" customHeight="1" x14ac:dyDescent="0.25">
      <c r="A192" s="26"/>
      <c r="B192" s="209">
        <v>7.19</v>
      </c>
      <c r="C192" s="36" t="s">
        <v>627</v>
      </c>
      <c r="D192" s="38" t="s">
        <v>27</v>
      </c>
      <c r="E192" s="42">
        <v>1</v>
      </c>
      <c r="F192" s="37">
        <v>4637500</v>
      </c>
      <c r="G192" s="118">
        <f t="shared" si="10"/>
        <v>4637500</v>
      </c>
      <c r="H192" s="27"/>
      <c r="I192" s="123">
        <v>2650000</v>
      </c>
      <c r="J192" s="123"/>
      <c r="K192" s="185">
        <v>10929600</v>
      </c>
      <c r="L192" s="189">
        <f t="shared" si="11"/>
        <v>6292100</v>
      </c>
    </row>
    <row r="193" spans="1:20" ht="88.15" customHeight="1" x14ac:dyDescent="0.25">
      <c r="A193" s="26"/>
      <c r="B193" s="213">
        <v>7.2</v>
      </c>
      <c r="C193" s="36" t="s">
        <v>628</v>
      </c>
      <c r="D193" s="38" t="s">
        <v>27</v>
      </c>
      <c r="E193" s="42">
        <v>1</v>
      </c>
      <c r="F193" s="37">
        <v>3062500</v>
      </c>
      <c r="G193" s="118">
        <f t="shared" si="10"/>
        <v>3062500</v>
      </c>
      <c r="H193" s="27"/>
      <c r="I193" s="123">
        <v>1750000</v>
      </c>
      <c r="J193" s="123"/>
      <c r="K193" s="185">
        <v>12028500</v>
      </c>
      <c r="L193" s="189">
        <f t="shared" si="11"/>
        <v>8966000</v>
      </c>
    </row>
    <row r="194" spans="1:20" ht="75.599999999999994" customHeight="1" x14ac:dyDescent="0.25">
      <c r="A194" s="26"/>
      <c r="B194" s="209">
        <v>7.21</v>
      </c>
      <c r="C194" s="36" t="s">
        <v>629</v>
      </c>
      <c r="D194" s="38" t="s">
        <v>27</v>
      </c>
      <c r="E194" s="42">
        <v>1</v>
      </c>
      <c r="F194" s="37">
        <v>5075000</v>
      </c>
      <c r="G194" s="118">
        <f t="shared" si="10"/>
        <v>5075000</v>
      </c>
      <c r="H194" s="27"/>
      <c r="I194" s="123">
        <v>2900000</v>
      </c>
      <c r="J194" s="123"/>
      <c r="K194" s="185">
        <v>10453500</v>
      </c>
      <c r="L194" s="189">
        <f t="shared" si="11"/>
        <v>5378500</v>
      </c>
    </row>
    <row r="195" spans="1:20" ht="73.5" customHeight="1" x14ac:dyDescent="0.25">
      <c r="A195" s="26"/>
      <c r="B195" s="213">
        <v>7.22</v>
      </c>
      <c r="C195" s="36" t="s">
        <v>630</v>
      </c>
      <c r="D195" s="38" t="s">
        <v>27</v>
      </c>
      <c r="E195" s="42">
        <v>1</v>
      </c>
      <c r="F195" s="37">
        <v>5075000</v>
      </c>
      <c r="G195" s="118">
        <f t="shared" si="10"/>
        <v>5075000</v>
      </c>
      <c r="H195" s="27"/>
      <c r="I195" s="123">
        <v>2900000</v>
      </c>
      <c r="J195" s="123"/>
      <c r="K195" s="185">
        <v>8806500</v>
      </c>
      <c r="L195" s="189">
        <f t="shared" si="11"/>
        <v>3731500</v>
      </c>
    </row>
    <row r="196" spans="1:20" ht="68.099999999999994" customHeight="1" x14ac:dyDescent="0.25">
      <c r="A196" s="26"/>
      <c r="B196" s="209">
        <v>7.23</v>
      </c>
      <c r="C196" s="36" t="s">
        <v>631</v>
      </c>
      <c r="D196" s="38" t="s">
        <v>27</v>
      </c>
      <c r="E196" s="42">
        <v>1</v>
      </c>
      <c r="F196" s="37">
        <v>5950000</v>
      </c>
      <c r="G196" s="118">
        <f t="shared" si="10"/>
        <v>5950000</v>
      </c>
      <c r="H196" s="27"/>
      <c r="I196" s="123">
        <v>3400000</v>
      </c>
      <c r="J196" s="123"/>
      <c r="K196" s="185">
        <v>1166400</v>
      </c>
      <c r="L196" s="189">
        <f t="shared" si="11"/>
        <v>-4783600</v>
      </c>
    </row>
    <row r="197" spans="1:20" ht="72" customHeight="1" x14ac:dyDescent="0.25">
      <c r="A197" s="26"/>
      <c r="B197" s="213">
        <v>7.24</v>
      </c>
      <c r="C197" s="36" t="s">
        <v>632</v>
      </c>
      <c r="D197" s="38" t="s">
        <v>27</v>
      </c>
      <c r="E197" s="42">
        <v>1</v>
      </c>
      <c r="F197" s="37">
        <v>1137500</v>
      </c>
      <c r="G197" s="118">
        <f t="shared" si="10"/>
        <v>1137500</v>
      </c>
      <c r="H197" s="27"/>
      <c r="I197" s="123">
        <v>650000</v>
      </c>
      <c r="J197" s="123"/>
      <c r="K197" s="185">
        <v>2568000</v>
      </c>
      <c r="L197" s="189">
        <f t="shared" si="11"/>
        <v>1430500</v>
      </c>
    </row>
    <row r="198" spans="1:20" ht="24" customHeight="1" x14ac:dyDescent="0.25">
      <c r="A198" s="26"/>
      <c r="B198" s="305" t="s">
        <v>440</v>
      </c>
      <c r="C198" s="306"/>
      <c r="D198" s="306"/>
      <c r="E198" s="306"/>
      <c r="F198" s="100"/>
      <c r="G198" s="101" t="e">
        <f>SUM(G174:G197)</f>
        <v>#REF!</v>
      </c>
      <c r="H198" s="27"/>
      <c r="L198" s="189">
        <f t="shared" si="11"/>
        <v>0</v>
      </c>
    </row>
    <row r="199" spans="1:20" ht="34.5" customHeight="1" x14ac:dyDescent="0.25">
      <c r="A199" s="26"/>
      <c r="B199" s="28">
        <v>8</v>
      </c>
      <c r="C199" s="29" t="s">
        <v>441</v>
      </c>
      <c r="D199" s="30" t="s">
        <v>27</v>
      </c>
      <c r="E199" s="83" t="s">
        <v>28</v>
      </c>
      <c r="F199" s="30" t="s">
        <v>29</v>
      </c>
      <c r="G199" s="32" t="s">
        <v>30</v>
      </c>
      <c r="H199" s="27"/>
      <c r="K199" s="185" t="s">
        <v>29</v>
      </c>
      <c r="L199" s="189"/>
    </row>
    <row r="200" spans="1:20" s="40" customFormat="1" x14ac:dyDescent="0.25">
      <c r="A200" s="39"/>
      <c r="B200" s="211">
        <v>8.1</v>
      </c>
      <c r="C200" s="212" t="s">
        <v>358</v>
      </c>
      <c r="D200" s="34" t="s">
        <v>34</v>
      </c>
      <c r="E200" s="42" t="e">
        <f>+#REF!</f>
        <v>#REF!</v>
      </c>
      <c r="F200" s="37">
        <v>152350</v>
      </c>
      <c r="G200" s="35" t="e">
        <f t="shared" ref="G200:G222" si="12">+E200*F200</f>
        <v>#REF!</v>
      </c>
      <c r="H200" s="27"/>
      <c r="I200" s="159"/>
      <c r="J200" s="159"/>
      <c r="K200" s="187">
        <v>152350</v>
      </c>
      <c r="L200" s="189">
        <f>+K200-F200</f>
        <v>0</v>
      </c>
      <c r="Q200" s="40">
        <f>+O200*1.4</f>
        <v>0</v>
      </c>
    </row>
    <row r="201" spans="1:20" s="40" customFormat="1" ht="38.25" x14ac:dyDescent="0.25">
      <c r="A201" s="39"/>
      <c r="B201" s="210">
        <v>8.1999999999999993</v>
      </c>
      <c r="C201" s="115" t="s">
        <v>424</v>
      </c>
      <c r="D201" s="38" t="s">
        <v>389</v>
      </c>
      <c r="E201" s="43" t="e">
        <f>+#REF!</f>
        <v>#REF!</v>
      </c>
      <c r="F201" s="117">
        <v>171293</v>
      </c>
      <c r="G201" s="118" t="e">
        <f t="shared" si="12"/>
        <v>#REF!</v>
      </c>
      <c r="H201" s="27"/>
      <c r="I201" s="159"/>
      <c r="J201" s="159"/>
      <c r="K201" s="187"/>
      <c r="L201" s="189"/>
    </row>
    <row r="202" spans="1:20" s="40" customFormat="1" x14ac:dyDescent="0.25">
      <c r="A202" s="39"/>
      <c r="B202" s="211">
        <v>8.3000000000000007</v>
      </c>
      <c r="C202" s="115" t="s">
        <v>425</v>
      </c>
      <c r="D202" s="38" t="s">
        <v>389</v>
      </c>
      <c r="E202" s="43" t="e">
        <f>+#REF!</f>
        <v>#REF!</v>
      </c>
      <c r="F202" s="117">
        <v>27410</v>
      </c>
      <c r="G202" s="118" t="e">
        <f t="shared" si="12"/>
        <v>#REF!</v>
      </c>
      <c r="H202" s="27"/>
      <c r="I202" s="159"/>
      <c r="J202" s="159"/>
      <c r="K202" s="187"/>
      <c r="L202" s="189"/>
    </row>
    <row r="203" spans="1:20" s="40" customFormat="1" x14ac:dyDescent="0.25">
      <c r="A203" s="39"/>
      <c r="B203" s="210">
        <v>8.4</v>
      </c>
      <c r="C203" s="115" t="s">
        <v>426</v>
      </c>
      <c r="D203" s="38" t="s">
        <v>389</v>
      </c>
      <c r="E203" s="43" t="e">
        <f>+#REF!</f>
        <v>#REF!</v>
      </c>
      <c r="F203" s="117">
        <v>25002</v>
      </c>
      <c r="G203" s="118" t="e">
        <f t="shared" si="12"/>
        <v>#REF!</v>
      </c>
      <c r="H203" s="27"/>
      <c r="I203" s="159"/>
      <c r="J203" s="159"/>
      <c r="K203" s="187"/>
      <c r="L203" s="189"/>
    </row>
    <row r="204" spans="1:20" s="40" customFormat="1" ht="16.5" x14ac:dyDescent="0.25">
      <c r="A204" s="39"/>
      <c r="B204" s="211">
        <v>8.5</v>
      </c>
      <c r="C204" s="115" t="s">
        <v>427</v>
      </c>
      <c r="D204" s="38" t="s">
        <v>34</v>
      </c>
      <c r="E204" s="43" t="e">
        <f>+#REF!</f>
        <v>#REF!</v>
      </c>
      <c r="F204" s="117">
        <v>118800</v>
      </c>
      <c r="G204" s="118" t="e">
        <f t="shared" si="12"/>
        <v>#REF!</v>
      </c>
      <c r="H204" s="27"/>
      <c r="I204" s="159"/>
      <c r="J204" s="159"/>
      <c r="K204" s="187"/>
      <c r="L204" s="189"/>
    </row>
    <row r="205" spans="1:20" s="40" customFormat="1" ht="38.25" x14ac:dyDescent="0.25">
      <c r="A205" s="39"/>
      <c r="B205" s="210">
        <v>8.6</v>
      </c>
      <c r="C205" s="115" t="s">
        <v>428</v>
      </c>
      <c r="D205" s="38" t="s">
        <v>389</v>
      </c>
      <c r="E205" s="43" t="e">
        <f>+#REF!</f>
        <v>#REF!</v>
      </c>
      <c r="F205" s="117">
        <v>10773</v>
      </c>
      <c r="G205" s="118" t="e">
        <f t="shared" si="12"/>
        <v>#REF!</v>
      </c>
      <c r="H205" s="27"/>
      <c r="I205" s="159"/>
      <c r="J205" s="159"/>
      <c r="K205" s="187"/>
      <c r="L205" s="189"/>
    </row>
    <row r="206" spans="1:20" s="40" customFormat="1" ht="16.5" x14ac:dyDescent="0.25">
      <c r="A206" s="39"/>
      <c r="B206" s="211">
        <v>8.6999999999999993</v>
      </c>
      <c r="C206" s="115" t="s">
        <v>429</v>
      </c>
      <c r="D206" s="38" t="s">
        <v>389</v>
      </c>
      <c r="E206" s="43" t="e">
        <f>+#REF!</f>
        <v>#REF!</v>
      </c>
      <c r="F206" s="117">
        <v>61222</v>
      </c>
      <c r="G206" s="118" t="e">
        <f t="shared" si="12"/>
        <v>#REF!</v>
      </c>
      <c r="H206" s="27"/>
      <c r="I206" s="159">
        <f>54663*1.13</f>
        <v>61769.189999999995</v>
      </c>
      <c r="J206" s="159"/>
      <c r="K206" s="187"/>
      <c r="L206" s="189"/>
    </row>
    <row r="207" spans="1:20" ht="38.25" x14ac:dyDescent="0.25">
      <c r="A207" s="26"/>
      <c r="B207" s="211">
        <v>8.8000000000000007</v>
      </c>
      <c r="C207" s="212" t="s">
        <v>515</v>
      </c>
      <c r="D207" s="34" t="s">
        <v>389</v>
      </c>
      <c r="E207" s="42" t="e">
        <f>+#REF!</f>
        <v>#REF!</v>
      </c>
      <c r="F207" s="37">
        <v>76867.12</v>
      </c>
      <c r="G207" s="35" t="e">
        <f t="shared" si="12"/>
        <v>#REF!</v>
      </c>
      <c r="H207" s="216"/>
      <c r="I207" s="123"/>
      <c r="J207" s="123"/>
      <c r="K207" s="218"/>
      <c r="L207" s="189"/>
    </row>
    <row r="208" spans="1:20" ht="63.95" customHeight="1" x14ac:dyDescent="0.25">
      <c r="A208" s="26"/>
      <c r="B208" s="210">
        <v>8.9</v>
      </c>
      <c r="C208" s="115" t="s">
        <v>648</v>
      </c>
      <c r="D208" s="38" t="s">
        <v>27</v>
      </c>
      <c r="E208" s="42">
        <v>1</v>
      </c>
      <c r="F208" s="37">
        <v>1925000</v>
      </c>
      <c r="G208" s="118">
        <f t="shared" si="12"/>
        <v>1925000</v>
      </c>
      <c r="H208" s="27"/>
      <c r="I208" s="123">
        <v>1100000</v>
      </c>
      <c r="J208" s="123"/>
      <c r="K208" s="185">
        <v>9201198</v>
      </c>
      <c r="L208" s="189">
        <v>5300000</v>
      </c>
      <c r="M208" s="189">
        <f>+K208-L208</f>
        <v>3901198</v>
      </c>
      <c r="N208" s="189"/>
      <c r="O208" s="197">
        <f>+M208/L208</f>
        <v>0.73607509433962259</v>
      </c>
      <c r="P208" s="199">
        <f>+O208-1.19</f>
        <v>-0.45392490566037735</v>
      </c>
      <c r="Q208" s="7">
        <f>+F208*1.25</f>
        <v>2406250</v>
      </c>
      <c r="R208" s="121">
        <f>+Q208*0.2</f>
        <v>481250</v>
      </c>
      <c r="S208" s="198">
        <f>+Q208-L208-R208-Q208*0.0883</f>
        <v>-3587471.875</v>
      </c>
      <c r="T208" s="199">
        <f>+S208/Q208</f>
        <v>-1.4908974025974027</v>
      </c>
    </row>
    <row r="209" spans="1:16" ht="87" customHeight="1" x14ac:dyDescent="0.25">
      <c r="A209" s="26"/>
      <c r="B209" s="211">
        <v>8.1</v>
      </c>
      <c r="C209" s="36" t="s">
        <v>634</v>
      </c>
      <c r="D209" s="38" t="s">
        <v>27</v>
      </c>
      <c r="E209" s="42">
        <v>1</v>
      </c>
      <c r="F209" s="37">
        <v>2450000</v>
      </c>
      <c r="G209" s="118">
        <f t="shared" si="12"/>
        <v>2450000</v>
      </c>
      <c r="H209" s="27"/>
      <c r="I209" s="123">
        <v>1400000</v>
      </c>
      <c r="J209" s="123"/>
      <c r="K209" s="185">
        <v>1372799</v>
      </c>
      <c r="L209" s="189">
        <f t="shared" ref="L209:L223" si="13">+K209-F209</f>
        <v>-1077201</v>
      </c>
    </row>
    <row r="210" spans="1:16" ht="85.15" customHeight="1" x14ac:dyDescent="0.25">
      <c r="A210" s="26"/>
      <c r="B210" s="209">
        <v>8.11</v>
      </c>
      <c r="C210" s="36" t="s">
        <v>635</v>
      </c>
      <c r="D210" s="38" t="s">
        <v>27</v>
      </c>
      <c r="E210" s="42">
        <v>1</v>
      </c>
      <c r="F210" s="37">
        <v>10062500</v>
      </c>
      <c r="G210" s="118">
        <f t="shared" si="12"/>
        <v>10062500</v>
      </c>
      <c r="H210" s="27"/>
      <c r="I210" s="123">
        <v>5750000</v>
      </c>
      <c r="J210" s="123"/>
      <c r="K210" s="185">
        <v>8079175</v>
      </c>
      <c r="L210" s="189">
        <f t="shared" si="13"/>
        <v>-1983325</v>
      </c>
      <c r="P210" s="200"/>
    </row>
    <row r="211" spans="1:16" ht="78" customHeight="1" x14ac:dyDescent="0.25">
      <c r="A211" s="26"/>
      <c r="B211" s="213">
        <v>8.1199999999999992</v>
      </c>
      <c r="C211" s="36" t="s">
        <v>636</v>
      </c>
      <c r="D211" s="38" t="s">
        <v>27</v>
      </c>
      <c r="E211" s="42">
        <v>1</v>
      </c>
      <c r="F211" s="37">
        <v>6212500</v>
      </c>
      <c r="G211" s="118">
        <f t="shared" si="12"/>
        <v>6212500</v>
      </c>
      <c r="H211" s="27"/>
      <c r="I211" s="123">
        <v>3550000</v>
      </c>
      <c r="J211" s="123"/>
      <c r="K211" s="185">
        <v>2420664</v>
      </c>
      <c r="L211" s="189">
        <f t="shared" si="13"/>
        <v>-3791836</v>
      </c>
      <c r="P211" s="200"/>
    </row>
    <row r="212" spans="1:16" ht="80.45" customHeight="1" x14ac:dyDescent="0.25">
      <c r="A212" s="26"/>
      <c r="B212" s="209">
        <v>8.1300000000000008</v>
      </c>
      <c r="C212" s="36" t="s">
        <v>637</v>
      </c>
      <c r="D212" s="38" t="s">
        <v>27</v>
      </c>
      <c r="E212" s="42">
        <v>1</v>
      </c>
      <c r="F212" s="37">
        <v>6125000</v>
      </c>
      <c r="G212" s="118">
        <f t="shared" si="12"/>
        <v>6125000</v>
      </c>
      <c r="H212" s="27"/>
      <c r="I212" s="123">
        <v>3500000</v>
      </c>
      <c r="J212" s="123"/>
      <c r="K212" s="185">
        <v>6250503</v>
      </c>
      <c r="L212" s="189">
        <f t="shared" si="13"/>
        <v>125503</v>
      </c>
    </row>
    <row r="213" spans="1:16" ht="91.5" customHeight="1" x14ac:dyDescent="0.25">
      <c r="A213" s="26"/>
      <c r="B213" s="213">
        <v>8.14</v>
      </c>
      <c r="C213" s="36" t="s">
        <v>638</v>
      </c>
      <c r="D213" s="38" t="s">
        <v>27</v>
      </c>
      <c r="E213" s="42">
        <v>1</v>
      </c>
      <c r="F213" s="37">
        <v>5075000</v>
      </c>
      <c r="G213" s="118">
        <f t="shared" si="12"/>
        <v>5075000</v>
      </c>
      <c r="H213" s="27"/>
      <c r="I213" s="123">
        <v>2900000</v>
      </c>
      <c r="J213" s="123"/>
      <c r="K213" s="185">
        <v>2504932</v>
      </c>
      <c r="L213" s="189">
        <f t="shared" si="13"/>
        <v>-2570068</v>
      </c>
    </row>
    <row r="214" spans="1:16" ht="78.599999999999994" customHeight="1" x14ac:dyDescent="0.25">
      <c r="A214" s="26"/>
      <c r="B214" s="209">
        <v>8.15</v>
      </c>
      <c r="C214" s="36" t="s">
        <v>639</v>
      </c>
      <c r="D214" s="38" t="s">
        <v>27</v>
      </c>
      <c r="E214" s="42">
        <v>1</v>
      </c>
      <c r="F214" s="37">
        <v>5110000</v>
      </c>
      <c r="G214" s="118">
        <f t="shared" si="12"/>
        <v>5110000</v>
      </c>
      <c r="H214" s="27"/>
      <c r="I214" s="123">
        <v>2920000</v>
      </c>
      <c r="J214" s="123"/>
      <c r="K214" s="185">
        <v>854470</v>
      </c>
      <c r="L214" s="189">
        <f t="shared" si="13"/>
        <v>-4255530</v>
      </c>
    </row>
    <row r="215" spans="1:16" ht="75.95" customHeight="1" x14ac:dyDescent="0.25">
      <c r="A215" s="26"/>
      <c r="B215" s="213">
        <v>8.16</v>
      </c>
      <c r="C215" s="36" t="s">
        <v>640</v>
      </c>
      <c r="D215" s="38" t="s">
        <v>27</v>
      </c>
      <c r="E215" s="42">
        <v>1</v>
      </c>
      <c r="F215" s="37">
        <v>2800000</v>
      </c>
      <c r="G215" s="118">
        <f t="shared" si="12"/>
        <v>2800000</v>
      </c>
      <c r="H215" s="27"/>
      <c r="I215" s="123">
        <v>1600000</v>
      </c>
      <c r="J215" s="123"/>
      <c r="K215" s="185">
        <v>1723199</v>
      </c>
      <c r="L215" s="189">
        <f t="shared" si="13"/>
        <v>-1076801</v>
      </c>
    </row>
    <row r="216" spans="1:16" ht="70.150000000000006" customHeight="1" x14ac:dyDescent="0.25">
      <c r="A216" s="26"/>
      <c r="B216" s="209">
        <v>8.17</v>
      </c>
      <c r="C216" s="36" t="s">
        <v>641</v>
      </c>
      <c r="D216" s="38" t="s">
        <v>27</v>
      </c>
      <c r="E216" s="42">
        <v>1</v>
      </c>
      <c r="F216" s="37">
        <v>6562500</v>
      </c>
      <c r="G216" s="118">
        <f t="shared" si="12"/>
        <v>6562500</v>
      </c>
      <c r="H216" s="27"/>
      <c r="I216" s="123">
        <v>3750000</v>
      </c>
      <c r="J216" s="123"/>
      <c r="K216" s="185">
        <v>2014817</v>
      </c>
      <c r="L216" s="189">
        <f t="shared" si="13"/>
        <v>-4547683</v>
      </c>
    </row>
    <row r="217" spans="1:16" ht="65.45" customHeight="1" x14ac:dyDescent="0.25">
      <c r="A217" s="26"/>
      <c r="B217" s="213">
        <v>8.18</v>
      </c>
      <c r="C217" s="36" t="s">
        <v>642</v>
      </c>
      <c r="D217" s="38" t="s">
        <v>27</v>
      </c>
      <c r="E217" s="42">
        <v>1</v>
      </c>
      <c r="F217" s="37">
        <v>3150000</v>
      </c>
      <c r="G217" s="118">
        <f t="shared" si="12"/>
        <v>3150000</v>
      </c>
      <c r="H217" s="27"/>
      <c r="I217" s="123">
        <v>1800000</v>
      </c>
      <c r="J217" s="123"/>
      <c r="K217" s="185">
        <v>2081094</v>
      </c>
      <c r="L217" s="189">
        <f t="shared" si="13"/>
        <v>-1068906</v>
      </c>
    </row>
    <row r="218" spans="1:16" ht="88.15" customHeight="1" x14ac:dyDescent="0.25">
      <c r="A218" s="26"/>
      <c r="B218" s="209">
        <v>8.19</v>
      </c>
      <c r="C218" s="36" t="s">
        <v>643</v>
      </c>
      <c r="D218" s="38" t="s">
        <v>27</v>
      </c>
      <c r="E218" s="42">
        <v>1</v>
      </c>
      <c r="F218" s="37">
        <v>4725000</v>
      </c>
      <c r="G218" s="118">
        <f t="shared" si="12"/>
        <v>4725000</v>
      </c>
      <c r="H218" s="27"/>
      <c r="I218" s="123">
        <v>2700000</v>
      </c>
      <c r="J218" s="123"/>
      <c r="K218" s="185">
        <v>10929600</v>
      </c>
      <c r="L218" s="189">
        <f t="shared" si="13"/>
        <v>6204600</v>
      </c>
    </row>
    <row r="219" spans="1:16" ht="88.15" customHeight="1" x14ac:dyDescent="0.25">
      <c r="A219" s="26"/>
      <c r="B219" s="213">
        <v>8.1999999999999993</v>
      </c>
      <c r="C219" s="36" t="s">
        <v>644</v>
      </c>
      <c r="D219" s="38" t="s">
        <v>27</v>
      </c>
      <c r="E219" s="42">
        <v>1</v>
      </c>
      <c r="F219" s="37">
        <v>3237500</v>
      </c>
      <c r="G219" s="118">
        <f t="shared" si="12"/>
        <v>3237500</v>
      </c>
      <c r="H219" s="27"/>
      <c r="I219" s="123">
        <v>1850000</v>
      </c>
      <c r="J219" s="123"/>
      <c r="K219" s="185">
        <v>12028500</v>
      </c>
      <c r="L219" s="189">
        <f t="shared" si="13"/>
        <v>8791000</v>
      </c>
    </row>
    <row r="220" spans="1:16" ht="87" customHeight="1" x14ac:dyDescent="0.25">
      <c r="A220" s="26"/>
      <c r="B220" s="209">
        <v>8.2100000000000009</v>
      </c>
      <c r="C220" s="36" t="s">
        <v>645</v>
      </c>
      <c r="D220" s="38" t="s">
        <v>27</v>
      </c>
      <c r="E220" s="42">
        <v>1</v>
      </c>
      <c r="F220" s="37">
        <v>5110000</v>
      </c>
      <c r="G220" s="118">
        <f t="shared" si="12"/>
        <v>5110000</v>
      </c>
      <c r="H220" s="27"/>
      <c r="I220" s="123">
        <v>2920000</v>
      </c>
      <c r="J220" s="123"/>
      <c r="K220" s="185">
        <v>10453500</v>
      </c>
      <c r="L220" s="189">
        <f t="shared" si="13"/>
        <v>5343500</v>
      </c>
    </row>
    <row r="221" spans="1:16" ht="87" customHeight="1" x14ac:dyDescent="0.25">
      <c r="A221" s="26"/>
      <c r="B221" s="213">
        <v>8.2200000000000006</v>
      </c>
      <c r="C221" s="36" t="s">
        <v>646</v>
      </c>
      <c r="D221" s="38" t="s">
        <v>27</v>
      </c>
      <c r="E221" s="42">
        <v>1</v>
      </c>
      <c r="F221" s="37">
        <v>5075000</v>
      </c>
      <c r="G221" s="118">
        <f t="shared" si="12"/>
        <v>5075000</v>
      </c>
      <c r="H221" s="27"/>
      <c r="I221" s="123">
        <v>2900000</v>
      </c>
      <c r="J221" s="123"/>
      <c r="K221" s="185">
        <v>8806500</v>
      </c>
      <c r="L221" s="189">
        <f t="shared" si="13"/>
        <v>3731500</v>
      </c>
    </row>
    <row r="222" spans="1:16" ht="84" customHeight="1" x14ac:dyDescent="0.25">
      <c r="A222" s="26"/>
      <c r="B222" s="209">
        <v>8.23</v>
      </c>
      <c r="C222" s="36" t="s">
        <v>647</v>
      </c>
      <c r="D222" s="38" t="s">
        <v>27</v>
      </c>
      <c r="E222" s="42">
        <v>1</v>
      </c>
      <c r="F222" s="37">
        <v>5950000</v>
      </c>
      <c r="G222" s="118">
        <f t="shared" si="12"/>
        <v>5950000</v>
      </c>
      <c r="H222" s="27"/>
      <c r="I222" s="123">
        <v>3400000</v>
      </c>
      <c r="J222" s="123"/>
      <c r="K222" s="185">
        <v>1166400</v>
      </c>
      <c r="L222" s="189">
        <f t="shared" si="13"/>
        <v>-4783600</v>
      </c>
    </row>
    <row r="223" spans="1:16" ht="24" customHeight="1" x14ac:dyDescent="0.25">
      <c r="A223" s="26"/>
      <c r="B223" s="305" t="s">
        <v>442</v>
      </c>
      <c r="C223" s="306"/>
      <c r="D223" s="306"/>
      <c r="E223" s="306"/>
      <c r="F223" s="100"/>
      <c r="G223" s="101" t="e">
        <f>SUM(G200:G222)</f>
        <v>#REF!</v>
      </c>
      <c r="H223" s="27"/>
      <c r="L223" s="189">
        <f t="shared" si="13"/>
        <v>0</v>
      </c>
    </row>
    <row r="224" spans="1:16" ht="34.5" customHeight="1" x14ac:dyDescent="0.25">
      <c r="A224" s="26"/>
      <c r="B224" s="28">
        <v>9</v>
      </c>
      <c r="C224" s="29" t="s">
        <v>443</v>
      </c>
      <c r="D224" s="30" t="s">
        <v>27</v>
      </c>
      <c r="E224" s="83" t="s">
        <v>28</v>
      </c>
      <c r="F224" s="30" t="s">
        <v>29</v>
      </c>
      <c r="G224" s="32" t="s">
        <v>30</v>
      </c>
      <c r="H224" s="27"/>
      <c r="K224" s="185" t="s">
        <v>29</v>
      </c>
      <c r="L224" s="189"/>
    </row>
    <row r="225" spans="1:20" s="40" customFormat="1" x14ac:dyDescent="0.25">
      <c r="A225" s="39"/>
      <c r="B225" s="211">
        <v>9.1</v>
      </c>
      <c r="C225" s="212" t="s">
        <v>358</v>
      </c>
      <c r="D225" s="34" t="s">
        <v>34</v>
      </c>
      <c r="E225" s="42" t="e">
        <f>+#REF!</f>
        <v>#REF!</v>
      </c>
      <c r="F225" s="37">
        <v>152350</v>
      </c>
      <c r="G225" s="35" t="e">
        <f t="shared" ref="G225:G246" si="14">+E225*F225</f>
        <v>#REF!</v>
      </c>
      <c r="H225" s="27"/>
      <c r="I225" s="159"/>
      <c r="J225" s="159"/>
      <c r="K225" s="187">
        <v>152350</v>
      </c>
      <c r="L225" s="189">
        <f>+K225-F225</f>
        <v>0</v>
      </c>
      <c r="Q225" s="40">
        <f>+O225*1.4</f>
        <v>0</v>
      </c>
    </row>
    <row r="226" spans="1:20" s="40" customFormat="1" ht="38.25" x14ac:dyDescent="0.25">
      <c r="A226" s="39"/>
      <c r="B226" s="210">
        <v>9.1999999999999993</v>
      </c>
      <c r="C226" s="115" t="s">
        <v>424</v>
      </c>
      <c r="D226" s="38" t="s">
        <v>389</v>
      </c>
      <c r="E226" s="43" t="e">
        <f>+#REF!</f>
        <v>#REF!</v>
      </c>
      <c r="F226" s="117">
        <v>171293</v>
      </c>
      <c r="G226" s="118" t="e">
        <f t="shared" si="14"/>
        <v>#REF!</v>
      </c>
      <c r="H226" s="27"/>
      <c r="I226" s="159"/>
      <c r="J226" s="159"/>
      <c r="K226" s="187"/>
      <c r="L226" s="189"/>
    </row>
    <row r="227" spans="1:20" s="40" customFormat="1" x14ac:dyDescent="0.25">
      <c r="A227" s="39"/>
      <c r="B227" s="211">
        <v>9.3000000000000007</v>
      </c>
      <c r="C227" s="115" t="s">
        <v>425</v>
      </c>
      <c r="D227" s="38" t="s">
        <v>389</v>
      </c>
      <c r="E227" s="43" t="e">
        <f>+#REF!</f>
        <v>#REF!</v>
      </c>
      <c r="F227" s="117">
        <v>27410</v>
      </c>
      <c r="G227" s="118" t="e">
        <f t="shared" si="14"/>
        <v>#REF!</v>
      </c>
      <c r="H227" s="27"/>
      <c r="I227" s="159"/>
      <c r="J227" s="159"/>
      <c r="K227" s="187"/>
      <c r="L227" s="189"/>
    </row>
    <row r="228" spans="1:20" s="40" customFormat="1" x14ac:dyDescent="0.25">
      <c r="A228" s="39"/>
      <c r="B228" s="210">
        <v>9.4</v>
      </c>
      <c r="C228" s="115" t="s">
        <v>426</v>
      </c>
      <c r="D228" s="38" t="s">
        <v>389</v>
      </c>
      <c r="E228" s="43" t="e">
        <f>+#REF!</f>
        <v>#REF!</v>
      </c>
      <c r="F228" s="117">
        <v>25002</v>
      </c>
      <c r="G228" s="118" t="e">
        <f t="shared" si="14"/>
        <v>#REF!</v>
      </c>
      <c r="H228" s="27"/>
      <c r="I228" s="159"/>
      <c r="J228" s="159"/>
      <c r="K228" s="187"/>
      <c r="L228" s="189"/>
    </row>
    <row r="229" spans="1:20" s="40" customFormat="1" ht="16.5" x14ac:dyDescent="0.25">
      <c r="A229" s="39"/>
      <c r="B229" s="211">
        <v>9.5</v>
      </c>
      <c r="C229" s="115" t="s">
        <v>427</v>
      </c>
      <c r="D229" s="38" t="s">
        <v>34</v>
      </c>
      <c r="E229" s="43" t="e">
        <f>+#REF!</f>
        <v>#REF!</v>
      </c>
      <c r="F229" s="117">
        <v>118800</v>
      </c>
      <c r="G229" s="118" t="e">
        <f t="shared" si="14"/>
        <v>#REF!</v>
      </c>
      <c r="H229" s="27"/>
      <c r="I229" s="159"/>
      <c r="J229" s="159"/>
      <c r="K229" s="187"/>
      <c r="L229" s="189"/>
    </row>
    <row r="230" spans="1:20" s="40" customFormat="1" ht="38.25" x14ac:dyDescent="0.25">
      <c r="A230" s="39"/>
      <c r="B230" s="210">
        <v>9.6</v>
      </c>
      <c r="C230" s="115" t="s">
        <v>428</v>
      </c>
      <c r="D230" s="38" t="s">
        <v>389</v>
      </c>
      <c r="E230" s="43" t="e">
        <f>+#REF!</f>
        <v>#REF!</v>
      </c>
      <c r="F230" s="117">
        <v>10773</v>
      </c>
      <c r="G230" s="118" t="e">
        <f t="shared" si="14"/>
        <v>#REF!</v>
      </c>
      <c r="H230" s="27"/>
      <c r="I230" s="159"/>
      <c r="J230" s="159"/>
      <c r="K230" s="187"/>
      <c r="L230" s="189"/>
    </row>
    <row r="231" spans="1:20" s="40" customFormat="1" ht="16.5" x14ac:dyDescent="0.25">
      <c r="A231" s="39"/>
      <c r="B231" s="211">
        <v>9.6999999999999993</v>
      </c>
      <c r="C231" s="115" t="s">
        <v>429</v>
      </c>
      <c r="D231" s="38" t="s">
        <v>389</v>
      </c>
      <c r="E231" s="43">
        <v>1</v>
      </c>
      <c r="F231" s="117">
        <v>61222</v>
      </c>
      <c r="G231" s="118">
        <f t="shared" si="14"/>
        <v>61222</v>
      </c>
      <c r="H231" s="27"/>
      <c r="I231" s="159">
        <f>54663*1.13</f>
        <v>61769.189999999995</v>
      </c>
      <c r="J231" s="159"/>
      <c r="K231" s="187"/>
      <c r="L231" s="189"/>
    </row>
    <row r="232" spans="1:20" ht="38.25" x14ac:dyDescent="0.25">
      <c r="A232" s="26"/>
      <c r="B232" s="211">
        <v>9.8000000000000007</v>
      </c>
      <c r="C232" s="212" t="s">
        <v>515</v>
      </c>
      <c r="D232" s="34" t="s">
        <v>389</v>
      </c>
      <c r="E232" s="42" t="e">
        <f>+#REF!</f>
        <v>#REF!</v>
      </c>
      <c r="F232" s="37">
        <v>76867.12</v>
      </c>
      <c r="G232" s="35" t="e">
        <f t="shared" si="14"/>
        <v>#REF!</v>
      </c>
      <c r="H232" s="216"/>
      <c r="I232" s="123"/>
      <c r="J232" s="123"/>
      <c r="K232" s="218"/>
      <c r="L232" s="189"/>
    </row>
    <row r="233" spans="1:20" ht="79.900000000000006" customHeight="1" x14ac:dyDescent="0.25">
      <c r="A233" s="26"/>
      <c r="B233" s="210">
        <v>9.9</v>
      </c>
      <c r="C233" s="115" t="s">
        <v>662</v>
      </c>
      <c r="D233" s="38" t="s">
        <v>27</v>
      </c>
      <c r="E233" s="42">
        <v>1</v>
      </c>
      <c r="F233" s="37">
        <v>1925000</v>
      </c>
      <c r="G233" s="118">
        <f t="shared" si="14"/>
        <v>1925000</v>
      </c>
      <c r="H233" s="27"/>
      <c r="I233" s="123">
        <v>1100000</v>
      </c>
      <c r="J233" s="123"/>
      <c r="K233" s="185">
        <v>9201198</v>
      </c>
      <c r="L233" s="189">
        <v>5300000</v>
      </c>
      <c r="M233" s="189">
        <f>+K233-L233</f>
        <v>3901198</v>
      </c>
      <c r="N233" s="189"/>
      <c r="O233" s="197">
        <f>+M233/L233</f>
        <v>0.73607509433962259</v>
      </c>
      <c r="P233" s="199">
        <f>+O233-1.19</f>
        <v>-0.45392490566037735</v>
      </c>
      <c r="Q233" s="7">
        <f>+F233*1.25</f>
        <v>2406250</v>
      </c>
      <c r="R233" s="121">
        <f>+Q233*0.2</f>
        <v>481250</v>
      </c>
      <c r="S233" s="198">
        <f>+Q233-L233-R233-Q233*0.0883</f>
        <v>-3587471.875</v>
      </c>
      <c r="T233" s="199">
        <f>+S233/Q233</f>
        <v>-1.4908974025974027</v>
      </c>
    </row>
    <row r="234" spans="1:20" ht="87" customHeight="1" x14ac:dyDescent="0.25">
      <c r="A234" s="26"/>
      <c r="B234" s="213">
        <v>9.1</v>
      </c>
      <c r="C234" s="36" t="s">
        <v>649</v>
      </c>
      <c r="D234" s="38" t="s">
        <v>27</v>
      </c>
      <c r="E234" s="42">
        <v>1</v>
      </c>
      <c r="F234" s="37">
        <v>4987500</v>
      </c>
      <c r="G234" s="118">
        <f t="shared" si="14"/>
        <v>4987500</v>
      </c>
      <c r="H234" s="27"/>
      <c r="I234" s="123">
        <v>2850000</v>
      </c>
      <c r="J234" s="123"/>
      <c r="K234" s="185">
        <v>1372799</v>
      </c>
      <c r="L234" s="189">
        <f t="shared" ref="L234:L247" si="15">+K234-F234</f>
        <v>-3614701</v>
      </c>
    </row>
    <row r="235" spans="1:20" ht="85.15" customHeight="1" x14ac:dyDescent="0.25">
      <c r="A235" s="26"/>
      <c r="B235" s="209">
        <v>9.11</v>
      </c>
      <c r="C235" s="36" t="s">
        <v>650</v>
      </c>
      <c r="D235" s="38" t="s">
        <v>27</v>
      </c>
      <c r="E235" s="42">
        <v>1</v>
      </c>
      <c r="F235" s="37">
        <v>8050000</v>
      </c>
      <c r="G235" s="118">
        <f t="shared" si="14"/>
        <v>8050000</v>
      </c>
      <c r="H235" s="27"/>
      <c r="I235" s="123">
        <v>4600000</v>
      </c>
      <c r="J235" s="123"/>
      <c r="K235" s="185">
        <v>8079175</v>
      </c>
      <c r="L235" s="189">
        <f t="shared" si="15"/>
        <v>29175</v>
      </c>
      <c r="P235" s="200"/>
    </row>
    <row r="236" spans="1:20" ht="78" customHeight="1" x14ac:dyDescent="0.25">
      <c r="A236" s="26"/>
      <c r="B236" s="213">
        <v>9.1199999999999992</v>
      </c>
      <c r="C236" s="36" t="s">
        <v>651</v>
      </c>
      <c r="D236" s="38" t="s">
        <v>27</v>
      </c>
      <c r="E236" s="42">
        <v>1</v>
      </c>
      <c r="F236" s="37">
        <v>7787500</v>
      </c>
      <c r="G236" s="118">
        <f t="shared" si="14"/>
        <v>7787500</v>
      </c>
      <c r="H236" s="27"/>
      <c r="I236" s="123">
        <v>4450000</v>
      </c>
      <c r="J236" s="123"/>
      <c r="K236" s="185">
        <v>2420664</v>
      </c>
      <c r="L236" s="189">
        <f t="shared" si="15"/>
        <v>-5366836</v>
      </c>
      <c r="P236" s="200"/>
    </row>
    <row r="237" spans="1:20" ht="80.45" customHeight="1" x14ac:dyDescent="0.25">
      <c r="A237" s="26"/>
      <c r="B237" s="209">
        <v>9.1300000000000008</v>
      </c>
      <c r="C237" s="36" t="s">
        <v>652</v>
      </c>
      <c r="D237" s="38" t="s">
        <v>27</v>
      </c>
      <c r="E237" s="42">
        <v>1</v>
      </c>
      <c r="F237" s="37">
        <v>13912500</v>
      </c>
      <c r="G237" s="118">
        <f t="shared" si="14"/>
        <v>13912500</v>
      </c>
      <c r="H237" s="27"/>
      <c r="I237" s="123">
        <v>7950000</v>
      </c>
      <c r="J237" s="123"/>
      <c r="K237" s="185">
        <v>6250503</v>
      </c>
      <c r="L237" s="189">
        <f t="shared" si="15"/>
        <v>-7661997</v>
      </c>
    </row>
    <row r="238" spans="1:20" ht="91.5" customHeight="1" x14ac:dyDescent="0.25">
      <c r="A238" s="26"/>
      <c r="B238" s="213">
        <v>9.14</v>
      </c>
      <c r="C238" s="36" t="s">
        <v>653</v>
      </c>
      <c r="D238" s="38" t="s">
        <v>27</v>
      </c>
      <c r="E238" s="42">
        <v>1</v>
      </c>
      <c r="F238" s="37">
        <v>2887500</v>
      </c>
      <c r="G238" s="118">
        <f t="shared" si="14"/>
        <v>2887500</v>
      </c>
      <c r="H238" s="27"/>
      <c r="I238" s="123">
        <v>1650000</v>
      </c>
      <c r="J238" s="123"/>
      <c r="K238" s="185">
        <v>2504932</v>
      </c>
      <c r="L238" s="189">
        <f t="shared" si="15"/>
        <v>-382568</v>
      </c>
    </row>
    <row r="239" spans="1:20" ht="78.599999999999994" customHeight="1" x14ac:dyDescent="0.25">
      <c r="A239" s="26"/>
      <c r="B239" s="209">
        <v>9.15</v>
      </c>
      <c r="C239" s="36" t="s">
        <v>654</v>
      </c>
      <c r="D239" s="38" t="s">
        <v>27</v>
      </c>
      <c r="E239" s="42">
        <v>1</v>
      </c>
      <c r="F239" s="37">
        <v>11375000</v>
      </c>
      <c r="G239" s="118">
        <f t="shared" si="14"/>
        <v>11375000</v>
      </c>
      <c r="H239" s="27"/>
      <c r="I239" s="123">
        <v>6500000</v>
      </c>
      <c r="J239" s="123"/>
      <c r="K239" s="185">
        <v>854470</v>
      </c>
      <c r="L239" s="189">
        <f t="shared" si="15"/>
        <v>-10520530</v>
      </c>
    </row>
    <row r="240" spans="1:20" ht="72.599999999999994" customHeight="1" x14ac:dyDescent="0.25">
      <c r="A240" s="26"/>
      <c r="B240" s="213">
        <v>9.16</v>
      </c>
      <c r="C240" s="36" t="s">
        <v>655</v>
      </c>
      <c r="D240" s="38" t="s">
        <v>27</v>
      </c>
      <c r="E240" s="42">
        <v>1</v>
      </c>
      <c r="F240" s="37">
        <v>1662500</v>
      </c>
      <c r="G240" s="118">
        <f t="shared" si="14"/>
        <v>1662500</v>
      </c>
      <c r="H240" s="27"/>
      <c r="I240" s="123">
        <v>950000</v>
      </c>
      <c r="J240" s="123"/>
      <c r="K240" s="185">
        <v>1723199</v>
      </c>
      <c r="L240" s="189">
        <f t="shared" si="15"/>
        <v>60699</v>
      </c>
    </row>
    <row r="241" spans="1:14" ht="70.150000000000006" customHeight="1" x14ac:dyDescent="0.25">
      <c r="A241" s="26"/>
      <c r="B241" s="209">
        <v>9.17</v>
      </c>
      <c r="C241" s="36" t="s">
        <v>656</v>
      </c>
      <c r="D241" s="38" t="s">
        <v>27</v>
      </c>
      <c r="E241" s="42">
        <v>1</v>
      </c>
      <c r="F241" s="37">
        <v>3150000</v>
      </c>
      <c r="G241" s="118">
        <f t="shared" si="14"/>
        <v>3150000</v>
      </c>
      <c r="H241" s="27"/>
      <c r="I241" s="123">
        <v>1800000</v>
      </c>
      <c r="J241" s="123"/>
      <c r="K241" s="185">
        <v>2014817</v>
      </c>
      <c r="L241" s="189">
        <f t="shared" si="15"/>
        <v>-1135183</v>
      </c>
    </row>
    <row r="242" spans="1:14" ht="65.45" customHeight="1" x14ac:dyDescent="0.25">
      <c r="A242" s="26"/>
      <c r="B242" s="213">
        <v>9.18</v>
      </c>
      <c r="C242" s="36" t="s">
        <v>657</v>
      </c>
      <c r="D242" s="38" t="s">
        <v>27</v>
      </c>
      <c r="E242" s="42">
        <v>1</v>
      </c>
      <c r="F242" s="37">
        <v>1925000</v>
      </c>
      <c r="G242" s="118">
        <f t="shared" si="14"/>
        <v>1925000</v>
      </c>
      <c r="H242" s="27"/>
      <c r="I242" s="123">
        <v>1100000</v>
      </c>
      <c r="J242" s="123"/>
      <c r="K242" s="185">
        <v>2081094</v>
      </c>
      <c r="L242" s="189">
        <f t="shared" si="15"/>
        <v>156094</v>
      </c>
    </row>
    <row r="243" spans="1:14" ht="88.15" customHeight="1" x14ac:dyDescent="0.25">
      <c r="A243" s="26"/>
      <c r="B243" s="209">
        <v>9.19</v>
      </c>
      <c r="C243" s="36" t="s">
        <v>658</v>
      </c>
      <c r="D243" s="38" t="s">
        <v>27</v>
      </c>
      <c r="E243" s="42">
        <v>1</v>
      </c>
      <c r="F243" s="37">
        <v>3062500</v>
      </c>
      <c r="G243" s="118">
        <f t="shared" si="14"/>
        <v>3062500</v>
      </c>
      <c r="H243" s="27"/>
      <c r="I243" s="123">
        <v>1750000</v>
      </c>
      <c r="J243" s="123"/>
      <c r="K243" s="185">
        <v>10929600</v>
      </c>
      <c r="L243" s="189">
        <f t="shared" si="15"/>
        <v>7867100</v>
      </c>
    </row>
    <row r="244" spans="1:14" ht="88.15" customHeight="1" x14ac:dyDescent="0.25">
      <c r="A244" s="26"/>
      <c r="B244" s="213">
        <v>9.1999999999999993</v>
      </c>
      <c r="C244" s="36" t="s">
        <v>659</v>
      </c>
      <c r="D244" s="38" t="s">
        <v>27</v>
      </c>
      <c r="E244" s="42">
        <v>1</v>
      </c>
      <c r="F244" s="37">
        <v>2100000</v>
      </c>
      <c r="G244" s="118">
        <f t="shared" si="14"/>
        <v>2100000</v>
      </c>
      <c r="H244" s="27"/>
      <c r="I244" s="123">
        <v>1200000</v>
      </c>
      <c r="J244" s="123"/>
      <c r="K244" s="185">
        <v>12028500</v>
      </c>
      <c r="L244" s="189">
        <f t="shared" si="15"/>
        <v>9928500</v>
      </c>
    </row>
    <row r="245" spans="1:14" ht="87" customHeight="1" x14ac:dyDescent="0.25">
      <c r="A245" s="26"/>
      <c r="B245" s="209">
        <v>9.2100000000000009</v>
      </c>
      <c r="C245" s="36" t="s">
        <v>660</v>
      </c>
      <c r="D245" s="38" t="s">
        <v>27</v>
      </c>
      <c r="E245" s="42">
        <v>1</v>
      </c>
      <c r="F245" s="37">
        <v>5950000</v>
      </c>
      <c r="G245" s="118">
        <f t="shared" si="14"/>
        <v>5950000</v>
      </c>
      <c r="H245" s="27"/>
      <c r="I245" s="123">
        <v>3400000</v>
      </c>
      <c r="J245" s="123"/>
      <c r="K245" s="185">
        <v>10453500</v>
      </c>
      <c r="L245" s="189">
        <f t="shared" si="15"/>
        <v>4503500</v>
      </c>
    </row>
    <row r="246" spans="1:14" ht="87" customHeight="1" x14ac:dyDescent="0.25">
      <c r="A246" s="26"/>
      <c r="B246" s="213">
        <v>9.2200000000000006</v>
      </c>
      <c r="C246" s="36" t="s">
        <v>661</v>
      </c>
      <c r="D246" s="38" t="s">
        <v>27</v>
      </c>
      <c r="E246" s="42">
        <v>1</v>
      </c>
      <c r="F246" s="37">
        <v>2625000</v>
      </c>
      <c r="G246" s="118">
        <f t="shared" si="14"/>
        <v>2625000</v>
      </c>
      <c r="H246" s="27"/>
      <c r="I246" s="123">
        <v>1500000</v>
      </c>
      <c r="J246" s="123"/>
      <c r="K246" s="185">
        <v>8806500</v>
      </c>
      <c r="L246" s="189">
        <f t="shared" si="15"/>
        <v>6181500</v>
      </c>
      <c r="N246" s="120" t="e">
        <f>+#REF!+15000</f>
        <v>#REF!</v>
      </c>
    </row>
    <row r="247" spans="1:14" ht="24" customHeight="1" x14ac:dyDescent="0.25">
      <c r="A247" s="26"/>
      <c r="B247" s="305" t="s">
        <v>444</v>
      </c>
      <c r="C247" s="306"/>
      <c r="D247" s="306"/>
      <c r="E247" s="306"/>
      <c r="F247" s="100"/>
      <c r="G247" s="101" t="e">
        <f>SUM(G225:G246)</f>
        <v>#REF!</v>
      </c>
      <c r="H247" s="27"/>
      <c r="L247" s="189">
        <f t="shared" si="15"/>
        <v>0</v>
      </c>
    </row>
    <row r="248" spans="1:14" ht="48" customHeight="1" x14ac:dyDescent="0.25">
      <c r="A248" s="26"/>
      <c r="B248" s="28">
        <v>10</v>
      </c>
      <c r="C248" s="105" t="s">
        <v>490</v>
      </c>
      <c r="D248" s="30" t="s">
        <v>27</v>
      </c>
      <c r="E248" s="83" t="s">
        <v>28</v>
      </c>
      <c r="F248" s="30" t="s">
        <v>29</v>
      </c>
      <c r="G248" s="32" t="s">
        <v>30</v>
      </c>
      <c r="H248" s="27"/>
    </row>
    <row r="249" spans="1:14" ht="63.75" customHeight="1" x14ac:dyDescent="0.25">
      <c r="A249" s="26"/>
      <c r="B249" s="33">
        <v>10.1</v>
      </c>
      <c r="C249" s="41" t="s">
        <v>487</v>
      </c>
      <c r="D249" s="34" t="s">
        <v>34</v>
      </c>
      <c r="E249" s="42">
        <v>31</v>
      </c>
      <c r="F249" s="119">
        <v>37500</v>
      </c>
      <c r="G249" s="35">
        <f t="shared" ref="G249:G262" si="16">+E249*F249</f>
        <v>1162500</v>
      </c>
      <c r="H249" s="216"/>
      <c r="I249" s="123"/>
      <c r="J249" s="224"/>
      <c r="K249" s="218"/>
      <c r="L249" s="189"/>
    </row>
    <row r="250" spans="1:14" ht="63.75" customHeight="1" x14ac:dyDescent="0.25">
      <c r="A250" s="26"/>
      <c r="B250" s="33">
        <v>10.199999999999999</v>
      </c>
      <c r="C250" s="41" t="s">
        <v>486</v>
      </c>
      <c r="D250" s="34" t="s">
        <v>34</v>
      </c>
      <c r="E250" s="42">
        <v>16</v>
      </c>
      <c r="F250" s="119">
        <v>46800</v>
      </c>
      <c r="G250" s="35">
        <f t="shared" si="16"/>
        <v>748800</v>
      </c>
      <c r="H250" s="216"/>
      <c r="I250" s="123"/>
      <c r="J250" s="224"/>
      <c r="K250" s="218">
        <f>+J250*1.8</f>
        <v>0</v>
      </c>
      <c r="L250" s="189"/>
    </row>
    <row r="251" spans="1:14" ht="51.75" customHeight="1" x14ac:dyDescent="0.25">
      <c r="A251" s="26"/>
      <c r="B251" s="33">
        <v>10.3</v>
      </c>
      <c r="C251" s="36" t="s">
        <v>459</v>
      </c>
      <c r="D251" s="38" t="s">
        <v>48</v>
      </c>
      <c r="E251" s="43">
        <f>62+2.5</f>
        <v>64.5</v>
      </c>
      <c r="F251" s="119">
        <v>174293</v>
      </c>
      <c r="G251" s="35">
        <f t="shared" si="16"/>
        <v>11241898.5</v>
      </c>
      <c r="H251" s="27"/>
      <c r="I251" s="123"/>
      <c r="J251" s="215"/>
      <c r="L251" s="189"/>
    </row>
    <row r="252" spans="1:14" ht="46.5" customHeight="1" x14ac:dyDescent="0.25">
      <c r="A252" s="26"/>
      <c r="B252" s="33">
        <v>10.4</v>
      </c>
      <c r="C252" s="36" t="s">
        <v>465</v>
      </c>
      <c r="D252" s="38" t="s">
        <v>34</v>
      </c>
      <c r="E252" s="43">
        <f>5.08*2.69</f>
        <v>13.6652</v>
      </c>
      <c r="F252" s="119">
        <v>147320</v>
      </c>
      <c r="G252" s="35">
        <f t="shared" si="16"/>
        <v>2013157.264</v>
      </c>
      <c r="H252" s="27"/>
      <c r="I252" s="123"/>
      <c r="J252" s="215"/>
      <c r="L252" s="189"/>
    </row>
    <row r="253" spans="1:14" ht="42" customHeight="1" x14ac:dyDescent="0.25">
      <c r="A253" s="26"/>
      <c r="B253" s="33">
        <v>10.5</v>
      </c>
      <c r="C253" s="36" t="s">
        <v>460</v>
      </c>
      <c r="D253" s="38" t="s">
        <v>34</v>
      </c>
      <c r="E253" s="43">
        <f>+E252</f>
        <v>13.6652</v>
      </c>
      <c r="F253" s="119">
        <v>98835</v>
      </c>
      <c r="G253" s="35">
        <f t="shared" si="16"/>
        <v>1350600.0420000001</v>
      </c>
      <c r="H253" s="27"/>
      <c r="I253" s="123"/>
      <c r="J253" s="215"/>
      <c r="L253" s="189"/>
    </row>
    <row r="254" spans="1:14" ht="51.75" customHeight="1" x14ac:dyDescent="0.25">
      <c r="A254" s="26"/>
      <c r="B254" s="33">
        <v>10.6</v>
      </c>
      <c r="C254" s="41" t="s">
        <v>478</v>
      </c>
      <c r="D254" s="34" t="s">
        <v>34</v>
      </c>
      <c r="E254" s="42">
        <v>13.5</v>
      </c>
      <c r="F254" s="119">
        <v>98150</v>
      </c>
      <c r="G254" s="35">
        <f t="shared" si="16"/>
        <v>1325025</v>
      </c>
      <c r="H254" s="27"/>
      <c r="I254" s="123"/>
      <c r="J254" s="215"/>
      <c r="L254" s="189"/>
    </row>
    <row r="255" spans="1:14" ht="35.25" customHeight="1" x14ac:dyDescent="0.25">
      <c r="A255" s="26"/>
      <c r="B255" s="33">
        <v>10.7</v>
      </c>
      <c r="C255" s="41" t="s">
        <v>477</v>
      </c>
      <c r="D255" s="34" t="s">
        <v>27</v>
      </c>
      <c r="E255" s="42">
        <v>1</v>
      </c>
      <c r="F255" s="119">
        <v>187000</v>
      </c>
      <c r="G255" s="35">
        <f t="shared" si="16"/>
        <v>187000</v>
      </c>
      <c r="H255" s="27"/>
      <c r="I255" s="123"/>
      <c r="J255" s="215"/>
      <c r="L255" s="189"/>
    </row>
    <row r="256" spans="1:14" ht="35.25" customHeight="1" x14ac:dyDescent="0.25">
      <c r="A256" s="26"/>
      <c r="B256" s="33">
        <v>10.8</v>
      </c>
      <c r="C256" s="41" t="s">
        <v>502</v>
      </c>
      <c r="D256" s="34" t="s">
        <v>27</v>
      </c>
      <c r="E256" s="42">
        <v>2</v>
      </c>
      <c r="F256" s="119">
        <v>99900</v>
      </c>
      <c r="G256" s="35">
        <f t="shared" si="16"/>
        <v>199800</v>
      </c>
      <c r="H256" s="27"/>
      <c r="I256" s="123"/>
      <c r="J256" s="215"/>
      <c r="K256" s="185">
        <f>(30500+25000)*1.8</f>
        <v>99900</v>
      </c>
      <c r="L256" s="189"/>
    </row>
    <row r="257" spans="1:15" ht="51.75" customHeight="1" x14ac:dyDescent="0.25">
      <c r="A257" s="26"/>
      <c r="B257" s="33">
        <v>10.9</v>
      </c>
      <c r="C257" s="41" t="s">
        <v>468</v>
      </c>
      <c r="D257" s="34" t="s">
        <v>27</v>
      </c>
      <c r="E257" s="42">
        <v>1</v>
      </c>
      <c r="F257" s="119">
        <v>3158000</v>
      </c>
      <c r="G257" s="35">
        <f t="shared" si="16"/>
        <v>3158000</v>
      </c>
      <c r="H257" s="27"/>
      <c r="I257" s="123"/>
      <c r="J257" s="215"/>
      <c r="K257" s="185">
        <f>+J256+720000*1.7</f>
        <v>1224000</v>
      </c>
      <c r="L257" s="189"/>
    </row>
    <row r="258" spans="1:15" ht="126.75" customHeight="1" x14ac:dyDescent="0.25">
      <c r="A258" s="26"/>
      <c r="B258" s="213">
        <v>10.1</v>
      </c>
      <c r="C258" s="41" t="s">
        <v>471</v>
      </c>
      <c r="D258" s="34" t="s">
        <v>27</v>
      </c>
      <c r="E258" s="42">
        <v>16</v>
      </c>
      <c r="F258" s="119">
        <v>294362</v>
      </c>
      <c r="G258" s="35">
        <f t="shared" si="16"/>
        <v>4709792</v>
      </c>
      <c r="H258" s="27"/>
      <c r="I258" s="123"/>
      <c r="J258" s="215"/>
      <c r="L258" s="189"/>
      <c r="N258" s="7">
        <f>10200+25000</f>
        <v>35200</v>
      </c>
      <c r="O258" s="7">
        <f>+N258*1.8</f>
        <v>63360</v>
      </c>
    </row>
    <row r="259" spans="1:15" ht="39.75" customHeight="1" x14ac:dyDescent="0.25">
      <c r="A259" s="26"/>
      <c r="B259" s="33">
        <v>10.11</v>
      </c>
      <c r="C259" s="41" t="s">
        <v>501</v>
      </c>
      <c r="D259" s="34" t="s">
        <v>27</v>
      </c>
      <c r="E259" s="42">
        <v>2</v>
      </c>
      <c r="F259" s="119">
        <v>313458.2</v>
      </c>
      <c r="G259" s="35">
        <f t="shared" si="16"/>
        <v>626916.4</v>
      </c>
      <c r="H259" s="27"/>
      <c r="I259" s="123"/>
      <c r="J259" s="215"/>
      <c r="K259" s="185">
        <f>+J259*1.8</f>
        <v>0</v>
      </c>
      <c r="L259" s="189">
        <f>77158*1.15</f>
        <v>88731.7</v>
      </c>
    </row>
    <row r="260" spans="1:15" ht="63" customHeight="1" x14ac:dyDescent="0.25">
      <c r="A260" s="26"/>
      <c r="B260" s="213">
        <v>10.119999999999999</v>
      </c>
      <c r="C260" s="41" t="s">
        <v>500</v>
      </c>
      <c r="D260" s="34" t="s">
        <v>27</v>
      </c>
      <c r="E260" s="42">
        <v>5</v>
      </c>
      <c r="F260" s="119">
        <v>63360</v>
      </c>
      <c r="G260" s="35">
        <f t="shared" si="16"/>
        <v>316800</v>
      </c>
      <c r="H260" s="27"/>
      <c r="I260" s="123"/>
      <c r="J260" s="215"/>
      <c r="L260" s="189"/>
    </row>
    <row r="261" spans="1:15" ht="68.099999999999994" customHeight="1" x14ac:dyDescent="0.25">
      <c r="A261" s="26"/>
      <c r="B261" s="33">
        <v>10.130000000000001</v>
      </c>
      <c r="C261" s="41" t="s">
        <v>382</v>
      </c>
      <c r="D261" s="34" t="s">
        <v>27</v>
      </c>
      <c r="E261" s="42">
        <v>5</v>
      </c>
      <c r="F261" s="119">
        <v>371741</v>
      </c>
      <c r="G261" s="35">
        <f t="shared" si="16"/>
        <v>1858705</v>
      </c>
      <c r="H261" s="27"/>
      <c r="I261" s="123"/>
      <c r="J261" s="215"/>
      <c r="L261" s="189">
        <f>90000+20000</f>
        <v>110000</v>
      </c>
      <c r="M261" s="7">
        <f>+L261*1.7</f>
        <v>187000</v>
      </c>
    </row>
    <row r="262" spans="1:15" ht="58.5" customHeight="1" x14ac:dyDescent="0.25">
      <c r="A262" s="26"/>
      <c r="B262" s="213">
        <v>10.14</v>
      </c>
      <c r="C262" s="41" t="s">
        <v>484</v>
      </c>
      <c r="D262" s="34" t="s">
        <v>34</v>
      </c>
      <c r="E262" s="42">
        <f>+(2.3*0.32*4)+(5.4*1.2)</f>
        <v>9.4239999999999995</v>
      </c>
      <c r="F262" s="119">
        <v>375822</v>
      </c>
      <c r="G262" s="35">
        <f t="shared" si="16"/>
        <v>3541746.5279999999</v>
      </c>
      <c r="H262" s="216"/>
      <c r="I262" s="123"/>
      <c r="J262" s="224"/>
      <c r="K262" s="218"/>
      <c r="L262" s="189"/>
    </row>
    <row r="263" spans="1:15" ht="58.5" customHeight="1" x14ac:dyDescent="0.25">
      <c r="A263" s="26"/>
      <c r="B263" s="33">
        <v>10.15</v>
      </c>
      <c r="C263" s="41" t="s">
        <v>497</v>
      </c>
      <c r="D263" s="34" t="s">
        <v>48</v>
      </c>
      <c r="E263" s="42">
        <v>5.4</v>
      </c>
      <c r="F263" s="119">
        <v>71100</v>
      </c>
      <c r="G263" s="35">
        <f>+E263*F263</f>
        <v>383940</v>
      </c>
      <c r="H263" s="216"/>
      <c r="I263" s="123"/>
      <c r="J263" s="224"/>
      <c r="K263" s="218">
        <f>+J263/3</f>
        <v>0</v>
      </c>
      <c r="L263" s="189">
        <f>+F263+K263</f>
        <v>71100</v>
      </c>
    </row>
    <row r="264" spans="1:15" ht="58.5" customHeight="1" x14ac:dyDescent="0.25">
      <c r="A264" s="26"/>
      <c r="B264" s="213">
        <v>10.16</v>
      </c>
      <c r="C264" s="41" t="s">
        <v>511</v>
      </c>
      <c r="D264" s="34" t="s">
        <v>34</v>
      </c>
      <c r="E264" s="42">
        <v>12.34</v>
      </c>
      <c r="F264" s="119">
        <v>296689</v>
      </c>
      <c r="G264" s="35">
        <f>+E264*F264</f>
        <v>3661142.26</v>
      </c>
      <c r="H264" s="216"/>
      <c r="I264" s="123"/>
      <c r="J264" s="224"/>
      <c r="K264" s="218"/>
      <c r="L264" s="189"/>
    </row>
    <row r="265" spans="1:15" ht="58.5" customHeight="1" x14ac:dyDescent="0.25">
      <c r="A265" s="26"/>
      <c r="B265" s="33">
        <v>10.17</v>
      </c>
      <c r="C265" s="41" t="s">
        <v>512</v>
      </c>
      <c r="D265" s="34" t="s">
        <v>34</v>
      </c>
      <c r="E265" s="42">
        <v>12.34</v>
      </c>
      <c r="F265" s="119">
        <v>84800</v>
      </c>
      <c r="G265" s="35">
        <f>+E265*F265</f>
        <v>1046432</v>
      </c>
      <c r="H265" s="216"/>
      <c r="I265" s="123"/>
      <c r="J265" s="224"/>
      <c r="K265" s="218"/>
      <c r="L265" s="189"/>
    </row>
    <row r="266" spans="1:15" ht="58.5" customHeight="1" x14ac:dyDescent="0.25">
      <c r="A266" s="26"/>
      <c r="B266" s="213">
        <v>10.18</v>
      </c>
      <c r="C266" s="41" t="s">
        <v>510</v>
      </c>
      <c r="D266" s="34" t="s">
        <v>48</v>
      </c>
      <c r="E266" s="42">
        <v>10</v>
      </c>
      <c r="F266" s="119">
        <v>64416</v>
      </c>
      <c r="G266" s="35">
        <f>+E266*F266</f>
        <v>644160</v>
      </c>
      <c r="H266" s="216"/>
      <c r="I266" s="123"/>
      <c r="J266" s="224"/>
      <c r="K266" s="218"/>
      <c r="L266" s="189"/>
    </row>
    <row r="267" spans="1:15" ht="51.75" customHeight="1" x14ac:dyDescent="0.25">
      <c r="A267" s="26"/>
      <c r="B267" s="33">
        <v>10.19</v>
      </c>
      <c r="C267" s="41" t="s">
        <v>475</v>
      </c>
      <c r="D267" s="34" t="s">
        <v>27</v>
      </c>
      <c r="E267" s="42">
        <v>8</v>
      </c>
      <c r="F267" s="119">
        <v>1360000</v>
      </c>
      <c r="G267" s="35">
        <f>+E267*F267</f>
        <v>10880000</v>
      </c>
      <c r="H267" s="27"/>
      <c r="I267" s="123"/>
      <c r="J267" s="215"/>
      <c r="K267" s="185">
        <f>800000*1.7</f>
        <v>1360000</v>
      </c>
      <c r="L267" s="189"/>
    </row>
    <row r="268" spans="1:15" ht="29.45" customHeight="1" x14ac:dyDescent="0.25">
      <c r="A268" s="26"/>
      <c r="B268" s="213">
        <v>10.199999999999999</v>
      </c>
      <c r="C268" s="36" t="s">
        <v>447</v>
      </c>
      <c r="D268" s="38" t="s">
        <v>27</v>
      </c>
      <c r="E268" s="43">
        <v>1</v>
      </c>
      <c r="F268" s="119">
        <v>3150000</v>
      </c>
      <c r="G268" s="35">
        <f t="shared" ref="G268:G278" si="17">+E268*F268</f>
        <v>3150000</v>
      </c>
      <c r="H268" s="27"/>
      <c r="I268" s="123"/>
      <c r="J268" s="215"/>
      <c r="K268" s="185">
        <v>1115000</v>
      </c>
      <c r="L268" s="189">
        <f>+K268-F268</f>
        <v>-2035000</v>
      </c>
    </row>
    <row r="269" spans="1:15" ht="54" customHeight="1" x14ac:dyDescent="0.25">
      <c r="A269" s="26"/>
      <c r="B269" s="33">
        <v>10.210000000000001</v>
      </c>
      <c r="C269" s="36" t="s">
        <v>485</v>
      </c>
      <c r="D269" s="38" t="s">
        <v>450</v>
      </c>
      <c r="E269" s="43">
        <v>8</v>
      </c>
      <c r="F269" s="119">
        <v>59800</v>
      </c>
      <c r="G269" s="35">
        <f t="shared" si="17"/>
        <v>478400</v>
      </c>
      <c r="H269" s="27"/>
      <c r="I269" s="123"/>
      <c r="J269" s="215"/>
      <c r="L269" s="189"/>
    </row>
    <row r="270" spans="1:15" ht="43.9" customHeight="1" x14ac:dyDescent="0.25">
      <c r="A270" s="26"/>
      <c r="B270" s="213">
        <v>10.220000000000001</v>
      </c>
      <c r="C270" s="36" t="s">
        <v>449</v>
      </c>
      <c r="D270" s="38" t="s">
        <v>27</v>
      </c>
      <c r="E270" s="43">
        <v>1</v>
      </c>
      <c r="F270" s="119">
        <v>1050000</v>
      </c>
      <c r="G270" s="35">
        <f t="shared" si="17"/>
        <v>1050000</v>
      </c>
      <c r="H270" s="27"/>
      <c r="I270" s="123"/>
      <c r="J270" s="215"/>
      <c r="K270" s="185">
        <v>1120000</v>
      </c>
      <c r="L270" s="189">
        <f>+K270-F270</f>
        <v>70000</v>
      </c>
    </row>
    <row r="271" spans="1:15" ht="55.5" customHeight="1" x14ac:dyDescent="0.25">
      <c r="A271" s="26"/>
      <c r="B271" s="33">
        <v>10.23</v>
      </c>
      <c r="C271" s="41" t="s">
        <v>451</v>
      </c>
      <c r="D271" s="38" t="s">
        <v>48</v>
      </c>
      <c r="E271" s="43">
        <v>128</v>
      </c>
      <c r="F271" s="119">
        <v>73400</v>
      </c>
      <c r="G271" s="35">
        <f t="shared" si="17"/>
        <v>9395200</v>
      </c>
      <c r="H271" s="27"/>
      <c r="I271" s="123"/>
      <c r="J271" s="215"/>
      <c r="K271" s="185">
        <v>260000</v>
      </c>
      <c r="L271" s="189">
        <f>+K271-F271</f>
        <v>186600</v>
      </c>
    </row>
    <row r="272" spans="1:15" ht="51.75" customHeight="1" x14ac:dyDescent="0.25">
      <c r="A272" s="26"/>
      <c r="B272" s="213">
        <v>10.24</v>
      </c>
      <c r="C272" s="41" t="s">
        <v>495</v>
      </c>
      <c r="D272" s="34" t="s">
        <v>27</v>
      </c>
      <c r="E272" s="42">
        <v>6</v>
      </c>
      <c r="F272" s="119">
        <v>786400</v>
      </c>
      <c r="G272" s="35">
        <f t="shared" si="17"/>
        <v>4718400</v>
      </c>
      <c r="H272" s="216"/>
      <c r="I272" s="123"/>
      <c r="J272" s="224"/>
      <c r="K272" s="218"/>
      <c r="L272" s="189"/>
    </row>
    <row r="273" spans="1:14" ht="51.75" customHeight="1" x14ac:dyDescent="0.25">
      <c r="A273" s="26"/>
      <c r="B273" s="33">
        <v>10.25</v>
      </c>
      <c r="C273" s="41" t="s">
        <v>498</v>
      </c>
      <c r="D273" s="34" t="s">
        <v>27</v>
      </c>
      <c r="E273" s="42">
        <v>1</v>
      </c>
      <c r="F273" s="119">
        <v>3240000</v>
      </c>
      <c r="G273" s="35">
        <f t="shared" si="17"/>
        <v>3240000</v>
      </c>
      <c r="H273" s="216"/>
      <c r="I273" s="123"/>
      <c r="J273" s="224"/>
      <c r="K273" s="218">
        <f>1800000*1.8</f>
        <v>3240000</v>
      </c>
      <c r="L273" s="189"/>
    </row>
    <row r="274" spans="1:14" ht="51.75" customHeight="1" x14ac:dyDescent="0.25">
      <c r="A274" s="26"/>
      <c r="B274" s="213">
        <v>10.26</v>
      </c>
      <c r="C274" s="41" t="s">
        <v>499</v>
      </c>
      <c r="D274" s="34" t="s">
        <v>27</v>
      </c>
      <c r="E274" s="42">
        <v>1</v>
      </c>
      <c r="F274" s="119">
        <v>3960000</v>
      </c>
      <c r="G274" s="35">
        <f t="shared" si="17"/>
        <v>3960000</v>
      </c>
      <c r="H274" s="216"/>
      <c r="I274" s="123"/>
      <c r="J274" s="224"/>
      <c r="K274" s="218"/>
      <c r="L274" s="189"/>
    </row>
    <row r="275" spans="1:14" ht="51.75" customHeight="1" x14ac:dyDescent="0.25">
      <c r="A275" s="26"/>
      <c r="B275" s="33">
        <v>10.27</v>
      </c>
      <c r="C275" s="41" t="s">
        <v>474</v>
      </c>
      <c r="D275" s="34" t="s">
        <v>27</v>
      </c>
      <c r="E275" s="42">
        <v>2</v>
      </c>
      <c r="F275" s="119">
        <v>2230000</v>
      </c>
      <c r="G275" s="35">
        <f t="shared" si="17"/>
        <v>4460000</v>
      </c>
      <c r="H275" s="216"/>
      <c r="I275" s="123">
        <f>901*1.3</f>
        <v>1171.3</v>
      </c>
      <c r="J275" s="224"/>
      <c r="K275" s="218"/>
      <c r="L275" s="189"/>
    </row>
    <row r="276" spans="1:14" ht="66" customHeight="1" x14ac:dyDescent="0.25">
      <c r="A276" s="26"/>
      <c r="B276" s="33">
        <v>10.28</v>
      </c>
      <c r="C276" s="41" t="s">
        <v>663</v>
      </c>
      <c r="D276" s="34" t="s">
        <v>27</v>
      </c>
      <c r="E276" s="42">
        <v>1</v>
      </c>
      <c r="F276" s="119">
        <v>12240000</v>
      </c>
      <c r="G276" s="35">
        <f t="shared" si="17"/>
        <v>12240000</v>
      </c>
      <c r="H276" s="216"/>
      <c r="I276" s="123"/>
      <c r="J276" s="224"/>
      <c r="K276" s="218"/>
      <c r="L276" s="189"/>
    </row>
    <row r="277" spans="1:14" ht="51.75" customHeight="1" x14ac:dyDescent="0.25">
      <c r="A277" s="26"/>
      <c r="B277" s="33">
        <v>10.29</v>
      </c>
      <c r="C277" s="234" t="s">
        <v>505</v>
      </c>
      <c r="D277" s="235" t="s">
        <v>34</v>
      </c>
      <c r="E277" s="236">
        <v>7.5</v>
      </c>
      <c r="F277" s="237">
        <v>111000</v>
      </c>
      <c r="G277" s="35">
        <f t="shared" si="17"/>
        <v>832500</v>
      </c>
      <c r="H277" s="216"/>
      <c r="I277" s="123"/>
      <c r="J277" s="224"/>
      <c r="K277" s="218"/>
      <c r="L277" s="189"/>
    </row>
    <row r="278" spans="1:14" ht="51.75" customHeight="1" x14ac:dyDescent="0.25">
      <c r="A278" s="26"/>
      <c r="B278" s="213">
        <v>10.3</v>
      </c>
      <c r="C278" s="41" t="s">
        <v>504</v>
      </c>
      <c r="D278" s="34" t="s">
        <v>27</v>
      </c>
      <c r="E278" s="42">
        <v>1</v>
      </c>
      <c r="F278" s="119">
        <v>4980000</v>
      </c>
      <c r="G278" s="35">
        <f t="shared" si="17"/>
        <v>4980000</v>
      </c>
      <c r="H278" s="216"/>
      <c r="I278" s="123"/>
      <c r="J278" s="224"/>
      <c r="K278" s="218"/>
      <c r="L278" s="189"/>
    </row>
    <row r="279" spans="1:14" ht="24" customHeight="1" x14ac:dyDescent="0.25">
      <c r="A279" s="26"/>
      <c r="B279" s="305" t="s">
        <v>489</v>
      </c>
      <c r="C279" s="306"/>
      <c r="D279" s="306"/>
      <c r="E279" s="306"/>
      <c r="F279" s="100"/>
      <c r="G279" s="101">
        <f>SUM(G248:G278)</f>
        <v>97560914.994000003</v>
      </c>
      <c r="H279" s="27"/>
      <c r="L279" s="189">
        <f>+K279-F279</f>
        <v>0</v>
      </c>
    </row>
    <row r="280" spans="1:14" ht="23.45" customHeight="1" x14ac:dyDescent="0.25">
      <c r="A280" s="26"/>
      <c r="B280" s="28">
        <v>11</v>
      </c>
      <c r="C280" s="29" t="s">
        <v>491</v>
      </c>
      <c r="D280" s="30" t="s">
        <v>27</v>
      </c>
      <c r="E280" s="83" t="s">
        <v>28</v>
      </c>
      <c r="F280" s="30" t="s">
        <v>29</v>
      </c>
      <c r="G280" s="32" t="s">
        <v>30</v>
      </c>
      <c r="H280" s="27"/>
    </row>
    <row r="281" spans="1:14" ht="42" customHeight="1" x14ac:dyDescent="0.25">
      <c r="A281" s="26"/>
      <c r="B281" s="33">
        <v>11.01</v>
      </c>
      <c r="C281" s="41" t="s">
        <v>457</v>
      </c>
      <c r="D281" s="34" t="s">
        <v>34</v>
      </c>
      <c r="E281" s="42">
        <v>28.86</v>
      </c>
      <c r="F281" s="119">
        <v>68700</v>
      </c>
      <c r="G281" s="35">
        <f>+E281*F281</f>
        <v>1982682</v>
      </c>
      <c r="H281" s="216"/>
      <c r="I281" s="123"/>
      <c r="J281" s="224"/>
      <c r="K281" s="218"/>
      <c r="L281" s="189"/>
    </row>
    <row r="282" spans="1:14" ht="42" customHeight="1" x14ac:dyDescent="0.25">
      <c r="A282" s="26"/>
      <c r="B282" s="33">
        <v>11.02</v>
      </c>
      <c r="C282" s="41" t="s">
        <v>453</v>
      </c>
      <c r="D282" s="34" t="s">
        <v>366</v>
      </c>
      <c r="E282" s="42">
        <v>1</v>
      </c>
      <c r="F282" s="119">
        <v>262500</v>
      </c>
      <c r="G282" s="35">
        <f>+E282*F282</f>
        <v>262500</v>
      </c>
      <c r="H282" s="216"/>
      <c r="I282" s="123"/>
      <c r="J282" s="224"/>
      <c r="K282" s="218">
        <f>+J282+50000</f>
        <v>50000</v>
      </c>
      <c r="L282" s="189">
        <f>+K282*1.75</f>
        <v>87500</v>
      </c>
    </row>
    <row r="283" spans="1:14" ht="42" customHeight="1" x14ac:dyDescent="0.25">
      <c r="A283" s="26"/>
      <c r="B283" s="33">
        <v>11.03</v>
      </c>
      <c r="C283" s="41" t="s">
        <v>461</v>
      </c>
      <c r="D283" s="34" t="s">
        <v>149</v>
      </c>
      <c r="E283" s="42">
        <v>46.44</v>
      </c>
      <c r="F283" s="119">
        <v>39147</v>
      </c>
      <c r="G283" s="35">
        <f>+E283*F283</f>
        <v>1817986.68</v>
      </c>
      <c r="H283" s="216"/>
      <c r="I283" s="123"/>
      <c r="J283" s="224"/>
      <c r="K283" s="218" t="s">
        <v>462</v>
      </c>
      <c r="L283" s="189">
        <f>+J283/E283</f>
        <v>0</v>
      </c>
      <c r="N283" s="7">
        <f>+L283*1.8</f>
        <v>0</v>
      </c>
    </row>
    <row r="284" spans="1:14" ht="51.75" customHeight="1" x14ac:dyDescent="0.25">
      <c r="A284" s="26"/>
      <c r="B284" s="33">
        <v>11.04</v>
      </c>
      <c r="C284" s="41" t="s">
        <v>455</v>
      </c>
      <c r="D284" s="34" t="s">
        <v>454</v>
      </c>
      <c r="E284" s="42">
        <v>1</v>
      </c>
      <c r="F284" s="119">
        <v>610000</v>
      </c>
      <c r="G284" s="35">
        <f t="shared" ref="G284:G315" si="18">+E284*F284</f>
        <v>610000</v>
      </c>
      <c r="H284" s="216"/>
      <c r="I284" s="123"/>
      <c r="J284" s="224"/>
      <c r="K284" s="218">
        <f>489289*1.18</f>
        <v>577361.02</v>
      </c>
      <c r="L284" s="189"/>
    </row>
    <row r="285" spans="1:14" ht="51.75" customHeight="1" x14ac:dyDescent="0.25">
      <c r="A285" s="26"/>
      <c r="B285" s="33">
        <v>11.05</v>
      </c>
      <c r="C285" s="41" t="s">
        <v>493</v>
      </c>
      <c r="D285" s="34" t="s">
        <v>27</v>
      </c>
      <c r="E285" s="42">
        <v>1</v>
      </c>
      <c r="F285" s="119">
        <v>1368000</v>
      </c>
      <c r="G285" s="35">
        <f t="shared" si="18"/>
        <v>1368000</v>
      </c>
      <c r="H285" s="216"/>
      <c r="I285" s="123"/>
      <c r="J285" s="224"/>
      <c r="K285" s="218"/>
      <c r="L285" s="189"/>
    </row>
    <row r="286" spans="1:14" ht="46.5" customHeight="1" x14ac:dyDescent="0.25">
      <c r="A286" s="26"/>
      <c r="B286" s="33">
        <v>11.06</v>
      </c>
      <c r="C286" s="41" t="s">
        <v>494</v>
      </c>
      <c r="D286" s="34" t="s">
        <v>27</v>
      </c>
      <c r="E286" s="42">
        <v>1</v>
      </c>
      <c r="F286" s="119">
        <v>260000</v>
      </c>
      <c r="G286" s="35">
        <f t="shared" si="18"/>
        <v>260000</v>
      </c>
      <c r="H286" s="216"/>
      <c r="I286" s="123"/>
      <c r="J286" s="224"/>
      <c r="K286" s="218"/>
      <c r="L286" s="189"/>
    </row>
    <row r="287" spans="1:14" ht="63.75" customHeight="1" x14ac:dyDescent="0.25">
      <c r="A287" s="26"/>
      <c r="B287" s="33">
        <v>11.07</v>
      </c>
      <c r="C287" s="41" t="s">
        <v>458</v>
      </c>
      <c r="D287" s="34" t="s">
        <v>450</v>
      </c>
      <c r="E287" s="42">
        <v>5.3</v>
      </c>
      <c r="F287" s="119">
        <v>265000</v>
      </c>
      <c r="G287" s="35">
        <f t="shared" si="18"/>
        <v>1404500</v>
      </c>
      <c r="H287" s="216"/>
      <c r="I287" s="123"/>
      <c r="J287" s="224"/>
      <c r="K287" s="218">
        <f>+J287+30000+40000</f>
        <v>70000</v>
      </c>
      <c r="L287" s="189"/>
    </row>
    <row r="288" spans="1:14" ht="51.75" customHeight="1" x14ac:dyDescent="0.25">
      <c r="A288" s="26"/>
      <c r="B288" s="33">
        <v>11.08</v>
      </c>
      <c r="C288" s="36" t="s">
        <v>459</v>
      </c>
      <c r="D288" s="38" t="s">
        <v>48</v>
      </c>
      <c r="E288" s="43">
        <f>12+9.6</f>
        <v>21.6</v>
      </c>
      <c r="F288" s="119">
        <v>174293</v>
      </c>
      <c r="G288" s="35">
        <f t="shared" si="18"/>
        <v>3764728.8000000003</v>
      </c>
      <c r="H288" s="27"/>
      <c r="I288" s="123"/>
      <c r="J288" s="215"/>
      <c r="L288" s="189"/>
    </row>
    <row r="289" spans="1:13" ht="46.5" customHeight="1" x14ac:dyDescent="0.25">
      <c r="A289" s="26"/>
      <c r="B289" s="33">
        <v>11.09</v>
      </c>
      <c r="C289" s="36" t="s">
        <v>465</v>
      </c>
      <c r="D289" s="38" t="s">
        <v>34</v>
      </c>
      <c r="E289" s="43">
        <f>4*2.18</f>
        <v>8.7200000000000006</v>
      </c>
      <c r="F289" s="119">
        <v>147320</v>
      </c>
      <c r="G289" s="35">
        <f t="shared" si="18"/>
        <v>1284630.4000000001</v>
      </c>
      <c r="H289" s="27"/>
      <c r="I289" s="123"/>
      <c r="J289" s="215"/>
      <c r="L289" s="189"/>
    </row>
    <row r="290" spans="1:13" ht="42" customHeight="1" x14ac:dyDescent="0.25">
      <c r="A290" s="26"/>
      <c r="B290" s="33">
        <v>11.1</v>
      </c>
      <c r="C290" s="36" t="s">
        <v>460</v>
      </c>
      <c r="D290" s="38" t="s">
        <v>34</v>
      </c>
      <c r="E290" s="43">
        <f>+E289</f>
        <v>8.7200000000000006</v>
      </c>
      <c r="F290" s="119">
        <v>98835</v>
      </c>
      <c r="G290" s="35">
        <f t="shared" si="18"/>
        <v>861841.20000000007</v>
      </c>
      <c r="H290" s="27"/>
      <c r="I290" s="123"/>
      <c r="J290" s="215"/>
      <c r="L290" s="189"/>
    </row>
    <row r="291" spans="1:13" ht="51.75" customHeight="1" x14ac:dyDescent="0.25">
      <c r="A291" s="26"/>
      <c r="B291" s="33">
        <v>11.11</v>
      </c>
      <c r="C291" s="36" t="s">
        <v>463</v>
      </c>
      <c r="D291" s="38" t="s">
        <v>34</v>
      </c>
      <c r="E291" s="43">
        <f>9.9</f>
        <v>9.9</v>
      </c>
      <c r="F291" s="119">
        <v>375240</v>
      </c>
      <c r="G291" s="35">
        <f t="shared" si="18"/>
        <v>3714876</v>
      </c>
      <c r="H291" s="27"/>
      <c r="I291" s="123"/>
      <c r="J291" s="215"/>
      <c r="L291" s="189"/>
    </row>
    <row r="292" spans="1:13" ht="51.75" customHeight="1" x14ac:dyDescent="0.25">
      <c r="A292" s="26"/>
      <c r="B292" s="33">
        <v>11.12</v>
      </c>
      <c r="C292" s="36" t="s">
        <v>464</v>
      </c>
      <c r="D292" s="38" t="s">
        <v>27</v>
      </c>
      <c r="E292" s="43">
        <v>1</v>
      </c>
      <c r="F292" s="119">
        <v>345000</v>
      </c>
      <c r="G292" s="35">
        <f t="shared" si="18"/>
        <v>345000</v>
      </c>
      <c r="H292" s="27"/>
      <c r="I292" s="123"/>
      <c r="J292" s="215"/>
      <c r="L292" s="189"/>
    </row>
    <row r="293" spans="1:13" ht="51.75" customHeight="1" x14ac:dyDescent="0.25">
      <c r="A293" s="26"/>
      <c r="B293" s="33">
        <v>11.13</v>
      </c>
      <c r="C293" s="41" t="s">
        <v>185</v>
      </c>
      <c r="D293" s="34" t="s">
        <v>27</v>
      </c>
      <c r="E293" s="42">
        <v>1</v>
      </c>
      <c r="F293" s="119">
        <v>305000</v>
      </c>
      <c r="G293" s="35">
        <f t="shared" si="18"/>
        <v>305000</v>
      </c>
      <c r="H293" s="216"/>
      <c r="I293" s="123"/>
      <c r="J293" s="224"/>
      <c r="K293" s="218"/>
      <c r="L293" s="189"/>
    </row>
    <row r="294" spans="1:13" ht="51.75" customHeight="1" x14ac:dyDescent="0.25">
      <c r="A294" s="26"/>
      <c r="B294" s="33">
        <v>11.14</v>
      </c>
      <c r="C294" s="41" t="s">
        <v>466</v>
      </c>
      <c r="D294" s="34" t="s">
        <v>450</v>
      </c>
      <c r="E294" s="42">
        <v>4</v>
      </c>
      <c r="F294" s="119">
        <v>210000</v>
      </c>
      <c r="G294" s="35">
        <f t="shared" si="18"/>
        <v>840000</v>
      </c>
      <c r="H294" s="216"/>
      <c r="I294" s="123"/>
      <c r="J294" s="224"/>
      <c r="K294" s="218">
        <f>+J294*1.18</f>
        <v>0</v>
      </c>
      <c r="L294" s="189"/>
    </row>
    <row r="295" spans="1:13" ht="51.75" customHeight="1" x14ac:dyDescent="0.25">
      <c r="A295" s="26"/>
      <c r="B295" s="33">
        <v>11.15</v>
      </c>
      <c r="C295" s="41" t="s">
        <v>488</v>
      </c>
      <c r="D295" s="34" t="s">
        <v>450</v>
      </c>
      <c r="E295" s="42">
        <v>10.5</v>
      </c>
      <c r="F295" s="119">
        <v>90225</v>
      </c>
      <c r="G295" s="35">
        <f t="shared" si="18"/>
        <v>947362.5</v>
      </c>
      <c r="H295" s="216"/>
      <c r="I295" s="123"/>
      <c r="J295" s="224"/>
      <c r="K295" s="218">
        <f>+J295*1.18</f>
        <v>0</v>
      </c>
      <c r="L295" s="189"/>
    </row>
    <row r="296" spans="1:13" ht="51.75" customHeight="1" x14ac:dyDescent="0.25">
      <c r="A296" s="26"/>
      <c r="B296" s="33">
        <v>11.16</v>
      </c>
      <c r="C296" s="41" t="s">
        <v>472</v>
      </c>
      <c r="D296" s="34" t="s">
        <v>34</v>
      </c>
      <c r="E296" s="42">
        <v>8.6999999999999993</v>
      </c>
      <c r="F296" s="119">
        <v>113151</v>
      </c>
      <c r="G296" s="35">
        <f t="shared" si="18"/>
        <v>984413.7</v>
      </c>
      <c r="H296" s="27"/>
      <c r="I296" s="123"/>
      <c r="J296" s="215"/>
      <c r="K296" s="185">
        <f>36000+60000</f>
        <v>96000</v>
      </c>
      <c r="L296" s="189">
        <f>+K296/E296</f>
        <v>11034.48275862069</v>
      </c>
      <c r="M296" s="7">
        <f>+L296*1.65</f>
        <v>18206.896551724138</v>
      </c>
    </row>
    <row r="297" spans="1:13" ht="51.75" customHeight="1" x14ac:dyDescent="0.25">
      <c r="A297" s="26"/>
      <c r="B297" s="33">
        <v>11.17</v>
      </c>
      <c r="C297" s="41" t="s">
        <v>467</v>
      </c>
      <c r="D297" s="34" t="s">
        <v>450</v>
      </c>
      <c r="E297" s="42">
        <v>1.4</v>
      </c>
      <c r="F297" s="119">
        <v>901000</v>
      </c>
      <c r="G297" s="35">
        <f t="shared" si="18"/>
        <v>1261400</v>
      </c>
      <c r="H297" s="27"/>
      <c r="I297" s="123"/>
      <c r="J297" s="215"/>
      <c r="L297" s="189"/>
    </row>
    <row r="298" spans="1:13" ht="51.75" customHeight="1" x14ac:dyDescent="0.25">
      <c r="A298" s="26"/>
      <c r="B298" s="33">
        <v>11.18</v>
      </c>
      <c r="C298" s="41" t="s">
        <v>480</v>
      </c>
      <c r="D298" s="34" t="s">
        <v>27</v>
      </c>
      <c r="E298" s="42">
        <v>1</v>
      </c>
      <c r="F298" s="119">
        <v>990000</v>
      </c>
      <c r="G298" s="35">
        <f t="shared" si="18"/>
        <v>990000</v>
      </c>
      <c r="H298" s="27"/>
      <c r="I298" s="123"/>
      <c r="J298" s="215"/>
      <c r="L298" s="189"/>
    </row>
    <row r="299" spans="1:13" ht="51.75" customHeight="1" x14ac:dyDescent="0.25">
      <c r="A299" s="26"/>
      <c r="B299" s="33">
        <v>11.19</v>
      </c>
      <c r="C299" s="41" t="s">
        <v>506</v>
      </c>
      <c r="D299" s="34" t="s">
        <v>27</v>
      </c>
      <c r="E299" s="42">
        <v>1</v>
      </c>
      <c r="F299" s="119">
        <v>3158000</v>
      </c>
      <c r="G299" s="35">
        <f t="shared" si="18"/>
        <v>3158000</v>
      </c>
      <c r="H299" s="27"/>
      <c r="I299" s="123"/>
      <c r="J299" s="215"/>
      <c r="L299" s="189"/>
    </row>
    <row r="300" spans="1:13" ht="126.75" customHeight="1" x14ac:dyDescent="0.25">
      <c r="A300" s="26"/>
      <c r="B300" s="33">
        <v>11.2</v>
      </c>
      <c r="C300" s="41" t="s">
        <v>471</v>
      </c>
      <c r="D300" s="34" t="s">
        <v>27</v>
      </c>
      <c r="E300" s="42">
        <v>13</v>
      </c>
      <c r="F300" s="119">
        <v>294362</v>
      </c>
      <c r="G300" s="35">
        <f t="shared" si="18"/>
        <v>3826706</v>
      </c>
      <c r="H300" s="27"/>
      <c r="I300" s="123"/>
      <c r="J300" s="215"/>
      <c r="L300" s="189"/>
    </row>
    <row r="301" spans="1:13" ht="16.5" x14ac:dyDescent="0.25">
      <c r="A301" s="26"/>
      <c r="B301" s="33">
        <v>11.21</v>
      </c>
      <c r="C301" s="41" t="s">
        <v>116</v>
      </c>
      <c r="D301" s="34" t="s">
        <v>27</v>
      </c>
      <c r="E301" s="42">
        <v>2</v>
      </c>
      <c r="F301" s="119">
        <v>313458.2</v>
      </c>
      <c r="G301" s="35">
        <f t="shared" si="18"/>
        <v>626916.4</v>
      </c>
      <c r="H301" s="27"/>
      <c r="I301" s="123"/>
      <c r="J301" s="215"/>
      <c r="K301" s="185">
        <f>+J301*1.8</f>
        <v>0</v>
      </c>
      <c r="L301" s="189">
        <f>77158*1.15</f>
        <v>88731.7</v>
      </c>
    </row>
    <row r="302" spans="1:13" ht="68.45" customHeight="1" x14ac:dyDescent="0.25">
      <c r="A302" s="26"/>
      <c r="B302" s="33">
        <v>11.22</v>
      </c>
      <c r="C302" s="41" t="s">
        <v>382</v>
      </c>
      <c r="D302" s="34" t="s">
        <v>27</v>
      </c>
      <c r="E302" s="42">
        <v>3</v>
      </c>
      <c r="F302" s="119">
        <v>371741</v>
      </c>
      <c r="G302" s="35">
        <f t="shared" si="18"/>
        <v>1115223</v>
      </c>
      <c r="H302" s="27"/>
      <c r="I302" s="123"/>
      <c r="J302" s="215"/>
      <c r="L302" s="189">
        <f>90000+20000</f>
        <v>110000</v>
      </c>
      <c r="M302" s="7">
        <f>+L302*1.7</f>
        <v>187000</v>
      </c>
    </row>
    <row r="303" spans="1:13" ht="51.75" customHeight="1" x14ac:dyDescent="0.25">
      <c r="A303" s="26"/>
      <c r="B303" s="33">
        <v>11.23</v>
      </c>
      <c r="C303" s="41" t="s">
        <v>137</v>
      </c>
      <c r="D303" s="34" t="s">
        <v>34</v>
      </c>
      <c r="E303" s="42">
        <f>27.5+1.4</f>
        <v>28.9</v>
      </c>
      <c r="F303" s="119">
        <v>27730</v>
      </c>
      <c r="G303" s="35">
        <f t="shared" si="18"/>
        <v>801397</v>
      </c>
      <c r="H303" s="216"/>
      <c r="I303" s="123"/>
      <c r="J303" s="224"/>
      <c r="K303" s="218">
        <f>23500*1.18</f>
        <v>27730</v>
      </c>
      <c r="L303" s="189"/>
    </row>
    <row r="304" spans="1:13" ht="51.75" customHeight="1" x14ac:dyDescent="0.25">
      <c r="A304" s="26"/>
      <c r="B304" s="33">
        <v>11.24</v>
      </c>
      <c r="C304" s="41" t="s">
        <v>470</v>
      </c>
      <c r="D304" s="34" t="s">
        <v>34</v>
      </c>
      <c r="E304" s="42">
        <f>27.5+1.4</f>
        <v>28.9</v>
      </c>
      <c r="F304" s="119">
        <v>23836</v>
      </c>
      <c r="G304" s="35">
        <f t="shared" si="18"/>
        <v>688860.4</v>
      </c>
      <c r="H304" s="216"/>
      <c r="I304" s="123"/>
      <c r="J304" s="224"/>
      <c r="K304" s="218"/>
      <c r="L304" s="189"/>
    </row>
    <row r="305" spans="1:12" ht="51.75" customHeight="1" x14ac:dyDescent="0.25">
      <c r="A305" s="26"/>
      <c r="B305" s="33">
        <v>11.26</v>
      </c>
      <c r="C305" s="41" t="s">
        <v>481</v>
      </c>
      <c r="D305" s="34" t="s">
        <v>34</v>
      </c>
      <c r="E305" s="42">
        <v>10.07</v>
      </c>
      <c r="F305" s="119">
        <v>375240</v>
      </c>
      <c r="G305" s="35">
        <f t="shared" si="18"/>
        <v>3778666.8000000003</v>
      </c>
      <c r="H305" s="216"/>
      <c r="I305" s="123"/>
      <c r="J305" s="224"/>
      <c r="K305" s="218"/>
      <c r="L305" s="189"/>
    </row>
    <row r="306" spans="1:12" ht="51.75" customHeight="1" x14ac:dyDescent="0.25">
      <c r="A306" s="26"/>
      <c r="B306" s="33">
        <v>11.27</v>
      </c>
      <c r="C306" s="41" t="s">
        <v>496</v>
      </c>
      <c r="D306" s="34" t="s">
        <v>34</v>
      </c>
      <c r="E306" s="42">
        <f>2.5*2.26</f>
        <v>5.6499999999999995</v>
      </c>
      <c r="F306" s="119">
        <v>195000</v>
      </c>
      <c r="G306" s="35">
        <f t="shared" si="18"/>
        <v>1101750</v>
      </c>
      <c r="H306" s="216"/>
      <c r="I306" s="123"/>
      <c r="J306" s="224"/>
      <c r="K306" s="218"/>
      <c r="L306" s="189"/>
    </row>
    <row r="307" spans="1:12" ht="51.75" customHeight="1" x14ac:dyDescent="0.25">
      <c r="A307" s="26"/>
      <c r="B307" s="33">
        <v>11.28</v>
      </c>
      <c r="C307" s="41" t="s">
        <v>479</v>
      </c>
      <c r="D307" s="34" t="s">
        <v>48</v>
      </c>
      <c r="E307" s="42">
        <v>12.36</v>
      </c>
      <c r="F307" s="119">
        <v>57200</v>
      </c>
      <c r="G307" s="35">
        <f t="shared" si="18"/>
        <v>706992</v>
      </c>
      <c r="H307" s="27"/>
      <c r="I307" s="123" t="s">
        <v>469</v>
      </c>
      <c r="J307" s="215"/>
      <c r="K307" s="185">
        <f>469000*1.6</f>
        <v>750400</v>
      </c>
      <c r="L307" s="189"/>
    </row>
    <row r="308" spans="1:12" ht="51.75" customHeight="1" x14ac:dyDescent="0.25">
      <c r="A308" s="26"/>
      <c r="B308" s="33">
        <v>11.29</v>
      </c>
      <c r="C308" s="41" t="s">
        <v>482</v>
      </c>
      <c r="D308" s="34" t="s">
        <v>27</v>
      </c>
      <c r="E308" s="42">
        <v>1</v>
      </c>
      <c r="F308" s="119">
        <v>1650000</v>
      </c>
      <c r="G308" s="35">
        <f t="shared" si="18"/>
        <v>1650000</v>
      </c>
      <c r="H308" s="27"/>
      <c r="I308" s="123"/>
      <c r="J308" s="215"/>
      <c r="K308" s="185">
        <f>+J308*1.18</f>
        <v>0</v>
      </c>
      <c r="L308" s="189"/>
    </row>
    <row r="309" spans="1:12" ht="51.75" customHeight="1" x14ac:dyDescent="0.25">
      <c r="A309" s="26"/>
      <c r="B309" s="33">
        <v>11.3</v>
      </c>
      <c r="C309" s="41" t="s">
        <v>476</v>
      </c>
      <c r="D309" s="34" t="s">
        <v>27</v>
      </c>
      <c r="E309" s="42">
        <v>2</v>
      </c>
      <c r="F309" s="119">
        <v>786400</v>
      </c>
      <c r="G309" s="35">
        <f>+E309*F309</f>
        <v>1572800</v>
      </c>
      <c r="H309" s="216"/>
      <c r="I309" s="123"/>
      <c r="J309" s="224"/>
      <c r="K309" s="218"/>
      <c r="L309" s="189"/>
    </row>
    <row r="310" spans="1:12" ht="58.5" customHeight="1" x14ac:dyDescent="0.25">
      <c r="A310" s="26"/>
      <c r="B310" s="33">
        <v>11.31</v>
      </c>
      <c r="C310" s="41" t="s">
        <v>483</v>
      </c>
      <c r="D310" s="34" t="s">
        <v>149</v>
      </c>
      <c r="E310" s="42">
        <f>0.91+(3.1*2.13)</f>
        <v>7.5129999999999999</v>
      </c>
      <c r="F310" s="119">
        <v>375822</v>
      </c>
      <c r="G310" s="35">
        <f>+E310*F310</f>
        <v>2823550.6859999998</v>
      </c>
      <c r="H310" s="216"/>
      <c r="I310" s="123"/>
      <c r="J310" s="224"/>
      <c r="K310" s="218"/>
      <c r="L310" s="189"/>
    </row>
    <row r="311" spans="1:12" ht="51.75" customHeight="1" x14ac:dyDescent="0.25">
      <c r="A311" s="26"/>
      <c r="B311" s="33">
        <v>11.32</v>
      </c>
      <c r="C311" s="41" t="s">
        <v>473</v>
      </c>
      <c r="D311" s="34" t="s">
        <v>27</v>
      </c>
      <c r="E311" s="42">
        <v>1</v>
      </c>
      <c r="F311" s="119">
        <v>1460500</v>
      </c>
      <c r="G311" s="35">
        <f>+E311*F311</f>
        <v>1460500</v>
      </c>
      <c r="H311" s="27"/>
      <c r="I311" s="123"/>
      <c r="J311" s="215"/>
      <c r="L311" s="189"/>
    </row>
    <row r="312" spans="1:12" ht="42" customHeight="1" x14ac:dyDescent="0.25">
      <c r="A312" s="26"/>
      <c r="B312" s="33">
        <v>11.33</v>
      </c>
      <c r="C312" s="36" t="s">
        <v>445</v>
      </c>
      <c r="D312" s="38" t="s">
        <v>27</v>
      </c>
      <c r="E312" s="43">
        <v>1</v>
      </c>
      <c r="F312" s="119">
        <v>6050000</v>
      </c>
      <c r="G312" s="35">
        <f t="shared" si="18"/>
        <v>6050000</v>
      </c>
      <c r="H312" s="27"/>
      <c r="I312" s="123"/>
      <c r="J312" s="215"/>
      <c r="K312" s="185">
        <f>+J312/8</f>
        <v>0</v>
      </c>
      <c r="L312" s="189">
        <f>+K312-F312</f>
        <v>-6050000</v>
      </c>
    </row>
    <row r="313" spans="1:12" ht="51.75" customHeight="1" x14ac:dyDescent="0.25">
      <c r="A313" s="26"/>
      <c r="B313" s="33">
        <v>11.34</v>
      </c>
      <c r="C313" s="36" t="s">
        <v>446</v>
      </c>
      <c r="D313" s="38" t="s">
        <v>27</v>
      </c>
      <c r="E313" s="43">
        <v>1</v>
      </c>
      <c r="F313" s="119">
        <v>6000000</v>
      </c>
      <c r="G313" s="35">
        <f t="shared" si="18"/>
        <v>6000000</v>
      </c>
      <c r="H313" s="27"/>
      <c r="I313" s="123"/>
      <c r="J313" s="215"/>
      <c r="K313" s="185">
        <v>237000</v>
      </c>
      <c r="L313" s="189">
        <f t="shared" ref="L313:L323" si="19">+K313-F313</f>
        <v>-5763000</v>
      </c>
    </row>
    <row r="314" spans="1:12" s="232" customFormat="1" ht="51.75" customHeight="1" x14ac:dyDescent="0.25">
      <c r="A314" s="226"/>
      <c r="B314" s="33">
        <v>11.35</v>
      </c>
      <c r="C314" s="41" t="s">
        <v>507</v>
      </c>
      <c r="D314" s="34" t="s">
        <v>48</v>
      </c>
      <c r="E314" s="42">
        <v>5.9</v>
      </c>
      <c r="F314" s="119">
        <v>163135</v>
      </c>
      <c r="G314" s="35">
        <f t="shared" si="18"/>
        <v>962496.5</v>
      </c>
      <c r="H314" s="227"/>
      <c r="I314" s="228"/>
      <c r="J314" s="229"/>
      <c r="K314" s="230">
        <f>+J314*1.75</f>
        <v>0</v>
      </c>
      <c r="L314" s="231"/>
    </row>
    <row r="315" spans="1:12" ht="46.5" customHeight="1" x14ac:dyDescent="0.25">
      <c r="A315" s="26"/>
      <c r="B315" s="33">
        <v>11.36</v>
      </c>
      <c r="C315" s="36" t="s">
        <v>508</v>
      </c>
      <c r="D315" s="38" t="s">
        <v>27</v>
      </c>
      <c r="E315" s="43">
        <v>1</v>
      </c>
      <c r="F315" s="119">
        <v>1800000</v>
      </c>
      <c r="G315" s="35">
        <f t="shared" si="18"/>
        <v>1800000</v>
      </c>
      <c r="H315" s="27"/>
      <c r="I315" s="123"/>
      <c r="J315" s="215"/>
      <c r="K315" s="185">
        <v>65000</v>
      </c>
      <c r="L315" s="189">
        <f t="shared" si="19"/>
        <v>-1735000</v>
      </c>
    </row>
    <row r="316" spans="1:12" ht="59.25" customHeight="1" x14ac:dyDescent="0.25">
      <c r="A316" s="26"/>
      <c r="B316" s="33">
        <v>11.37</v>
      </c>
      <c r="C316" s="41" t="s">
        <v>448</v>
      </c>
      <c r="D316" s="34" t="s">
        <v>27</v>
      </c>
      <c r="E316" s="42">
        <v>2</v>
      </c>
      <c r="F316" s="119">
        <v>8400000</v>
      </c>
      <c r="G316" s="35">
        <f t="shared" ref="G316:G322" si="20">+E316*F316</f>
        <v>16800000</v>
      </c>
      <c r="H316" s="216"/>
      <c r="J316" s="217"/>
      <c r="K316" s="218">
        <v>348000</v>
      </c>
      <c r="L316" s="189">
        <f t="shared" si="19"/>
        <v>-8052000</v>
      </c>
    </row>
    <row r="317" spans="1:12" ht="46.5" customHeight="1" x14ac:dyDescent="0.25">
      <c r="A317" s="26"/>
      <c r="B317" s="33">
        <v>11.38</v>
      </c>
      <c r="C317" s="41" t="s">
        <v>667</v>
      </c>
      <c r="D317" s="34" t="s">
        <v>34</v>
      </c>
      <c r="E317" s="42">
        <v>3.4</v>
      </c>
      <c r="F317" s="119">
        <v>35000</v>
      </c>
      <c r="G317" s="35">
        <f t="shared" si="20"/>
        <v>119000</v>
      </c>
      <c r="H317" s="216"/>
      <c r="I317" s="123"/>
      <c r="J317" s="224"/>
      <c r="K317" s="218">
        <v>462500</v>
      </c>
      <c r="L317" s="189">
        <f t="shared" si="19"/>
        <v>427500</v>
      </c>
    </row>
    <row r="318" spans="1:12" ht="54.6" customHeight="1" x14ac:dyDescent="0.25">
      <c r="A318" s="26"/>
      <c r="B318" s="33">
        <v>11.39</v>
      </c>
      <c r="C318" s="41" t="s">
        <v>513</v>
      </c>
      <c r="D318" s="34" t="s">
        <v>27</v>
      </c>
      <c r="E318" s="42">
        <v>1</v>
      </c>
      <c r="F318" s="37">
        <v>2100000</v>
      </c>
      <c r="G318" s="35">
        <f t="shared" si="20"/>
        <v>2100000</v>
      </c>
      <c r="H318" s="216"/>
      <c r="I318" s="251"/>
      <c r="J318" s="251"/>
      <c r="K318" s="218">
        <v>1750000</v>
      </c>
      <c r="L318" s="189">
        <f t="shared" si="19"/>
        <v>-350000</v>
      </c>
    </row>
    <row r="319" spans="1:12" ht="54.6" customHeight="1" x14ac:dyDescent="0.25">
      <c r="A319" s="26"/>
      <c r="B319" s="33">
        <v>11.4</v>
      </c>
      <c r="C319" s="41" t="s">
        <v>664</v>
      </c>
      <c r="D319" s="34" t="s">
        <v>27</v>
      </c>
      <c r="E319" s="42">
        <v>1</v>
      </c>
      <c r="F319" s="37">
        <v>4067500</v>
      </c>
      <c r="G319" s="35">
        <f t="shared" si="20"/>
        <v>4067500</v>
      </c>
      <c r="H319" s="216"/>
      <c r="I319" s="123"/>
      <c r="J319" s="123"/>
      <c r="K319" s="218">
        <v>475000</v>
      </c>
      <c r="L319" s="189">
        <f t="shared" si="19"/>
        <v>-3592500</v>
      </c>
    </row>
    <row r="320" spans="1:12" ht="46.5" customHeight="1" x14ac:dyDescent="0.25">
      <c r="A320" s="26"/>
      <c r="B320" s="33">
        <v>11.41</v>
      </c>
      <c r="C320" s="41" t="s">
        <v>665</v>
      </c>
      <c r="D320" s="34" t="s">
        <v>27</v>
      </c>
      <c r="E320" s="252">
        <v>1</v>
      </c>
      <c r="F320" s="119">
        <v>2897400</v>
      </c>
      <c r="G320" s="35">
        <f t="shared" si="20"/>
        <v>2897400</v>
      </c>
      <c r="H320" s="216"/>
      <c r="I320" s="123"/>
      <c r="J320" s="123"/>
      <c r="K320" s="218">
        <v>9000</v>
      </c>
      <c r="L320" s="189">
        <f t="shared" si="19"/>
        <v>-2888400</v>
      </c>
    </row>
    <row r="321" spans="1:12" ht="34.15" customHeight="1" x14ac:dyDescent="0.25">
      <c r="A321" s="26"/>
      <c r="B321" s="33">
        <v>11.42</v>
      </c>
      <c r="C321" s="36" t="s">
        <v>666</v>
      </c>
      <c r="D321" s="38" t="s">
        <v>27</v>
      </c>
      <c r="E321" s="43">
        <v>1</v>
      </c>
      <c r="F321" s="37">
        <v>557200</v>
      </c>
      <c r="G321" s="35">
        <f t="shared" si="20"/>
        <v>557200</v>
      </c>
      <c r="H321" s="40"/>
      <c r="K321" s="185">
        <v>420000</v>
      </c>
      <c r="L321" s="189">
        <f t="shared" si="19"/>
        <v>-137200</v>
      </c>
    </row>
    <row r="322" spans="1:12" ht="58.5" customHeight="1" x14ac:dyDescent="0.25">
      <c r="A322" s="26"/>
      <c r="B322" s="33">
        <v>11.43</v>
      </c>
      <c r="C322" s="36" t="s">
        <v>668</v>
      </c>
      <c r="D322" s="38" t="s">
        <v>27</v>
      </c>
      <c r="E322" s="43">
        <v>1</v>
      </c>
      <c r="F322" s="37">
        <v>7550000</v>
      </c>
      <c r="G322" s="35">
        <f t="shared" si="20"/>
        <v>7550000</v>
      </c>
      <c r="H322" s="40"/>
      <c r="L322" s="189"/>
    </row>
    <row r="323" spans="1:12" ht="24" customHeight="1" x14ac:dyDescent="0.25">
      <c r="A323" s="26"/>
      <c r="B323" s="305" t="s">
        <v>492</v>
      </c>
      <c r="C323" s="306"/>
      <c r="D323" s="306"/>
      <c r="E323" s="306"/>
      <c r="F323" s="100"/>
      <c r="G323" s="101">
        <f>SUM(G281:G322)</f>
        <v>95219880.065999985</v>
      </c>
      <c r="H323" s="27"/>
      <c r="L323" s="189">
        <f t="shared" si="19"/>
        <v>0</v>
      </c>
    </row>
    <row r="324" spans="1:12" ht="19.149999999999999" customHeight="1" x14ac:dyDescent="0.25">
      <c r="A324" s="26"/>
      <c r="B324" s="190"/>
      <c r="C324" s="82" t="s">
        <v>78</v>
      </c>
      <c r="D324" s="80"/>
      <c r="E324" s="90"/>
      <c r="F324" s="80"/>
      <c r="G324" s="81"/>
      <c r="H324" s="27"/>
      <c r="L324" s="189">
        <f>+K324-F324</f>
        <v>0</v>
      </c>
    </row>
    <row r="325" spans="1:12" ht="19.899999999999999" customHeight="1" x14ac:dyDescent="0.25">
      <c r="A325" s="26"/>
      <c r="B325" s="28">
        <v>17</v>
      </c>
      <c r="C325" s="29"/>
      <c r="D325" s="30" t="s">
        <v>27</v>
      </c>
      <c r="E325" s="83" t="s">
        <v>28</v>
      </c>
      <c r="F325" s="30" t="s">
        <v>29</v>
      </c>
      <c r="G325" s="32" t="s">
        <v>30</v>
      </c>
      <c r="H325" s="27"/>
      <c r="K325" s="185" t="s">
        <v>29</v>
      </c>
      <c r="L325" s="189"/>
    </row>
    <row r="326" spans="1:12" s="40" customFormat="1" ht="45.75" customHeight="1" x14ac:dyDescent="0.25">
      <c r="A326" s="39"/>
      <c r="B326" s="33" t="s">
        <v>280</v>
      </c>
      <c r="C326" s="41" t="s">
        <v>398</v>
      </c>
      <c r="D326" s="34" t="s">
        <v>32</v>
      </c>
      <c r="E326" s="42" t="e">
        <f>+#REF!</f>
        <v>#REF!</v>
      </c>
      <c r="F326" s="37">
        <v>3850000</v>
      </c>
      <c r="G326" s="35" t="e">
        <f>+E326*F326</f>
        <v>#REF!</v>
      </c>
      <c r="H326" s="27"/>
      <c r="I326" s="124"/>
      <c r="J326" s="124"/>
      <c r="K326" s="187">
        <v>1849092</v>
      </c>
      <c r="L326" s="189">
        <f>+K326-F326</f>
        <v>-2000908</v>
      </c>
    </row>
    <row r="327" spans="1:12" ht="24" customHeight="1" x14ac:dyDescent="0.25">
      <c r="A327" s="26"/>
      <c r="B327" s="305" t="s">
        <v>127</v>
      </c>
      <c r="C327" s="306"/>
      <c r="D327" s="306"/>
      <c r="E327" s="306"/>
      <c r="F327" s="100"/>
      <c r="G327" s="101" t="e">
        <f>SUM(G326)</f>
        <v>#REF!</v>
      </c>
      <c r="H327" s="27"/>
      <c r="L327" s="189">
        <f>SUM(L324:L326)</f>
        <v>-2000908</v>
      </c>
    </row>
    <row r="328" spans="1:12" s="40" customFormat="1" ht="30.6" customHeight="1" thickBot="1" x14ac:dyDescent="0.3">
      <c r="A328" s="39"/>
      <c r="B328" s="191"/>
      <c r="C328" s="44"/>
      <c r="D328" s="45"/>
      <c r="E328" s="312" t="s">
        <v>128</v>
      </c>
      <c r="F328" s="312"/>
      <c r="G328" s="109" t="e">
        <f>+G26+G61+G90+G117+G146+G172+G198+G223+G247+G279+G323+G327</f>
        <v>#REF!</v>
      </c>
      <c r="H328" s="27"/>
      <c r="I328" s="124"/>
      <c r="J328" s="124"/>
      <c r="K328" s="187"/>
    </row>
    <row r="329" spans="1:12" s="40" customFormat="1" ht="9.75" customHeight="1" thickBot="1" x14ac:dyDescent="0.3">
      <c r="A329" s="39"/>
      <c r="B329" s="95"/>
      <c r="C329" s="63"/>
      <c r="D329" s="62"/>
      <c r="E329" s="95"/>
      <c r="F329" s="64"/>
      <c r="G329" s="65"/>
      <c r="H329" s="27"/>
      <c r="I329" s="124"/>
      <c r="J329" s="124"/>
      <c r="K329" s="187"/>
    </row>
    <row r="330" spans="1:12" s="40" customFormat="1" ht="25.15" customHeight="1" x14ac:dyDescent="0.25">
      <c r="A330" s="39"/>
      <c r="B330" s="313" t="s">
        <v>79</v>
      </c>
      <c r="C330" s="314"/>
      <c r="D330" s="47" t="s">
        <v>80</v>
      </c>
      <c r="E330" s="91"/>
      <c r="F330" s="48"/>
      <c r="G330" s="49" t="e">
        <f>G328</f>
        <v>#REF!</v>
      </c>
      <c r="H330" s="27"/>
      <c r="I330" s="124"/>
      <c r="J330" s="124"/>
      <c r="K330" s="187"/>
    </row>
    <row r="331" spans="1:12" s="40" customFormat="1" ht="21.6" customHeight="1" x14ac:dyDescent="0.25">
      <c r="A331" s="39"/>
      <c r="B331" s="315" t="s">
        <v>81</v>
      </c>
      <c r="C331" s="316"/>
      <c r="D331" s="319" t="s">
        <v>82</v>
      </c>
      <c r="E331" s="320"/>
      <c r="F331" s="50">
        <v>0.15</v>
      </c>
      <c r="G331" s="51" t="e">
        <f>G330*F331</f>
        <v>#REF!</v>
      </c>
      <c r="H331" s="27"/>
      <c r="I331" s="124"/>
      <c r="J331" s="124"/>
      <c r="K331" s="187">
        <v>0.15</v>
      </c>
    </row>
    <row r="332" spans="1:12" s="40" customFormat="1" ht="22.15" customHeight="1" x14ac:dyDescent="0.25">
      <c r="A332" s="39"/>
      <c r="B332" s="317"/>
      <c r="C332" s="318"/>
      <c r="D332" s="319" t="s">
        <v>83</v>
      </c>
      <c r="E332" s="320"/>
      <c r="F332" s="50">
        <v>0.05</v>
      </c>
      <c r="G332" s="51" t="e">
        <f>G330*F332</f>
        <v>#REF!</v>
      </c>
      <c r="H332" s="27"/>
      <c r="I332" s="124"/>
      <c r="J332" s="124"/>
      <c r="K332" s="187">
        <v>0.05</v>
      </c>
    </row>
    <row r="333" spans="1:12" s="40" customFormat="1" ht="21" customHeight="1" x14ac:dyDescent="0.25">
      <c r="A333" s="39"/>
      <c r="B333" s="325" t="s">
        <v>84</v>
      </c>
      <c r="C333" s="326"/>
      <c r="D333" s="319" t="s">
        <v>85</v>
      </c>
      <c r="E333" s="320"/>
      <c r="F333" s="50">
        <v>0.05</v>
      </c>
      <c r="G333" s="51" t="e">
        <f>G330*F333</f>
        <v>#REF!</v>
      </c>
      <c r="H333" s="27"/>
      <c r="I333" s="124"/>
      <c r="J333" s="124"/>
      <c r="K333" s="187">
        <v>0.05</v>
      </c>
    </row>
    <row r="334" spans="1:12" s="40" customFormat="1" ht="24" customHeight="1" x14ac:dyDescent="0.25">
      <c r="A334" s="39"/>
      <c r="B334" s="327"/>
      <c r="C334" s="328"/>
      <c r="D334" s="319" t="s">
        <v>86</v>
      </c>
      <c r="E334" s="320"/>
      <c r="F334" s="50">
        <v>0.19</v>
      </c>
      <c r="G334" s="52" t="e">
        <f>G333*F334</f>
        <v>#REF!</v>
      </c>
      <c r="H334" s="27"/>
      <c r="I334" s="124"/>
      <c r="J334" s="124"/>
      <c r="K334" s="187">
        <v>0.19</v>
      </c>
    </row>
    <row r="335" spans="1:12" s="40" customFormat="1" ht="34.9" customHeight="1" thickBot="1" x14ac:dyDescent="0.3">
      <c r="A335" s="39"/>
      <c r="B335" s="329"/>
      <c r="C335" s="330"/>
      <c r="D335" s="53" t="s">
        <v>87</v>
      </c>
      <c r="E335" s="92"/>
      <c r="F335" s="54"/>
      <c r="G335" s="166" t="e">
        <f>ROUND((SUM(G330:G334)),0)</f>
        <v>#REF!</v>
      </c>
      <c r="H335" s="27"/>
      <c r="I335" s="124"/>
      <c r="J335" s="124"/>
      <c r="K335" s="187"/>
    </row>
    <row r="336" spans="1:12" s="40" customFormat="1" ht="9.75" customHeight="1" thickBot="1" x14ac:dyDescent="0.3">
      <c r="A336" s="39"/>
      <c r="B336" s="95"/>
      <c r="C336" s="63"/>
      <c r="D336" s="62"/>
      <c r="E336" s="95"/>
      <c r="F336" s="64"/>
      <c r="G336" s="65"/>
      <c r="H336" s="27"/>
      <c r="I336" s="124"/>
      <c r="J336" s="124"/>
      <c r="K336" s="187"/>
    </row>
    <row r="337" spans="1:11" s="40" customFormat="1" ht="21" customHeight="1" x14ac:dyDescent="0.25">
      <c r="A337" s="39"/>
      <c r="B337" s="192">
        <v>18</v>
      </c>
      <c r="C337" s="106" t="s">
        <v>88</v>
      </c>
      <c r="D337" s="55" t="s">
        <v>27</v>
      </c>
      <c r="E337" s="93" t="s">
        <v>28</v>
      </c>
      <c r="F337" s="55" t="s">
        <v>29</v>
      </c>
      <c r="G337" s="56" t="s">
        <v>30</v>
      </c>
      <c r="H337" s="27"/>
      <c r="I337" s="124"/>
      <c r="J337" s="124"/>
      <c r="K337" s="187" t="s">
        <v>29</v>
      </c>
    </row>
    <row r="338" spans="1:11" s="40" customFormat="1" x14ac:dyDescent="0.25">
      <c r="A338" s="39"/>
      <c r="B338" s="193" t="s">
        <v>284</v>
      </c>
      <c r="C338" s="103" t="s">
        <v>146</v>
      </c>
      <c r="D338" s="58" t="s">
        <v>27</v>
      </c>
      <c r="E338" s="104">
        <v>1</v>
      </c>
      <c r="F338" s="59" t="e">
        <f>+G328*0.035</f>
        <v>#REF!</v>
      </c>
      <c r="G338" s="57" t="e">
        <f>+E338*F338</f>
        <v>#REF!</v>
      </c>
      <c r="H338" s="27"/>
      <c r="I338" s="124"/>
      <c r="J338" s="124"/>
      <c r="K338" s="187">
        <v>27567555.359999999</v>
      </c>
    </row>
    <row r="339" spans="1:11" s="40" customFormat="1" ht="23.45" customHeight="1" thickBot="1" x14ac:dyDescent="0.3">
      <c r="A339" s="39"/>
      <c r="B339" s="191" t="s">
        <v>89</v>
      </c>
      <c r="C339" s="60"/>
      <c r="D339" s="61"/>
      <c r="E339" s="94"/>
      <c r="F339" s="46"/>
      <c r="G339" s="110" t="e">
        <f>ROUND((SUM(G338:G338)),0)</f>
        <v>#REF!</v>
      </c>
      <c r="H339" s="27"/>
      <c r="I339" s="124"/>
      <c r="J339" s="124"/>
      <c r="K339" s="187"/>
    </row>
    <row r="340" spans="1:11" s="40" customFormat="1" ht="9.75" customHeight="1" thickBot="1" x14ac:dyDescent="0.3">
      <c r="A340" s="39"/>
      <c r="B340" s="95"/>
      <c r="C340" s="63"/>
      <c r="D340" s="62"/>
      <c r="E340" s="95"/>
      <c r="F340" s="64"/>
      <c r="G340" s="65"/>
      <c r="H340" s="27"/>
      <c r="I340" s="124"/>
      <c r="J340" s="124"/>
      <c r="K340" s="187"/>
    </row>
    <row r="341" spans="1:11" s="40" customFormat="1" ht="27.6" customHeight="1" thickBot="1" x14ac:dyDescent="0.3">
      <c r="A341" s="39"/>
      <c r="B341" s="331" t="s">
        <v>90</v>
      </c>
      <c r="C341" s="332"/>
      <c r="D341" s="108"/>
      <c r="E341" s="108"/>
      <c r="F341" s="333">
        <v>1742152366</v>
      </c>
      <c r="G341" s="334"/>
      <c r="H341" s="27"/>
      <c r="I341" s="125">
        <v>946486067</v>
      </c>
      <c r="J341" s="125"/>
      <c r="K341" s="187">
        <v>946486067</v>
      </c>
    </row>
    <row r="342" spans="1:11" s="40" customFormat="1" ht="9.75" customHeight="1" thickBot="1" x14ac:dyDescent="0.3">
      <c r="A342" s="39"/>
      <c r="B342" s="95"/>
      <c r="C342" s="63"/>
      <c r="D342" s="62"/>
      <c r="E342" s="95"/>
      <c r="F342" s="64"/>
      <c r="G342" s="65"/>
      <c r="H342" s="27"/>
      <c r="I342" s="124"/>
      <c r="J342" s="124"/>
      <c r="K342" s="187"/>
    </row>
    <row r="343" spans="1:11" s="40" customFormat="1" x14ac:dyDescent="0.25">
      <c r="A343" s="39"/>
      <c r="B343" s="307" t="s">
        <v>91</v>
      </c>
      <c r="C343" s="66"/>
      <c r="D343" s="67"/>
      <c r="E343" s="96"/>
      <c r="F343" s="67"/>
      <c r="G343" s="67"/>
      <c r="H343" s="27"/>
      <c r="I343" s="125">
        <f>+I341-F341</f>
        <v>-795666299</v>
      </c>
      <c r="J343" s="125"/>
      <c r="K343" s="187"/>
    </row>
    <row r="344" spans="1:11" s="40" customFormat="1" x14ac:dyDescent="0.25">
      <c r="A344" s="39"/>
      <c r="B344" s="308"/>
      <c r="C344" s="68"/>
      <c r="D344" s="67"/>
      <c r="E344" s="96"/>
      <c r="F344" s="67"/>
      <c r="G344" s="67"/>
      <c r="H344" s="27"/>
      <c r="I344" s="124"/>
      <c r="J344" s="124"/>
      <c r="K344" s="187"/>
    </row>
    <row r="345" spans="1:11" s="40" customFormat="1" x14ac:dyDescent="0.25">
      <c r="A345" s="39"/>
      <c r="B345" s="309"/>
      <c r="C345" s="69"/>
      <c r="D345" s="67"/>
      <c r="E345" s="97" t="s">
        <v>92</v>
      </c>
      <c r="F345" s="310" t="s">
        <v>93</v>
      </c>
      <c r="G345" s="311"/>
      <c r="H345" s="27"/>
      <c r="I345" s="124"/>
      <c r="J345" s="124"/>
      <c r="K345" s="187" t="s">
        <v>93</v>
      </c>
    </row>
    <row r="346" spans="1:11" s="40" customFormat="1" x14ac:dyDescent="0.25">
      <c r="A346" s="39"/>
      <c r="B346" s="194" t="s">
        <v>18</v>
      </c>
      <c r="C346" s="70"/>
      <c r="D346" s="67"/>
      <c r="E346" s="98" t="s">
        <v>94</v>
      </c>
      <c r="F346" s="71" t="s">
        <v>95</v>
      </c>
      <c r="G346" s="71" t="s">
        <v>96</v>
      </c>
      <c r="H346" s="27"/>
      <c r="I346" s="124"/>
      <c r="J346" s="124"/>
      <c r="K346" s="187" t="s">
        <v>95</v>
      </c>
    </row>
    <row r="347" spans="1:11" s="40" customFormat="1" x14ac:dyDescent="0.25">
      <c r="A347" s="39"/>
      <c r="B347" s="195" t="s">
        <v>97</v>
      </c>
      <c r="C347" s="72"/>
      <c r="D347" s="67"/>
      <c r="E347" s="98" t="s">
        <v>98</v>
      </c>
      <c r="F347" s="71" t="s">
        <v>99</v>
      </c>
      <c r="G347" s="71" t="s">
        <v>100</v>
      </c>
      <c r="H347" s="27"/>
      <c r="I347" s="124"/>
      <c r="J347" s="124"/>
      <c r="K347" s="187" t="s">
        <v>99</v>
      </c>
    </row>
    <row r="348" spans="1:11" s="40" customFormat="1" ht="26.25" thickBot="1" x14ac:dyDescent="0.3">
      <c r="A348" s="39"/>
      <c r="B348" s="196" t="s">
        <v>101</v>
      </c>
      <c r="C348" s="73"/>
      <c r="D348" s="67"/>
      <c r="E348" s="98" t="s">
        <v>102</v>
      </c>
      <c r="F348" s="310" t="s">
        <v>103</v>
      </c>
      <c r="G348" s="311"/>
      <c r="H348" s="27"/>
      <c r="I348" s="124"/>
      <c r="J348" s="124"/>
      <c r="K348" s="187" t="s">
        <v>103</v>
      </c>
    </row>
    <row r="349" spans="1:11" s="40" customFormat="1" ht="8.25" customHeight="1" thickBot="1" x14ac:dyDescent="0.3">
      <c r="A349" s="74"/>
      <c r="B349" s="99"/>
      <c r="C349" s="76"/>
      <c r="D349" s="75"/>
      <c r="E349" s="99"/>
      <c r="F349" s="77"/>
      <c r="G349" s="78"/>
      <c r="H349" s="79"/>
      <c r="I349" s="124"/>
      <c r="J349" s="124"/>
      <c r="K349" s="187"/>
    </row>
    <row r="350" spans="1:11" s="40" customFormat="1" x14ac:dyDescent="0.25">
      <c r="B350" s="95"/>
      <c r="C350" s="63"/>
      <c r="D350" s="62"/>
      <c r="E350" s="95"/>
      <c r="F350" s="64"/>
      <c r="G350" s="65"/>
      <c r="I350" s="124"/>
      <c r="J350" s="124"/>
      <c r="K350" s="187"/>
    </row>
    <row r="351" spans="1:11" s="40" customFormat="1" x14ac:dyDescent="0.25">
      <c r="B351" s="95"/>
      <c r="C351" s="62"/>
      <c r="D351" s="62"/>
      <c r="E351" s="95"/>
      <c r="F351" s="64"/>
      <c r="G351" s="65"/>
      <c r="I351" s="124"/>
      <c r="J351" s="124"/>
      <c r="K351" s="187"/>
    </row>
  </sheetData>
  <mergeCells count="39">
    <mergeCell ref="F348:G348"/>
    <mergeCell ref="B334:C335"/>
    <mergeCell ref="D334:E334"/>
    <mergeCell ref="B341:C341"/>
    <mergeCell ref="F341:G341"/>
    <mergeCell ref="B343:B345"/>
    <mergeCell ref="F345:G345"/>
    <mergeCell ref="B333:C333"/>
    <mergeCell ref="D333:E333"/>
    <mergeCell ref="B327:E327"/>
    <mergeCell ref="B198:E198"/>
    <mergeCell ref="B223:E223"/>
    <mergeCell ref="B247:E247"/>
    <mergeCell ref="B279:E279"/>
    <mergeCell ref="B323:E323"/>
    <mergeCell ref="E328:F328"/>
    <mergeCell ref="B330:C330"/>
    <mergeCell ref="B331:C332"/>
    <mergeCell ref="D331:E331"/>
    <mergeCell ref="D332:E332"/>
    <mergeCell ref="B172:E172"/>
    <mergeCell ref="B11:G11"/>
    <mergeCell ref="B12:G12"/>
    <mergeCell ref="B16:G16"/>
    <mergeCell ref="B17:G17"/>
    <mergeCell ref="B18:C18"/>
    <mergeCell ref="B19:C19"/>
    <mergeCell ref="B26:E26"/>
    <mergeCell ref="B61:E61"/>
    <mergeCell ref="B90:E90"/>
    <mergeCell ref="B117:E117"/>
    <mergeCell ref="B146:E146"/>
    <mergeCell ref="B9:B10"/>
    <mergeCell ref="C9:G10"/>
    <mergeCell ref="B2:C2"/>
    <mergeCell ref="D2:G2"/>
    <mergeCell ref="B3:G3"/>
    <mergeCell ref="B4:G4"/>
    <mergeCell ref="D8:F8"/>
  </mergeCells>
  <printOptions horizontalCentered="1"/>
  <pageMargins left="0.19685039370078741" right="0.19685039370078741" top="0.39370078740157483" bottom="0.39370078740157483" header="0" footer="0"/>
  <pageSetup scale="56" fitToHeight="0" orientation="portrait" r:id="rId1"/>
  <rowBreaks count="1" manualBreakCount="1">
    <brk id="90" max="7" man="1"/>
  </rowBreaks>
  <colBreaks count="1" manualBreakCount="1">
    <brk id="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3C59A-7599-4150-8670-80DB040C6E6D}">
  <dimension ref="C2:E5"/>
  <sheetViews>
    <sheetView workbookViewId="0">
      <selection activeCell="C2" sqref="C2:E5"/>
    </sheetView>
  </sheetViews>
  <sheetFormatPr baseColWidth="10" defaultRowHeight="15" x14ac:dyDescent="0.25"/>
  <cols>
    <col min="3" max="3" width="57.85546875" customWidth="1"/>
  </cols>
  <sheetData>
    <row r="2" spans="3:5" x14ac:dyDescent="0.25">
      <c r="C2" s="248" t="s">
        <v>516</v>
      </c>
      <c r="D2" s="248" t="s">
        <v>517</v>
      </c>
      <c r="E2" s="248" t="s">
        <v>518</v>
      </c>
    </row>
    <row r="3" spans="3:5" ht="30" x14ac:dyDescent="0.25">
      <c r="C3" s="249" t="s">
        <v>519</v>
      </c>
      <c r="D3" s="250" t="s">
        <v>48</v>
      </c>
      <c r="E3" s="250">
        <v>4</v>
      </c>
    </row>
    <row r="4" spans="3:5" x14ac:dyDescent="0.25">
      <c r="C4" s="250" t="s">
        <v>520</v>
      </c>
      <c r="D4" s="250" t="s">
        <v>32</v>
      </c>
      <c r="E4" s="250">
        <v>1</v>
      </c>
    </row>
    <row r="5" spans="3:5" ht="45" x14ac:dyDescent="0.25">
      <c r="C5" s="249" t="s">
        <v>521</v>
      </c>
      <c r="D5" s="250" t="s">
        <v>48</v>
      </c>
      <c r="E5" s="250">
        <v>5.3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7A10D-9D1B-469E-8173-D9E3086EF508}">
  <sheetPr>
    <tabColor theme="4" tint="-0.249977111117893"/>
    <pageSetUpPr fitToPage="1"/>
  </sheetPr>
  <dimension ref="A1:T267"/>
  <sheetViews>
    <sheetView view="pageBreakPreview" topLeftCell="A239" zoomScale="70" zoomScaleNormal="70" zoomScaleSheetLayoutView="70" workbookViewId="0">
      <selection activeCell="B257" sqref="B257:C257"/>
    </sheetView>
  </sheetViews>
  <sheetFormatPr baseColWidth="10" defaultColWidth="10.7109375" defaultRowHeight="25.5" x14ac:dyDescent="0.25"/>
  <cols>
    <col min="1" max="1" width="1.7109375" style="7" customWidth="1"/>
    <col min="2" max="2" width="21.85546875" style="95" customWidth="1"/>
    <col min="3" max="3" width="83.5703125" style="63" customWidth="1"/>
    <col min="4" max="4" width="15.42578125" style="62" customWidth="1"/>
    <col min="5" max="5" width="16.28515625" style="95" customWidth="1"/>
    <col min="6" max="6" width="21.85546875" style="64" customWidth="1"/>
    <col min="7" max="7" width="22.140625" style="65" customWidth="1"/>
    <col min="8" max="8" width="1.5703125" style="7" customWidth="1"/>
    <col min="9" max="10" width="31.42578125" style="122" customWidth="1"/>
    <col min="11" max="11" width="31.42578125" style="185" customWidth="1"/>
    <col min="12" max="12" width="23.140625" style="7" customWidth="1"/>
    <col min="13" max="13" width="12.85546875" style="7" bestFit="1" customWidth="1"/>
    <col min="14" max="14" width="15.85546875" style="7" customWidth="1"/>
    <col min="15" max="15" width="17.140625" style="7" bestFit="1" customWidth="1"/>
    <col min="16" max="16" width="20.140625" style="7" customWidth="1"/>
    <col min="17" max="17" width="12.5703125" style="7" bestFit="1" customWidth="1"/>
    <col min="18" max="19" width="15.42578125" style="7" bestFit="1" customWidth="1"/>
    <col min="20" max="16384" width="10.7109375" style="7"/>
  </cols>
  <sheetData>
    <row r="1" spans="1:16" ht="9.9499999999999993" customHeight="1" thickBot="1" x14ac:dyDescent="0.3">
      <c r="A1" s="1"/>
      <c r="B1" s="84"/>
      <c r="C1" s="3"/>
      <c r="D1" s="2"/>
      <c r="E1" s="84"/>
      <c r="F1" s="4"/>
      <c r="G1" s="5"/>
      <c r="H1" s="6"/>
    </row>
    <row r="2" spans="1:16" s="10" customFormat="1" ht="99.95" customHeight="1" thickBot="1" x14ac:dyDescent="0.35">
      <c r="A2" s="8"/>
      <c r="B2" s="337"/>
      <c r="C2" s="338"/>
      <c r="D2" s="339" t="s">
        <v>0</v>
      </c>
      <c r="E2" s="339"/>
      <c r="F2" s="339"/>
      <c r="G2" s="340"/>
      <c r="H2" s="9"/>
      <c r="I2" s="114"/>
      <c r="J2" s="114"/>
      <c r="K2" s="186"/>
    </row>
    <row r="3" spans="1:16" s="10" customFormat="1" ht="9.9499999999999993" customHeight="1" thickBot="1" x14ac:dyDescent="0.35">
      <c r="A3" s="8"/>
      <c r="B3" s="338"/>
      <c r="C3" s="338"/>
      <c r="D3" s="338"/>
      <c r="E3" s="338"/>
      <c r="F3" s="338"/>
      <c r="G3" s="338"/>
      <c r="H3" s="9"/>
      <c r="I3" s="114"/>
      <c r="J3" s="114"/>
      <c r="K3" s="186"/>
    </row>
    <row r="4" spans="1:16" s="10" customFormat="1" ht="20.100000000000001" customHeight="1" x14ac:dyDescent="0.25">
      <c r="A4" s="8"/>
      <c r="B4" s="341" t="s">
        <v>1</v>
      </c>
      <c r="C4" s="342"/>
      <c r="D4" s="342"/>
      <c r="E4" s="342"/>
      <c r="F4" s="342"/>
      <c r="G4" s="343"/>
      <c r="H4" s="9"/>
      <c r="I4" s="114"/>
      <c r="J4" s="114"/>
      <c r="K4" s="186"/>
    </row>
    <row r="5" spans="1:16" s="10" customFormat="1" ht="20.100000000000001" customHeight="1" x14ac:dyDescent="0.25">
      <c r="A5" s="8"/>
      <c r="B5" s="11" t="s">
        <v>2</v>
      </c>
      <c r="C5" s="12" t="s">
        <v>3</v>
      </c>
      <c r="D5" s="13" t="s">
        <v>4</v>
      </c>
      <c r="E5" s="85"/>
      <c r="F5" s="14" t="s">
        <v>5</v>
      </c>
      <c r="G5" s="15" t="s">
        <v>6</v>
      </c>
      <c r="H5" s="9"/>
      <c r="I5" s="114"/>
      <c r="J5" s="114"/>
      <c r="K5" s="186"/>
    </row>
    <row r="6" spans="1:16" s="10" customFormat="1" ht="28.15" customHeight="1" x14ac:dyDescent="0.25">
      <c r="A6" s="8"/>
      <c r="B6" s="11" t="s">
        <v>7</v>
      </c>
      <c r="C6" s="16" t="s">
        <v>8</v>
      </c>
      <c r="D6" s="13" t="s">
        <v>9</v>
      </c>
      <c r="E6" s="85"/>
      <c r="F6" s="13" t="s">
        <v>10</v>
      </c>
      <c r="G6" s="17"/>
      <c r="H6" s="9"/>
      <c r="I6" s="114"/>
      <c r="J6" s="114"/>
      <c r="K6" s="186"/>
    </row>
    <row r="7" spans="1:16" s="10" customFormat="1" ht="23.45" customHeight="1" x14ac:dyDescent="0.25">
      <c r="A7" s="8"/>
      <c r="B7" s="11" t="s">
        <v>11</v>
      </c>
      <c r="C7" s="16"/>
      <c r="D7" s="165" t="s">
        <v>12</v>
      </c>
      <c r="E7" s="86"/>
      <c r="F7" s="165" t="s">
        <v>13</v>
      </c>
      <c r="G7" s="18"/>
      <c r="H7" s="9"/>
      <c r="I7" s="114"/>
      <c r="J7" s="114"/>
      <c r="K7" s="186"/>
    </row>
    <row r="8" spans="1:16" s="10" customFormat="1" ht="29.45" customHeight="1" x14ac:dyDescent="0.25">
      <c r="A8" s="8"/>
      <c r="B8" s="11" t="s">
        <v>14</v>
      </c>
      <c r="C8" s="16"/>
      <c r="D8" s="344" t="s">
        <v>15</v>
      </c>
      <c r="E8" s="345"/>
      <c r="F8" s="345"/>
      <c r="G8" s="19"/>
      <c r="H8" s="9"/>
      <c r="I8" s="114"/>
      <c r="J8" s="114"/>
      <c r="K8" s="208" t="s">
        <v>416</v>
      </c>
      <c r="L8" s="10" t="s">
        <v>417</v>
      </c>
      <c r="M8" s="10" t="s">
        <v>418</v>
      </c>
      <c r="N8" s="10" t="s">
        <v>420</v>
      </c>
      <c r="O8" s="10" t="s">
        <v>419</v>
      </c>
      <c r="P8" s="207" t="s">
        <v>316</v>
      </c>
    </row>
    <row r="9" spans="1:16" s="10" customFormat="1" ht="20.100000000000001" customHeight="1" x14ac:dyDescent="0.25">
      <c r="A9" s="8"/>
      <c r="B9" s="346" t="s">
        <v>16</v>
      </c>
      <c r="C9" s="348" t="s">
        <v>414</v>
      </c>
      <c r="D9" s="348"/>
      <c r="E9" s="348"/>
      <c r="F9" s="348"/>
      <c r="G9" s="349"/>
      <c r="H9" s="9"/>
      <c r="I9" s="114"/>
      <c r="J9" s="114"/>
      <c r="K9" s="186"/>
    </row>
    <row r="10" spans="1:16" s="10" customFormat="1" ht="42.75" customHeight="1" thickBot="1" x14ac:dyDescent="0.3">
      <c r="A10" s="8"/>
      <c r="B10" s="347"/>
      <c r="C10" s="350"/>
      <c r="D10" s="350"/>
      <c r="E10" s="350"/>
      <c r="F10" s="350"/>
      <c r="G10" s="351"/>
      <c r="H10" s="9"/>
      <c r="I10" s="114"/>
      <c r="J10" s="205"/>
      <c r="K10" s="208">
        <f>+J10*1.25</f>
        <v>0</v>
      </c>
      <c r="L10" s="10">
        <f>+K10*10%</f>
        <v>0</v>
      </c>
      <c r="M10" s="10">
        <v>31800</v>
      </c>
      <c r="N10" s="10">
        <f>+K10*0.2</f>
        <v>0</v>
      </c>
      <c r="O10" s="206">
        <f>+K10-L10-M10-N10</f>
        <v>-31800</v>
      </c>
      <c r="P10" s="206" t="e">
        <f>+O10/K10</f>
        <v>#DIV/0!</v>
      </c>
    </row>
    <row r="11" spans="1:16" s="10" customFormat="1" ht="9.9499999999999993" customHeight="1" thickBot="1" x14ac:dyDescent="0.3">
      <c r="A11" s="8"/>
      <c r="B11" s="352"/>
      <c r="C11" s="352"/>
      <c r="D11" s="352"/>
      <c r="E11" s="352"/>
      <c r="F11" s="352"/>
      <c r="G11" s="352"/>
      <c r="H11" s="9"/>
      <c r="I11" s="114"/>
      <c r="J11" s="114"/>
      <c r="K11" s="186"/>
    </row>
    <row r="12" spans="1:16" s="10" customFormat="1" ht="20.100000000000001" customHeight="1" x14ac:dyDescent="0.25">
      <c r="A12" s="8"/>
      <c r="B12" s="341" t="s">
        <v>17</v>
      </c>
      <c r="C12" s="342"/>
      <c r="D12" s="342"/>
      <c r="E12" s="342"/>
      <c r="F12" s="342"/>
      <c r="G12" s="343"/>
      <c r="H12" s="9"/>
      <c r="I12" s="114"/>
      <c r="J12" s="114"/>
      <c r="K12" s="186"/>
    </row>
    <row r="13" spans="1:16" s="10" customFormat="1" ht="20.100000000000001" customHeight="1" x14ac:dyDescent="0.25">
      <c r="A13" s="8"/>
      <c r="B13" s="20" t="s">
        <v>18</v>
      </c>
      <c r="C13" s="16"/>
      <c r="D13" s="21" t="s">
        <v>19</v>
      </c>
      <c r="E13" s="87"/>
      <c r="F13" s="21" t="s">
        <v>20</v>
      </c>
      <c r="G13" s="22"/>
      <c r="H13" s="9"/>
      <c r="I13" s="114"/>
      <c r="J13" s="114"/>
      <c r="K13" s="186"/>
    </row>
    <row r="14" spans="1:16" s="10" customFormat="1" ht="20.25" customHeight="1" x14ac:dyDescent="0.25">
      <c r="A14" s="8"/>
      <c r="B14" s="20" t="s">
        <v>21</v>
      </c>
      <c r="C14" s="16"/>
      <c r="D14" s="21" t="s">
        <v>22</v>
      </c>
      <c r="E14" s="88"/>
      <c r="F14" s="21" t="s">
        <v>23</v>
      </c>
      <c r="G14" s="18"/>
      <c r="H14" s="9"/>
      <c r="I14" s="114"/>
      <c r="J14" s="114"/>
      <c r="K14" s="186"/>
    </row>
    <row r="15" spans="1:16" s="10" customFormat="1" ht="29.45" customHeight="1" thickBot="1" x14ac:dyDescent="0.3">
      <c r="A15" s="8"/>
      <c r="B15" s="23" t="s">
        <v>24</v>
      </c>
      <c r="C15" s="24"/>
      <c r="D15" s="25" t="s">
        <v>25</v>
      </c>
      <c r="E15" s="89"/>
      <c r="F15" s="25" t="s">
        <v>26</v>
      </c>
      <c r="G15" s="168"/>
      <c r="H15" s="9"/>
      <c r="I15" s="114"/>
      <c r="J15" s="114"/>
      <c r="K15" s="186"/>
    </row>
    <row r="16" spans="1:16" s="10" customFormat="1" ht="9.9499999999999993" customHeight="1" thickBot="1" x14ac:dyDescent="0.3">
      <c r="A16" s="8"/>
      <c r="B16" s="353"/>
      <c r="C16" s="353"/>
      <c r="D16" s="353"/>
      <c r="E16" s="353"/>
      <c r="F16" s="353"/>
      <c r="G16" s="353"/>
      <c r="H16" s="9"/>
      <c r="I16" s="114"/>
      <c r="J16" s="114"/>
      <c r="K16" s="186"/>
    </row>
    <row r="17" spans="1:17" ht="28.15" customHeight="1" x14ac:dyDescent="0.25">
      <c r="A17" s="26"/>
      <c r="B17" s="354" t="s">
        <v>118</v>
      </c>
      <c r="C17" s="355"/>
      <c r="D17" s="355"/>
      <c r="E17" s="355"/>
      <c r="F17" s="355"/>
      <c r="G17" s="356"/>
      <c r="H17" s="27"/>
    </row>
    <row r="18" spans="1:17" x14ac:dyDescent="0.25">
      <c r="A18" s="26"/>
      <c r="B18" s="321" t="s">
        <v>107</v>
      </c>
      <c r="C18" s="322"/>
      <c r="D18" s="80"/>
      <c r="E18" s="90"/>
      <c r="F18" s="80"/>
      <c r="G18" s="81"/>
      <c r="H18" s="27"/>
    </row>
    <row r="19" spans="1:17" ht="24" customHeight="1" x14ac:dyDescent="0.25">
      <c r="A19" s="26"/>
      <c r="B19" s="323" t="s">
        <v>105</v>
      </c>
      <c r="C19" s="324"/>
      <c r="D19" s="111"/>
      <c r="E19" s="112"/>
      <c r="F19" s="111"/>
      <c r="G19" s="113"/>
      <c r="H19" s="27"/>
      <c r="I19" s="122">
        <f>+I21*1.1</f>
        <v>52971.600000000006</v>
      </c>
    </row>
    <row r="20" spans="1:17" ht="35.25" customHeight="1" x14ac:dyDescent="0.25">
      <c r="A20" s="26"/>
      <c r="B20" s="28">
        <v>1</v>
      </c>
      <c r="C20" s="29" t="s">
        <v>159</v>
      </c>
      <c r="D20" s="30" t="s">
        <v>27</v>
      </c>
      <c r="E20" s="83" t="s">
        <v>28</v>
      </c>
      <c r="F20" s="30" t="s">
        <v>29</v>
      </c>
      <c r="G20" s="32" t="s">
        <v>30</v>
      </c>
      <c r="H20" s="27"/>
      <c r="K20" s="185" t="s">
        <v>29</v>
      </c>
      <c r="L20" s="189"/>
      <c r="M20" s="7">
        <f>+L17-42400</f>
        <v>-42400</v>
      </c>
      <c r="O20" s="204" t="e">
        <f>+M20/L17</f>
        <v>#DIV/0!</v>
      </c>
    </row>
    <row r="21" spans="1:17" s="40" customFormat="1" ht="38.25" x14ac:dyDescent="0.25">
      <c r="A21" s="39"/>
      <c r="B21" s="33">
        <v>1.1000000000000001</v>
      </c>
      <c r="C21" s="41" t="s">
        <v>150</v>
      </c>
      <c r="D21" s="34" t="s">
        <v>34</v>
      </c>
      <c r="E21" s="42">
        <f>278-40-40</f>
        <v>198</v>
      </c>
      <c r="F21" s="37">
        <v>52971</v>
      </c>
      <c r="G21" s="35">
        <f>+E21*F21</f>
        <v>10488258</v>
      </c>
      <c r="H21" s="27"/>
      <c r="I21" s="123">
        <v>48156</v>
      </c>
      <c r="J21" s="123"/>
      <c r="K21" s="185">
        <v>48156</v>
      </c>
      <c r="L21" s="189">
        <f>+K21-F21</f>
        <v>-4815</v>
      </c>
    </row>
    <row r="22" spans="1:17" s="40" customFormat="1" ht="22.15" customHeight="1" x14ac:dyDescent="0.25">
      <c r="A22" s="39"/>
      <c r="B22" s="33">
        <v>1.2</v>
      </c>
      <c r="C22" s="41" t="s">
        <v>154</v>
      </c>
      <c r="D22" s="34" t="s">
        <v>149</v>
      </c>
      <c r="E22" s="42">
        <f>278-40-40</f>
        <v>198</v>
      </c>
      <c r="F22" s="37">
        <v>585200</v>
      </c>
      <c r="G22" s="35">
        <f>+E22*F22</f>
        <v>115869600</v>
      </c>
      <c r="H22" s="27"/>
      <c r="I22" s="123">
        <v>485000</v>
      </c>
      <c r="J22" s="123"/>
      <c r="K22" s="185">
        <v>485000</v>
      </c>
      <c r="L22" s="189">
        <f>+K22-F22</f>
        <v>-100200</v>
      </c>
      <c r="O22" s="201">
        <v>229776631</v>
      </c>
      <c r="Q22" s="202"/>
    </row>
    <row r="23" spans="1:17" s="40" customFormat="1" ht="24.75" customHeight="1" x14ac:dyDescent="0.25">
      <c r="A23" s="39"/>
      <c r="B23" s="33">
        <v>1.3</v>
      </c>
      <c r="C23" s="41" t="s">
        <v>415</v>
      </c>
      <c r="D23" s="34" t="s">
        <v>48</v>
      </c>
      <c r="E23" s="42">
        <f>392-56.35-56.35</f>
        <v>279.29999999999995</v>
      </c>
      <c r="F23" s="37">
        <v>75200</v>
      </c>
      <c r="G23" s="35">
        <f>+E23*F23</f>
        <v>21003359.999999996</v>
      </c>
      <c r="H23" s="27"/>
      <c r="I23" s="123">
        <v>58529</v>
      </c>
      <c r="J23" s="123"/>
      <c r="K23" s="185">
        <v>58529</v>
      </c>
      <c r="L23" s="189">
        <f>+K23-F23</f>
        <v>-16671</v>
      </c>
      <c r="O23" s="201" t="e">
        <f>+#REF!*0.0883</f>
        <v>#REF!</v>
      </c>
    </row>
    <row r="24" spans="1:17" s="40" customFormat="1" ht="24.75" customHeight="1" x14ac:dyDescent="0.25">
      <c r="A24" s="39"/>
      <c r="B24" s="33">
        <v>1.4</v>
      </c>
      <c r="C24" s="41" t="s">
        <v>421</v>
      </c>
      <c r="D24" s="34" t="s">
        <v>48</v>
      </c>
      <c r="E24" s="42">
        <f>371-53.35-53.35</f>
        <v>264.29999999999995</v>
      </c>
      <c r="F24" s="37">
        <v>54200</v>
      </c>
      <c r="G24" s="35">
        <f>+E24*F24</f>
        <v>14325059.999999998</v>
      </c>
      <c r="H24" s="27"/>
      <c r="I24" s="123"/>
      <c r="J24" s="123"/>
      <c r="K24" s="185"/>
      <c r="L24" s="189"/>
      <c r="O24" s="201"/>
    </row>
    <row r="25" spans="1:17" s="40" customFormat="1" ht="24.75" customHeight="1" x14ac:dyDescent="0.25">
      <c r="A25" s="39"/>
      <c r="B25" s="33">
        <v>1.5</v>
      </c>
      <c r="C25" s="41" t="s">
        <v>422</v>
      </c>
      <c r="D25" s="34" t="s">
        <v>48</v>
      </c>
      <c r="E25" s="42">
        <f>47.3-6.75-6.765</f>
        <v>33.784999999999997</v>
      </c>
      <c r="F25" s="37">
        <v>56200</v>
      </c>
      <c r="G25" s="35">
        <f>+E25*F25</f>
        <v>1898716.9999999998</v>
      </c>
      <c r="H25" s="27"/>
      <c r="I25" s="123"/>
      <c r="J25" s="123"/>
      <c r="K25" s="185"/>
      <c r="L25" s="189"/>
      <c r="O25" s="201"/>
    </row>
    <row r="26" spans="1:17" ht="24" customHeight="1" x14ac:dyDescent="0.25">
      <c r="A26" s="26"/>
      <c r="B26" s="305" t="s">
        <v>452</v>
      </c>
      <c r="C26" s="306"/>
      <c r="D26" s="306"/>
      <c r="E26" s="306"/>
      <c r="F26" s="100"/>
      <c r="G26" s="101">
        <f>SUM(G21:G25)</f>
        <v>163584995</v>
      </c>
      <c r="H26" s="27"/>
      <c r="L26" s="189">
        <f>+K26-F26</f>
        <v>0</v>
      </c>
    </row>
    <row r="27" spans="1:17" ht="34.5" customHeight="1" x14ac:dyDescent="0.25">
      <c r="A27" s="26"/>
      <c r="B27" s="28">
        <v>3</v>
      </c>
      <c r="C27" s="29" t="s">
        <v>430</v>
      </c>
      <c r="D27" s="30" t="s">
        <v>27</v>
      </c>
      <c r="E27" s="83" t="s">
        <v>28</v>
      </c>
      <c r="F27" s="30" t="s">
        <v>29</v>
      </c>
      <c r="G27" s="32" t="s">
        <v>30</v>
      </c>
      <c r="H27" s="27"/>
      <c r="J27" s="123"/>
      <c r="K27" s="185" t="s">
        <v>29</v>
      </c>
      <c r="L27" s="189"/>
    </row>
    <row r="28" spans="1:17" s="40" customFormat="1" x14ac:dyDescent="0.25">
      <c r="A28" s="39"/>
      <c r="B28" s="211">
        <v>3.1</v>
      </c>
      <c r="C28" s="212" t="s">
        <v>358</v>
      </c>
      <c r="D28" s="34" t="s">
        <v>34</v>
      </c>
      <c r="E28" s="42" t="e">
        <f>+#REF!</f>
        <v>#REF!</v>
      </c>
      <c r="F28" s="37">
        <v>152350</v>
      </c>
      <c r="G28" s="35" t="e">
        <f t="shared" ref="G28:G54" si="0">+E28*F28</f>
        <v>#REF!</v>
      </c>
      <c r="H28" s="27"/>
      <c r="I28" s="159"/>
      <c r="J28" s="123"/>
      <c r="K28" s="187">
        <v>152350</v>
      </c>
      <c r="L28" s="189">
        <f>+K28-F28</f>
        <v>0</v>
      </c>
      <c r="Q28" s="40">
        <f>+O28*1.4</f>
        <v>0</v>
      </c>
    </row>
    <row r="29" spans="1:17" s="40" customFormat="1" ht="38.25" x14ac:dyDescent="0.25">
      <c r="A29" s="39"/>
      <c r="B29" s="210">
        <v>3.2</v>
      </c>
      <c r="C29" s="115" t="s">
        <v>424</v>
      </c>
      <c r="D29" s="38" t="s">
        <v>389</v>
      </c>
      <c r="E29" s="43" t="e">
        <f>+#REF!</f>
        <v>#REF!</v>
      </c>
      <c r="F29" s="117">
        <v>171293</v>
      </c>
      <c r="G29" s="118" t="e">
        <f t="shared" si="0"/>
        <v>#REF!</v>
      </c>
      <c r="H29" s="27"/>
      <c r="I29" s="159"/>
      <c r="J29" s="159"/>
      <c r="K29" s="187"/>
      <c r="L29" s="189"/>
    </row>
    <row r="30" spans="1:17" s="40" customFormat="1" x14ac:dyDescent="0.25">
      <c r="A30" s="39"/>
      <c r="B30" s="211">
        <v>3.3</v>
      </c>
      <c r="C30" s="115" t="s">
        <v>425</v>
      </c>
      <c r="D30" s="38" t="s">
        <v>389</v>
      </c>
      <c r="E30" s="43" t="e">
        <f>+#REF!</f>
        <v>#REF!</v>
      </c>
      <c r="F30" s="117">
        <v>27410</v>
      </c>
      <c r="G30" s="118" t="e">
        <f t="shared" si="0"/>
        <v>#REF!</v>
      </c>
      <c r="H30" s="27"/>
      <c r="I30" s="159"/>
      <c r="J30" s="159"/>
      <c r="K30" s="187"/>
      <c r="L30" s="189"/>
    </row>
    <row r="31" spans="1:17" s="40" customFormat="1" x14ac:dyDescent="0.25">
      <c r="A31" s="39"/>
      <c r="B31" s="210">
        <v>3.4</v>
      </c>
      <c r="C31" s="115" t="s">
        <v>426</v>
      </c>
      <c r="D31" s="38" t="s">
        <v>389</v>
      </c>
      <c r="E31" s="43" t="e">
        <f>+#REF!</f>
        <v>#REF!</v>
      </c>
      <c r="F31" s="117">
        <v>25002</v>
      </c>
      <c r="G31" s="118" t="e">
        <f t="shared" si="0"/>
        <v>#REF!</v>
      </c>
      <c r="H31" s="27"/>
      <c r="I31" s="159"/>
      <c r="J31" s="159"/>
      <c r="K31" s="187"/>
      <c r="L31" s="189"/>
    </row>
    <row r="32" spans="1:17" s="40" customFormat="1" ht="16.5" x14ac:dyDescent="0.25">
      <c r="A32" s="39"/>
      <c r="B32" s="211">
        <v>3.5</v>
      </c>
      <c r="C32" s="115" t="s">
        <v>427</v>
      </c>
      <c r="D32" s="38" t="s">
        <v>34</v>
      </c>
      <c r="E32" s="43" t="e">
        <f>+#REF!</f>
        <v>#REF!</v>
      </c>
      <c r="F32" s="117">
        <v>118800</v>
      </c>
      <c r="G32" s="118" t="e">
        <f t="shared" si="0"/>
        <v>#REF!</v>
      </c>
      <c r="H32" s="27"/>
      <c r="I32" s="159"/>
      <c r="J32" s="159"/>
      <c r="K32" s="187"/>
      <c r="L32" s="189"/>
    </row>
    <row r="33" spans="1:20" s="40" customFormat="1" ht="38.25" x14ac:dyDescent="0.25">
      <c r="A33" s="39"/>
      <c r="B33" s="210">
        <v>3.6</v>
      </c>
      <c r="C33" s="115" t="s">
        <v>428</v>
      </c>
      <c r="D33" s="38" t="s">
        <v>389</v>
      </c>
      <c r="E33" s="43" t="e">
        <f>+#REF!</f>
        <v>#REF!</v>
      </c>
      <c r="F33" s="117">
        <v>10773</v>
      </c>
      <c r="G33" s="118" t="e">
        <f t="shared" si="0"/>
        <v>#REF!</v>
      </c>
      <c r="H33" s="27"/>
      <c r="I33" s="159"/>
      <c r="J33" s="159"/>
      <c r="K33" s="187"/>
      <c r="L33" s="189"/>
    </row>
    <row r="34" spans="1:20" s="40" customFormat="1" ht="16.5" x14ac:dyDescent="0.25">
      <c r="A34" s="39"/>
      <c r="B34" s="211">
        <v>3.7</v>
      </c>
      <c r="C34" s="115" t="s">
        <v>429</v>
      </c>
      <c r="D34" s="38" t="s">
        <v>389</v>
      </c>
      <c r="E34" s="43" t="e">
        <f>+#REF!</f>
        <v>#REF!</v>
      </c>
      <c r="F34" s="117">
        <v>61222</v>
      </c>
      <c r="G34" s="118" t="e">
        <f t="shared" si="0"/>
        <v>#REF!</v>
      </c>
      <c r="H34" s="27"/>
      <c r="I34" s="159">
        <f>54663*1.13</f>
        <v>61769.189999999995</v>
      </c>
      <c r="J34" s="159"/>
      <c r="K34" s="187"/>
      <c r="L34" s="189"/>
    </row>
    <row r="35" spans="1:20" ht="38.25" x14ac:dyDescent="0.25">
      <c r="A35" s="26"/>
      <c r="B35" s="211">
        <v>3.8</v>
      </c>
      <c r="C35" s="212" t="s">
        <v>515</v>
      </c>
      <c r="D35" s="34" t="s">
        <v>389</v>
      </c>
      <c r="E35" s="42" t="e">
        <f>+#REF!</f>
        <v>#REF!</v>
      </c>
      <c r="F35" s="37">
        <v>76867.12</v>
      </c>
      <c r="G35" s="35" t="e">
        <f t="shared" si="0"/>
        <v>#REF!</v>
      </c>
      <c r="H35" s="216"/>
      <c r="I35" s="123"/>
      <c r="J35" s="123"/>
      <c r="K35" s="218"/>
      <c r="L35" s="189"/>
    </row>
    <row r="36" spans="1:20" ht="79.900000000000006" customHeight="1" x14ac:dyDescent="0.25">
      <c r="A36" s="26"/>
      <c r="B36" s="210">
        <v>3.8</v>
      </c>
      <c r="C36" s="115" t="s">
        <v>547</v>
      </c>
      <c r="D36" s="38" t="s">
        <v>27</v>
      </c>
      <c r="E36" s="42">
        <v>1</v>
      </c>
      <c r="F36" s="37">
        <v>1837500</v>
      </c>
      <c r="G36" s="118">
        <f t="shared" si="0"/>
        <v>1837500</v>
      </c>
      <c r="H36" s="27"/>
      <c r="I36" s="123">
        <v>1050000</v>
      </c>
      <c r="J36" s="123"/>
      <c r="K36" s="185">
        <v>9201198</v>
      </c>
      <c r="L36" s="189">
        <v>5300000</v>
      </c>
      <c r="M36" s="189">
        <f>+K36-L36</f>
        <v>3901198</v>
      </c>
      <c r="N36" s="189"/>
      <c r="O36" s="197">
        <f>+M36/L36</f>
        <v>0.73607509433962259</v>
      </c>
      <c r="P36" s="199">
        <f>+O36-1.19</f>
        <v>-0.45392490566037735</v>
      </c>
      <c r="Q36" s="7">
        <f>+F36*1.25</f>
        <v>2296875</v>
      </c>
      <c r="R36" s="121">
        <f>+Q36*0.2</f>
        <v>459375</v>
      </c>
      <c r="S36" s="198">
        <f>+Q36-L36-R36-Q36*0.0883</f>
        <v>-3665314.0625</v>
      </c>
      <c r="T36" s="199">
        <f>+S36/Q36</f>
        <v>-1.5957829931972789</v>
      </c>
    </row>
    <row r="37" spans="1:20" ht="87" customHeight="1" x14ac:dyDescent="0.25">
      <c r="A37" s="26"/>
      <c r="B37" s="211">
        <v>3.9</v>
      </c>
      <c r="C37" s="36" t="s">
        <v>548</v>
      </c>
      <c r="D37" s="38" t="s">
        <v>27</v>
      </c>
      <c r="E37" s="42">
        <v>1</v>
      </c>
      <c r="F37" s="37">
        <v>3062500</v>
      </c>
      <c r="G37" s="118">
        <f t="shared" si="0"/>
        <v>3062500</v>
      </c>
      <c r="H37" s="27"/>
      <c r="I37" s="123">
        <v>1750000</v>
      </c>
      <c r="J37" s="123"/>
      <c r="K37" s="185">
        <v>1372799</v>
      </c>
      <c r="L37" s="189">
        <f t="shared" ref="L37:L55" si="1">+K37-F37</f>
        <v>-1689701</v>
      </c>
    </row>
    <row r="38" spans="1:20" ht="85.15" customHeight="1" x14ac:dyDescent="0.25">
      <c r="A38" s="26"/>
      <c r="B38" s="209">
        <v>3.1</v>
      </c>
      <c r="C38" s="36" t="s">
        <v>549</v>
      </c>
      <c r="D38" s="38" t="s">
        <v>27</v>
      </c>
      <c r="E38" s="42">
        <v>1</v>
      </c>
      <c r="F38" s="37">
        <v>4375000</v>
      </c>
      <c r="G38" s="118">
        <f t="shared" si="0"/>
        <v>4375000</v>
      </c>
      <c r="H38" s="27"/>
      <c r="I38" s="123">
        <v>2500000</v>
      </c>
      <c r="J38" s="123"/>
      <c r="K38" s="185">
        <v>8079175</v>
      </c>
      <c r="L38" s="189">
        <f t="shared" si="1"/>
        <v>3704175</v>
      </c>
      <c r="P38" s="200"/>
    </row>
    <row r="39" spans="1:20" ht="64.5" customHeight="1" x14ac:dyDescent="0.25">
      <c r="A39" s="26"/>
      <c r="B39" s="213">
        <v>3.11</v>
      </c>
      <c r="C39" s="36" t="s">
        <v>550</v>
      </c>
      <c r="D39" s="38" t="s">
        <v>27</v>
      </c>
      <c r="E39" s="42">
        <v>1</v>
      </c>
      <c r="F39" s="37">
        <v>4900000</v>
      </c>
      <c r="G39" s="118">
        <f t="shared" si="0"/>
        <v>4900000</v>
      </c>
      <c r="H39" s="27"/>
      <c r="I39" s="123">
        <v>2800000</v>
      </c>
      <c r="J39" s="123"/>
      <c r="K39" s="185">
        <v>2420664</v>
      </c>
      <c r="L39" s="189">
        <f t="shared" si="1"/>
        <v>-2479336</v>
      </c>
      <c r="P39" s="200"/>
    </row>
    <row r="40" spans="1:20" ht="50.1" customHeight="1" x14ac:dyDescent="0.25">
      <c r="A40" s="26"/>
      <c r="B40" s="209">
        <v>3.12</v>
      </c>
      <c r="C40" s="36" t="s">
        <v>551</v>
      </c>
      <c r="D40" s="38" t="s">
        <v>27</v>
      </c>
      <c r="E40" s="42">
        <v>1</v>
      </c>
      <c r="F40" s="37">
        <v>3850000</v>
      </c>
      <c r="G40" s="118">
        <f t="shared" si="0"/>
        <v>3850000</v>
      </c>
      <c r="H40" s="27"/>
      <c r="I40" s="123">
        <v>2200000</v>
      </c>
      <c r="J40" s="123"/>
      <c r="K40" s="185">
        <v>6250503</v>
      </c>
      <c r="L40" s="189">
        <f t="shared" si="1"/>
        <v>2400503</v>
      </c>
    </row>
    <row r="41" spans="1:20" ht="86.45" customHeight="1" x14ac:dyDescent="0.25">
      <c r="A41" s="26"/>
      <c r="B41" s="213">
        <v>3.13</v>
      </c>
      <c r="C41" s="36" t="s">
        <v>552</v>
      </c>
      <c r="D41" s="38" t="s">
        <v>27</v>
      </c>
      <c r="E41" s="42">
        <v>1</v>
      </c>
      <c r="F41" s="37">
        <v>3325000</v>
      </c>
      <c r="G41" s="118">
        <f t="shared" si="0"/>
        <v>3325000</v>
      </c>
      <c r="H41" s="27"/>
      <c r="I41" s="123">
        <v>1900000</v>
      </c>
      <c r="J41" s="123"/>
      <c r="K41" s="185">
        <v>2504932</v>
      </c>
      <c r="L41" s="189">
        <f t="shared" si="1"/>
        <v>-820068</v>
      </c>
    </row>
    <row r="42" spans="1:20" ht="60.6" customHeight="1" x14ac:dyDescent="0.25">
      <c r="A42" s="26"/>
      <c r="B42" s="209">
        <v>3.14</v>
      </c>
      <c r="C42" s="36" t="s">
        <v>553</v>
      </c>
      <c r="D42" s="38" t="s">
        <v>27</v>
      </c>
      <c r="E42" s="42">
        <v>1</v>
      </c>
      <c r="F42" s="37">
        <v>1575000</v>
      </c>
      <c r="G42" s="118">
        <f t="shared" si="0"/>
        <v>1575000</v>
      </c>
      <c r="H42" s="27"/>
      <c r="I42" s="123">
        <v>900000</v>
      </c>
      <c r="J42" s="123"/>
      <c r="K42" s="185">
        <v>854470</v>
      </c>
      <c r="L42" s="189">
        <f t="shared" si="1"/>
        <v>-720530</v>
      </c>
    </row>
    <row r="43" spans="1:20" ht="68.45" customHeight="1" x14ac:dyDescent="0.25">
      <c r="A43" s="26"/>
      <c r="B43" s="213">
        <v>3.15</v>
      </c>
      <c r="C43" s="36" t="s">
        <v>554</v>
      </c>
      <c r="D43" s="38" t="s">
        <v>27</v>
      </c>
      <c r="E43" s="42">
        <v>1</v>
      </c>
      <c r="F43" s="37">
        <v>5162500</v>
      </c>
      <c r="G43" s="118">
        <f t="shared" si="0"/>
        <v>5162500</v>
      </c>
      <c r="H43" s="27"/>
      <c r="I43" s="123">
        <v>2950000</v>
      </c>
      <c r="J43" s="123"/>
      <c r="K43" s="185">
        <v>1723199</v>
      </c>
      <c r="L43" s="189">
        <f t="shared" si="1"/>
        <v>-3439301</v>
      </c>
    </row>
    <row r="44" spans="1:20" ht="70.150000000000006" customHeight="1" x14ac:dyDescent="0.25">
      <c r="A44" s="26"/>
      <c r="B44" s="209">
        <v>3.16</v>
      </c>
      <c r="C44" s="36" t="s">
        <v>555</v>
      </c>
      <c r="D44" s="38" t="s">
        <v>27</v>
      </c>
      <c r="E44" s="42">
        <v>1</v>
      </c>
      <c r="F44" s="37">
        <v>5775000</v>
      </c>
      <c r="G44" s="118">
        <f t="shared" si="0"/>
        <v>5775000</v>
      </c>
      <c r="H44" s="27"/>
      <c r="I44" s="123">
        <v>3300000</v>
      </c>
      <c r="J44" s="123"/>
      <c r="K44" s="185">
        <v>2014817</v>
      </c>
      <c r="L44" s="189">
        <f t="shared" si="1"/>
        <v>-3760183</v>
      </c>
    </row>
    <row r="45" spans="1:20" ht="65.45" customHeight="1" x14ac:dyDescent="0.25">
      <c r="A45" s="26"/>
      <c r="B45" s="213">
        <v>3.17</v>
      </c>
      <c r="C45" s="36" t="s">
        <v>556</v>
      </c>
      <c r="D45" s="38" t="s">
        <v>27</v>
      </c>
      <c r="E45" s="42">
        <v>1</v>
      </c>
      <c r="F45" s="37">
        <v>4200000</v>
      </c>
      <c r="G45" s="118">
        <f t="shared" si="0"/>
        <v>4200000</v>
      </c>
      <c r="H45" s="27"/>
      <c r="I45" s="123">
        <v>2400000</v>
      </c>
      <c r="J45" s="123"/>
      <c r="K45" s="185">
        <v>2081094</v>
      </c>
      <c r="L45" s="189">
        <f t="shared" si="1"/>
        <v>-2118906</v>
      </c>
    </row>
    <row r="46" spans="1:20" ht="62.45" customHeight="1" x14ac:dyDescent="0.25">
      <c r="A46" s="26"/>
      <c r="B46" s="209">
        <v>3.18</v>
      </c>
      <c r="C46" s="36" t="s">
        <v>557</v>
      </c>
      <c r="D46" s="38" t="s">
        <v>27</v>
      </c>
      <c r="E46" s="42">
        <v>1</v>
      </c>
      <c r="F46" s="37">
        <v>1575000</v>
      </c>
      <c r="G46" s="118">
        <f t="shared" si="0"/>
        <v>1575000</v>
      </c>
      <c r="H46" s="27"/>
      <c r="I46" s="123">
        <v>900000</v>
      </c>
      <c r="J46" s="123"/>
      <c r="K46" s="185">
        <v>10929600</v>
      </c>
      <c r="L46" s="189">
        <f t="shared" si="1"/>
        <v>9354600</v>
      </c>
    </row>
    <row r="47" spans="1:20" ht="88.15" customHeight="1" x14ac:dyDescent="0.25">
      <c r="A47" s="26"/>
      <c r="B47" s="213">
        <v>3.19</v>
      </c>
      <c r="C47" s="36" t="s">
        <v>558</v>
      </c>
      <c r="D47" s="38" t="s">
        <v>27</v>
      </c>
      <c r="E47" s="42">
        <v>1</v>
      </c>
      <c r="F47" s="37">
        <v>3062500</v>
      </c>
      <c r="G47" s="118">
        <f t="shared" si="0"/>
        <v>3062500</v>
      </c>
      <c r="H47" s="27"/>
      <c r="I47" s="123">
        <v>1750000</v>
      </c>
      <c r="J47" s="123"/>
      <c r="K47" s="185">
        <v>12028500</v>
      </c>
      <c r="L47" s="189">
        <f t="shared" si="1"/>
        <v>8966000</v>
      </c>
    </row>
    <row r="48" spans="1:20" ht="87" customHeight="1" x14ac:dyDescent="0.25">
      <c r="A48" s="26"/>
      <c r="B48" s="209">
        <v>3.2</v>
      </c>
      <c r="C48" s="36" t="s">
        <v>559</v>
      </c>
      <c r="D48" s="38" t="s">
        <v>27</v>
      </c>
      <c r="E48" s="42">
        <v>1</v>
      </c>
      <c r="F48" s="37">
        <v>7087500</v>
      </c>
      <c r="G48" s="118">
        <f t="shared" si="0"/>
        <v>7087500</v>
      </c>
      <c r="H48" s="27"/>
      <c r="I48" s="123">
        <v>4050000</v>
      </c>
      <c r="J48" s="123"/>
      <c r="K48" s="185">
        <v>10453500</v>
      </c>
      <c r="L48" s="189">
        <f t="shared" si="1"/>
        <v>3366000</v>
      </c>
    </row>
    <row r="49" spans="1:17" ht="87" customHeight="1" x14ac:dyDescent="0.25">
      <c r="A49" s="26"/>
      <c r="B49" s="213">
        <v>3.21</v>
      </c>
      <c r="C49" s="36" t="s">
        <v>560</v>
      </c>
      <c r="D49" s="38" t="s">
        <v>27</v>
      </c>
      <c r="E49" s="42">
        <v>1</v>
      </c>
      <c r="F49" s="37">
        <v>8575000</v>
      </c>
      <c r="G49" s="118">
        <f t="shared" si="0"/>
        <v>8575000</v>
      </c>
      <c r="H49" s="27"/>
      <c r="I49" s="123">
        <v>4900000</v>
      </c>
      <c r="J49" s="123"/>
      <c r="K49" s="185">
        <v>8806500</v>
      </c>
      <c r="L49" s="189">
        <f t="shared" si="1"/>
        <v>231500</v>
      </c>
    </row>
    <row r="50" spans="1:17" ht="57.6" customHeight="1" x14ac:dyDescent="0.25">
      <c r="A50" s="26"/>
      <c r="B50" s="209">
        <v>3.22</v>
      </c>
      <c r="C50" s="36" t="s">
        <v>561</v>
      </c>
      <c r="D50" s="38" t="s">
        <v>27</v>
      </c>
      <c r="E50" s="42">
        <v>1</v>
      </c>
      <c r="F50" s="37">
        <v>1610000</v>
      </c>
      <c r="G50" s="118">
        <f t="shared" si="0"/>
        <v>1610000</v>
      </c>
      <c r="H50" s="27"/>
      <c r="I50" s="123">
        <v>920000</v>
      </c>
      <c r="J50" s="123"/>
      <c r="K50" s="185">
        <v>1166400</v>
      </c>
      <c r="L50" s="189">
        <f t="shared" si="1"/>
        <v>-443600</v>
      </c>
    </row>
    <row r="51" spans="1:17" ht="73.5" customHeight="1" x14ac:dyDescent="0.25">
      <c r="A51" s="26"/>
      <c r="B51" s="213">
        <v>3.23</v>
      </c>
      <c r="C51" s="36" t="s">
        <v>562</v>
      </c>
      <c r="D51" s="38" t="s">
        <v>27</v>
      </c>
      <c r="E51" s="42">
        <v>1</v>
      </c>
      <c r="F51" s="37">
        <v>4900000</v>
      </c>
      <c r="G51" s="118">
        <f t="shared" si="0"/>
        <v>4900000</v>
      </c>
      <c r="H51" s="27"/>
      <c r="I51" s="123">
        <v>2800000</v>
      </c>
      <c r="J51" s="123"/>
      <c r="K51" s="185">
        <v>2568000</v>
      </c>
      <c r="L51" s="189">
        <f t="shared" si="1"/>
        <v>-2332000</v>
      </c>
    </row>
    <row r="52" spans="1:17" ht="72.599999999999994" customHeight="1" x14ac:dyDescent="0.25">
      <c r="A52" s="26"/>
      <c r="B52" s="209">
        <v>3.24</v>
      </c>
      <c r="C52" s="36" t="s">
        <v>563</v>
      </c>
      <c r="D52" s="38" t="s">
        <v>27</v>
      </c>
      <c r="E52" s="42">
        <v>1</v>
      </c>
      <c r="F52" s="37">
        <v>3062500</v>
      </c>
      <c r="G52" s="118">
        <f t="shared" si="0"/>
        <v>3062500</v>
      </c>
      <c r="H52" s="27"/>
      <c r="I52" s="123">
        <v>1750000</v>
      </c>
      <c r="J52" s="123"/>
      <c r="K52" s="185">
        <v>4784000</v>
      </c>
      <c r="L52" s="189">
        <f t="shared" si="1"/>
        <v>1721500</v>
      </c>
    </row>
    <row r="53" spans="1:17" ht="70.5" customHeight="1" x14ac:dyDescent="0.25">
      <c r="A53" s="26"/>
      <c r="B53" s="213">
        <v>3.25</v>
      </c>
      <c r="C53" s="36" t="s">
        <v>564</v>
      </c>
      <c r="D53" s="38" t="s">
        <v>27</v>
      </c>
      <c r="E53" s="42">
        <v>1</v>
      </c>
      <c r="F53" s="37">
        <v>1312500</v>
      </c>
      <c r="G53" s="118">
        <f t="shared" si="0"/>
        <v>1312500</v>
      </c>
      <c r="H53" s="27"/>
      <c r="I53" s="123">
        <v>750000</v>
      </c>
      <c r="J53" s="123"/>
      <c r="K53" s="185">
        <v>4784000</v>
      </c>
      <c r="L53" s="189">
        <f t="shared" si="1"/>
        <v>3471500</v>
      </c>
    </row>
    <row r="54" spans="1:17" ht="72" customHeight="1" x14ac:dyDescent="0.25">
      <c r="A54" s="26"/>
      <c r="B54" s="209">
        <v>3.26</v>
      </c>
      <c r="C54" s="36" t="s">
        <v>565</v>
      </c>
      <c r="D54" s="38" t="s">
        <v>27</v>
      </c>
      <c r="E54" s="42">
        <v>1</v>
      </c>
      <c r="F54" s="37">
        <v>3412500</v>
      </c>
      <c r="G54" s="118">
        <f t="shared" si="0"/>
        <v>3412500</v>
      </c>
      <c r="H54" s="27"/>
      <c r="I54" s="123">
        <v>1950000</v>
      </c>
      <c r="J54" s="123"/>
      <c r="K54" s="185">
        <v>4784000</v>
      </c>
      <c r="L54" s="189">
        <f t="shared" si="1"/>
        <v>1371500</v>
      </c>
    </row>
    <row r="55" spans="1:17" ht="24" customHeight="1" x14ac:dyDescent="0.25">
      <c r="A55" s="26"/>
      <c r="B55" s="305" t="s">
        <v>431</v>
      </c>
      <c r="C55" s="306"/>
      <c r="D55" s="306"/>
      <c r="E55" s="306"/>
      <c r="F55" s="100"/>
      <c r="G55" s="101" t="e">
        <f>SUM(G28:G54)</f>
        <v>#REF!</v>
      </c>
      <c r="H55" s="27"/>
      <c r="J55" s="123"/>
      <c r="L55" s="189">
        <f t="shared" si="1"/>
        <v>0</v>
      </c>
    </row>
    <row r="56" spans="1:17" ht="34.5" customHeight="1" x14ac:dyDescent="0.25">
      <c r="A56" s="26"/>
      <c r="B56" s="28">
        <v>4</v>
      </c>
      <c r="C56" s="29" t="s">
        <v>433</v>
      </c>
      <c r="D56" s="30" t="s">
        <v>27</v>
      </c>
      <c r="E56" s="83" t="s">
        <v>28</v>
      </c>
      <c r="F56" s="30" t="s">
        <v>29</v>
      </c>
      <c r="G56" s="32" t="s">
        <v>30</v>
      </c>
      <c r="H56" s="27"/>
      <c r="J56" s="123"/>
      <c r="K56" s="185" t="s">
        <v>29</v>
      </c>
      <c r="L56" s="189"/>
    </row>
    <row r="57" spans="1:17" s="40" customFormat="1" x14ac:dyDescent="0.25">
      <c r="A57" s="39"/>
      <c r="B57" s="211">
        <v>4.0999999999999996</v>
      </c>
      <c r="C57" s="212" t="s">
        <v>358</v>
      </c>
      <c r="D57" s="34" t="s">
        <v>34</v>
      </c>
      <c r="E57" s="42" t="e">
        <f>+#REF!</f>
        <v>#REF!</v>
      </c>
      <c r="F57" s="37">
        <v>152350</v>
      </c>
      <c r="G57" s="35" t="e">
        <f t="shared" ref="G57:G81" si="2">+E57*F57</f>
        <v>#REF!</v>
      </c>
      <c r="H57" s="27"/>
      <c r="I57" s="159"/>
      <c r="J57" s="123"/>
      <c r="K57" s="187">
        <v>152350</v>
      </c>
      <c r="L57" s="189">
        <f>+K57-F57</f>
        <v>0</v>
      </c>
      <c r="Q57" s="40">
        <f>+O57*1.4</f>
        <v>0</v>
      </c>
    </row>
    <row r="58" spans="1:17" s="40" customFormat="1" ht="38.25" x14ac:dyDescent="0.25">
      <c r="A58" s="39"/>
      <c r="B58" s="210">
        <v>4.2</v>
      </c>
      <c r="C58" s="115" t="s">
        <v>424</v>
      </c>
      <c r="D58" s="38" t="s">
        <v>389</v>
      </c>
      <c r="E58" s="43" t="e">
        <f>+#REF!</f>
        <v>#REF!</v>
      </c>
      <c r="F58" s="117">
        <v>171293</v>
      </c>
      <c r="G58" s="118" t="e">
        <f t="shared" si="2"/>
        <v>#REF!</v>
      </c>
      <c r="H58" s="27"/>
      <c r="I58" s="159"/>
      <c r="J58" s="159"/>
      <c r="K58" s="187"/>
      <c r="L58" s="189"/>
    </row>
    <row r="59" spans="1:17" s="40" customFormat="1" x14ac:dyDescent="0.25">
      <c r="A59" s="39"/>
      <c r="B59" s="211">
        <v>4.3</v>
      </c>
      <c r="C59" s="115" t="s">
        <v>425</v>
      </c>
      <c r="D59" s="38" t="s">
        <v>389</v>
      </c>
      <c r="E59" s="43" t="e">
        <f>+#REF!</f>
        <v>#REF!</v>
      </c>
      <c r="F59" s="117">
        <v>27410</v>
      </c>
      <c r="G59" s="118" t="e">
        <f t="shared" si="2"/>
        <v>#REF!</v>
      </c>
      <c r="H59" s="27"/>
      <c r="I59" s="159"/>
      <c r="J59" s="159"/>
      <c r="K59" s="187"/>
      <c r="L59" s="189"/>
    </row>
    <row r="60" spans="1:17" s="40" customFormat="1" x14ac:dyDescent="0.25">
      <c r="A60" s="39"/>
      <c r="B60" s="210">
        <v>4.4000000000000004</v>
      </c>
      <c r="C60" s="115" t="s">
        <v>426</v>
      </c>
      <c r="D60" s="38" t="s">
        <v>389</v>
      </c>
      <c r="E60" s="43" t="e">
        <f>+#REF!</f>
        <v>#REF!</v>
      </c>
      <c r="F60" s="117">
        <v>25002</v>
      </c>
      <c r="G60" s="118" t="e">
        <f t="shared" si="2"/>
        <v>#REF!</v>
      </c>
      <c r="H60" s="27"/>
      <c r="I60" s="159"/>
      <c r="J60" s="159"/>
      <c r="K60" s="187"/>
      <c r="L60" s="189"/>
    </row>
    <row r="61" spans="1:17" s="40" customFormat="1" ht="16.5" x14ac:dyDescent="0.25">
      <c r="A61" s="39"/>
      <c r="B61" s="211">
        <v>4.5</v>
      </c>
      <c r="C61" s="115" t="s">
        <v>427</v>
      </c>
      <c r="D61" s="38" t="s">
        <v>34</v>
      </c>
      <c r="E61" s="43" t="e">
        <f>+#REF!</f>
        <v>#REF!</v>
      </c>
      <c r="F61" s="117">
        <v>118800</v>
      </c>
      <c r="G61" s="118" t="e">
        <f t="shared" si="2"/>
        <v>#REF!</v>
      </c>
      <c r="H61" s="27"/>
      <c r="I61" s="159"/>
      <c r="J61" s="159"/>
      <c r="K61" s="187"/>
      <c r="L61" s="189"/>
    </row>
    <row r="62" spans="1:17" s="40" customFormat="1" ht="38.25" x14ac:dyDescent="0.25">
      <c r="A62" s="39"/>
      <c r="B62" s="210">
        <v>4.5999999999999996</v>
      </c>
      <c r="C62" s="115" t="s">
        <v>428</v>
      </c>
      <c r="D62" s="38" t="s">
        <v>389</v>
      </c>
      <c r="E62" s="43" t="e">
        <f>+#REF!</f>
        <v>#REF!</v>
      </c>
      <c r="F62" s="117">
        <v>10773</v>
      </c>
      <c r="G62" s="118" t="e">
        <f t="shared" si="2"/>
        <v>#REF!</v>
      </c>
      <c r="H62" s="27"/>
      <c r="I62" s="159"/>
      <c r="J62" s="159"/>
      <c r="K62" s="187"/>
      <c r="L62" s="189"/>
    </row>
    <row r="63" spans="1:17" s="40" customFormat="1" ht="16.5" x14ac:dyDescent="0.25">
      <c r="A63" s="39"/>
      <c r="B63" s="211">
        <v>4.7</v>
      </c>
      <c r="C63" s="115" t="s">
        <v>429</v>
      </c>
      <c r="D63" s="38" t="s">
        <v>389</v>
      </c>
      <c r="E63" s="43" t="e">
        <f>+#REF!</f>
        <v>#REF!</v>
      </c>
      <c r="F63" s="117">
        <v>61222</v>
      </c>
      <c r="G63" s="118" t="e">
        <f t="shared" si="2"/>
        <v>#REF!</v>
      </c>
      <c r="H63" s="27"/>
      <c r="I63" s="159">
        <f>54663*1.13</f>
        <v>61769.189999999995</v>
      </c>
      <c r="J63" s="159"/>
      <c r="K63" s="187"/>
      <c r="L63" s="189"/>
    </row>
    <row r="64" spans="1:17" ht="38.25" x14ac:dyDescent="0.25">
      <c r="A64" s="26"/>
      <c r="B64" s="211">
        <v>4.8</v>
      </c>
      <c r="C64" s="212" t="s">
        <v>515</v>
      </c>
      <c r="D64" s="34" t="s">
        <v>389</v>
      </c>
      <c r="E64" s="42" t="e">
        <f>+#REF!</f>
        <v>#REF!</v>
      </c>
      <c r="F64" s="37">
        <v>76867.12</v>
      </c>
      <c r="G64" s="35" t="e">
        <f t="shared" si="2"/>
        <v>#REF!</v>
      </c>
      <c r="H64" s="216"/>
      <c r="I64" s="123"/>
      <c r="J64" s="123"/>
      <c r="K64" s="218"/>
      <c r="L64" s="189"/>
    </row>
    <row r="65" spans="1:20" ht="79.900000000000006" customHeight="1" x14ac:dyDescent="0.25">
      <c r="A65" s="26"/>
      <c r="B65" s="211">
        <v>4.9000000000000004</v>
      </c>
      <c r="C65" s="115" t="s">
        <v>566</v>
      </c>
      <c r="D65" s="38" t="s">
        <v>27</v>
      </c>
      <c r="E65" s="42">
        <v>1</v>
      </c>
      <c r="F65" s="37">
        <v>1837500</v>
      </c>
      <c r="G65" s="118">
        <f t="shared" si="2"/>
        <v>1837500</v>
      </c>
      <c r="H65" s="27"/>
      <c r="I65" s="123">
        <v>1050000</v>
      </c>
      <c r="J65" s="123"/>
      <c r="K65" s="185">
        <v>9201198</v>
      </c>
      <c r="L65" s="189">
        <v>5300000</v>
      </c>
      <c r="M65" s="189">
        <f>+K65-L65</f>
        <v>3901198</v>
      </c>
      <c r="N65" s="189"/>
      <c r="O65" s="197">
        <f>+M65/L65</f>
        <v>0.73607509433962259</v>
      </c>
      <c r="P65" s="199">
        <f>+O65-1.19</f>
        <v>-0.45392490566037735</v>
      </c>
      <c r="Q65" s="7">
        <f>+F65*1.25</f>
        <v>2296875</v>
      </c>
      <c r="R65" s="121">
        <f>+Q65*0.2</f>
        <v>459375</v>
      </c>
      <c r="S65" s="198">
        <f>+Q65-L65-R65-Q65*0.0883</f>
        <v>-3665314.0625</v>
      </c>
      <c r="T65" s="199">
        <f>+S65/Q65</f>
        <v>-1.5957829931972789</v>
      </c>
    </row>
    <row r="66" spans="1:20" ht="87" customHeight="1" x14ac:dyDescent="0.25">
      <c r="A66" s="26"/>
      <c r="B66" s="213">
        <v>4.0999999999999996</v>
      </c>
      <c r="C66" s="36" t="s">
        <v>567</v>
      </c>
      <c r="D66" s="38" t="s">
        <v>27</v>
      </c>
      <c r="E66" s="42">
        <v>1</v>
      </c>
      <c r="F66" s="37">
        <v>3937500</v>
      </c>
      <c r="G66" s="118">
        <f t="shared" si="2"/>
        <v>3937500</v>
      </c>
      <c r="H66" s="27"/>
      <c r="I66" s="123">
        <v>2250000</v>
      </c>
      <c r="J66" s="123"/>
      <c r="K66" s="185">
        <v>1372799</v>
      </c>
      <c r="L66" s="189">
        <f t="shared" ref="L66:L82" si="3">+K66-F66</f>
        <v>-2564701</v>
      </c>
    </row>
    <row r="67" spans="1:20" ht="85.15" customHeight="1" x14ac:dyDescent="0.25">
      <c r="A67" s="26"/>
      <c r="B67" s="209">
        <v>4.1100000000000003</v>
      </c>
      <c r="C67" s="36" t="s">
        <v>568</v>
      </c>
      <c r="D67" s="38" t="s">
        <v>27</v>
      </c>
      <c r="E67" s="42">
        <v>1</v>
      </c>
      <c r="F67" s="37">
        <v>4375000</v>
      </c>
      <c r="G67" s="118">
        <f t="shared" si="2"/>
        <v>4375000</v>
      </c>
      <c r="H67" s="27"/>
      <c r="I67" s="123">
        <v>2500000</v>
      </c>
      <c r="J67" s="123"/>
      <c r="K67" s="185">
        <v>8079175</v>
      </c>
      <c r="L67" s="189">
        <f t="shared" si="3"/>
        <v>3704175</v>
      </c>
      <c r="P67" s="200"/>
    </row>
    <row r="68" spans="1:20" ht="78" customHeight="1" x14ac:dyDescent="0.25">
      <c r="A68" s="26"/>
      <c r="B68" s="213">
        <v>4.12</v>
      </c>
      <c r="C68" s="36" t="s">
        <v>569</v>
      </c>
      <c r="D68" s="38" t="s">
        <v>27</v>
      </c>
      <c r="E68" s="42">
        <v>1</v>
      </c>
      <c r="F68" s="37">
        <v>4900000</v>
      </c>
      <c r="G68" s="118">
        <f t="shared" si="2"/>
        <v>4900000</v>
      </c>
      <c r="H68" s="27"/>
      <c r="I68" s="123">
        <v>2800000</v>
      </c>
      <c r="J68" s="123"/>
      <c r="K68" s="185">
        <v>2420664</v>
      </c>
      <c r="L68" s="189">
        <f t="shared" si="3"/>
        <v>-2479336</v>
      </c>
      <c r="P68" s="200"/>
    </row>
    <row r="69" spans="1:20" ht="80.45" customHeight="1" x14ac:dyDescent="0.25">
      <c r="A69" s="26"/>
      <c r="B69" s="209">
        <v>4.13</v>
      </c>
      <c r="C69" s="36" t="s">
        <v>570</v>
      </c>
      <c r="D69" s="38" t="s">
        <v>27</v>
      </c>
      <c r="E69" s="42">
        <v>1</v>
      </c>
      <c r="F69" s="37">
        <v>4200000</v>
      </c>
      <c r="G69" s="118">
        <f t="shared" si="2"/>
        <v>4200000</v>
      </c>
      <c r="H69" s="27"/>
      <c r="I69" s="123">
        <v>2400000</v>
      </c>
      <c r="J69" s="123"/>
      <c r="K69" s="185">
        <v>6250503</v>
      </c>
      <c r="L69" s="189">
        <f t="shared" si="3"/>
        <v>2050503</v>
      </c>
    </row>
    <row r="70" spans="1:20" ht="91.5" customHeight="1" x14ac:dyDescent="0.25">
      <c r="A70" s="26"/>
      <c r="B70" s="213">
        <v>4.1399999999999997</v>
      </c>
      <c r="C70" s="36" t="s">
        <v>571</v>
      </c>
      <c r="D70" s="38" t="s">
        <v>27</v>
      </c>
      <c r="E70" s="42">
        <v>1</v>
      </c>
      <c r="F70" s="37">
        <v>4725000</v>
      </c>
      <c r="G70" s="118">
        <f t="shared" si="2"/>
        <v>4725000</v>
      </c>
      <c r="H70" s="27"/>
      <c r="I70" s="123">
        <v>2700000</v>
      </c>
      <c r="J70" s="123"/>
      <c r="K70" s="185">
        <v>2504932</v>
      </c>
      <c r="L70" s="189">
        <f t="shared" si="3"/>
        <v>-2220068</v>
      </c>
    </row>
    <row r="71" spans="1:20" ht="78.599999999999994" customHeight="1" x14ac:dyDescent="0.25">
      <c r="A71" s="26"/>
      <c r="B71" s="209">
        <v>4.1500000000000004</v>
      </c>
      <c r="C71" s="36" t="s">
        <v>572</v>
      </c>
      <c r="D71" s="38" t="s">
        <v>27</v>
      </c>
      <c r="E71" s="42">
        <v>1</v>
      </c>
      <c r="F71" s="37">
        <v>5075000</v>
      </c>
      <c r="G71" s="118">
        <f t="shared" si="2"/>
        <v>5075000</v>
      </c>
      <c r="H71" s="27"/>
      <c r="I71" s="123">
        <v>2900000</v>
      </c>
      <c r="J71" s="123"/>
      <c r="K71" s="185">
        <v>854470</v>
      </c>
      <c r="L71" s="189">
        <f t="shared" si="3"/>
        <v>-4220530</v>
      </c>
    </row>
    <row r="72" spans="1:20" ht="72" customHeight="1" x14ac:dyDescent="0.25">
      <c r="A72" s="26"/>
      <c r="B72" s="213">
        <v>4.16</v>
      </c>
      <c r="C72" s="36" t="s">
        <v>573</v>
      </c>
      <c r="D72" s="38" t="s">
        <v>27</v>
      </c>
      <c r="E72" s="42">
        <v>1</v>
      </c>
      <c r="F72" s="37">
        <v>2012500</v>
      </c>
      <c r="G72" s="118">
        <f t="shared" si="2"/>
        <v>2012500</v>
      </c>
      <c r="H72" s="27"/>
      <c r="I72" s="123">
        <v>1150000</v>
      </c>
      <c r="J72" s="123"/>
      <c r="K72" s="185">
        <v>1723199</v>
      </c>
      <c r="L72" s="189">
        <f t="shared" si="3"/>
        <v>-289301</v>
      </c>
    </row>
    <row r="73" spans="1:20" ht="70.150000000000006" customHeight="1" x14ac:dyDescent="0.25">
      <c r="A73" s="26"/>
      <c r="B73" s="209">
        <v>4.17</v>
      </c>
      <c r="C73" s="36" t="s">
        <v>574</v>
      </c>
      <c r="D73" s="38" t="s">
        <v>27</v>
      </c>
      <c r="E73" s="42">
        <v>1</v>
      </c>
      <c r="F73" s="37">
        <v>4725000</v>
      </c>
      <c r="G73" s="118">
        <f t="shared" si="2"/>
        <v>4725000</v>
      </c>
      <c r="H73" s="27"/>
      <c r="I73" s="123">
        <v>2700000</v>
      </c>
      <c r="J73" s="123"/>
      <c r="K73" s="185">
        <v>2014817</v>
      </c>
      <c r="L73" s="189">
        <f t="shared" si="3"/>
        <v>-2710183</v>
      </c>
    </row>
    <row r="74" spans="1:20" ht="65.45" customHeight="1" x14ac:dyDescent="0.25">
      <c r="A74" s="26"/>
      <c r="B74" s="213">
        <v>4.18</v>
      </c>
      <c r="C74" s="36" t="s">
        <v>575</v>
      </c>
      <c r="D74" s="38" t="s">
        <v>27</v>
      </c>
      <c r="E74" s="42">
        <v>1</v>
      </c>
      <c r="F74" s="37">
        <v>2100000</v>
      </c>
      <c r="G74" s="118">
        <f t="shared" si="2"/>
        <v>2100000</v>
      </c>
      <c r="H74" s="27"/>
      <c r="I74" s="123">
        <v>1200000</v>
      </c>
      <c r="J74" s="123"/>
      <c r="K74" s="185">
        <v>2081094</v>
      </c>
      <c r="L74" s="189">
        <f t="shared" si="3"/>
        <v>-18906</v>
      </c>
    </row>
    <row r="75" spans="1:20" ht="88.15" customHeight="1" x14ac:dyDescent="0.25">
      <c r="A75" s="26"/>
      <c r="B75" s="209">
        <v>4.1900000000000004</v>
      </c>
      <c r="C75" s="36" t="s">
        <v>576</v>
      </c>
      <c r="D75" s="38" t="s">
        <v>27</v>
      </c>
      <c r="E75" s="42">
        <v>1</v>
      </c>
      <c r="F75" s="37">
        <v>9887500</v>
      </c>
      <c r="G75" s="118">
        <f t="shared" si="2"/>
        <v>9887500</v>
      </c>
      <c r="H75" s="27"/>
      <c r="I75" s="123">
        <v>5650000</v>
      </c>
      <c r="J75" s="123"/>
      <c r="K75" s="185">
        <v>10929600</v>
      </c>
      <c r="L75" s="189">
        <f t="shared" si="3"/>
        <v>1042100</v>
      </c>
    </row>
    <row r="76" spans="1:20" ht="88.15" customHeight="1" x14ac:dyDescent="0.25">
      <c r="A76" s="26"/>
      <c r="B76" s="213">
        <v>4.2</v>
      </c>
      <c r="C76" s="36" t="s">
        <v>577</v>
      </c>
      <c r="D76" s="38" t="s">
        <v>27</v>
      </c>
      <c r="E76" s="42">
        <v>1</v>
      </c>
      <c r="F76" s="37">
        <v>4900000</v>
      </c>
      <c r="G76" s="118">
        <f t="shared" si="2"/>
        <v>4900000</v>
      </c>
      <c r="H76" s="27"/>
      <c r="I76" s="123">
        <v>2800000</v>
      </c>
      <c r="J76" s="123"/>
      <c r="K76" s="185">
        <v>12028500</v>
      </c>
      <c r="L76" s="189">
        <f t="shared" si="3"/>
        <v>7128500</v>
      </c>
    </row>
    <row r="77" spans="1:20" ht="87" customHeight="1" x14ac:dyDescent="0.25">
      <c r="A77" s="26"/>
      <c r="B77" s="209">
        <v>4.21</v>
      </c>
      <c r="C77" s="36" t="s">
        <v>578</v>
      </c>
      <c r="D77" s="38" t="s">
        <v>27</v>
      </c>
      <c r="E77" s="42">
        <v>1</v>
      </c>
      <c r="F77" s="37">
        <v>7000000</v>
      </c>
      <c r="G77" s="118">
        <f t="shared" si="2"/>
        <v>7000000</v>
      </c>
      <c r="H77" s="27"/>
      <c r="I77" s="123">
        <v>4000000</v>
      </c>
      <c r="J77" s="123"/>
      <c r="K77" s="185">
        <v>10453500</v>
      </c>
      <c r="L77" s="189">
        <f t="shared" si="3"/>
        <v>3453500</v>
      </c>
    </row>
    <row r="78" spans="1:20" ht="87" customHeight="1" x14ac:dyDescent="0.25">
      <c r="A78" s="26"/>
      <c r="B78" s="213">
        <v>4.22</v>
      </c>
      <c r="C78" s="36" t="s">
        <v>579</v>
      </c>
      <c r="D78" s="38" t="s">
        <v>27</v>
      </c>
      <c r="E78" s="42">
        <v>1</v>
      </c>
      <c r="F78" s="37">
        <v>1837500</v>
      </c>
      <c r="G78" s="118">
        <f t="shared" si="2"/>
        <v>1837500</v>
      </c>
      <c r="H78" s="27"/>
      <c r="I78" s="123">
        <v>1050000</v>
      </c>
      <c r="J78" s="123"/>
      <c r="K78" s="185">
        <v>8806500</v>
      </c>
      <c r="L78" s="189">
        <f t="shared" si="3"/>
        <v>6969000</v>
      </c>
    </row>
    <row r="79" spans="1:20" ht="84" customHeight="1" x14ac:dyDescent="0.25">
      <c r="A79" s="26"/>
      <c r="B79" s="209">
        <v>4.2300000000000004</v>
      </c>
      <c r="C79" s="36" t="s">
        <v>580</v>
      </c>
      <c r="D79" s="38" t="s">
        <v>27</v>
      </c>
      <c r="E79" s="42">
        <v>1</v>
      </c>
      <c r="F79" s="37">
        <v>2712500</v>
      </c>
      <c r="G79" s="118">
        <f t="shared" si="2"/>
        <v>2712500</v>
      </c>
      <c r="H79" s="27"/>
      <c r="I79" s="123">
        <v>1550000</v>
      </c>
      <c r="J79" s="123"/>
      <c r="K79" s="185">
        <v>1166400</v>
      </c>
      <c r="L79" s="189">
        <f t="shared" si="3"/>
        <v>-1546100</v>
      </c>
    </row>
    <row r="80" spans="1:20" ht="80.45" customHeight="1" x14ac:dyDescent="0.25">
      <c r="A80" s="26"/>
      <c r="B80" s="213">
        <v>4.24</v>
      </c>
      <c r="C80" s="36" t="s">
        <v>581</v>
      </c>
      <c r="D80" s="38" t="s">
        <v>27</v>
      </c>
      <c r="E80" s="42">
        <v>1</v>
      </c>
      <c r="F80" s="37">
        <v>5985000</v>
      </c>
      <c r="G80" s="118">
        <f t="shared" si="2"/>
        <v>5985000</v>
      </c>
      <c r="H80" s="27"/>
      <c r="I80" s="123">
        <v>3420000</v>
      </c>
      <c r="J80" s="123"/>
      <c r="K80" s="185">
        <v>2568000</v>
      </c>
      <c r="L80" s="189">
        <f t="shared" si="3"/>
        <v>-3417000</v>
      </c>
    </row>
    <row r="81" spans="1:20" ht="59.1" customHeight="1" x14ac:dyDescent="0.25">
      <c r="A81" s="26"/>
      <c r="B81" s="209">
        <v>4.25</v>
      </c>
      <c r="C81" s="36" t="s">
        <v>582</v>
      </c>
      <c r="D81" s="38" t="s">
        <v>27</v>
      </c>
      <c r="E81" s="42">
        <v>1</v>
      </c>
      <c r="F81" s="37">
        <v>1137500</v>
      </c>
      <c r="G81" s="118">
        <f t="shared" si="2"/>
        <v>1137500</v>
      </c>
      <c r="H81" s="27"/>
      <c r="I81" s="123">
        <v>650000</v>
      </c>
      <c r="J81" s="123"/>
      <c r="K81" s="185">
        <v>4784000</v>
      </c>
      <c r="L81" s="189">
        <f t="shared" si="3"/>
        <v>3646500</v>
      </c>
    </row>
    <row r="82" spans="1:20" ht="24" customHeight="1" x14ac:dyDescent="0.25">
      <c r="A82" s="26"/>
      <c r="B82" s="305" t="s">
        <v>434</v>
      </c>
      <c r="C82" s="306"/>
      <c r="D82" s="306"/>
      <c r="E82" s="306"/>
      <c r="F82" s="100"/>
      <c r="G82" s="101" t="e">
        <f>SUM(G57:G81)</f>
        <v>#REF!</v>
      </c>
      <c r="H82" s="27"/>
      <c r="J82" s="123"/>
      <c r="L82" s="189">
        <f t="shared" si="3"/>
        <v>0</v>
      </c>
    </row>
    <row r="83" spans="1:20" ht="34.5" customHeight="1" x14ac:dyDescent="0.25">
      <c r="A83" s="26"/>
      <c r="B83" s="28">
        <v>5</v>
      </c>
      <c r="C83" s="29" t="s">
        <v>435</v>
      </c>
      <c r="D83" s="30" t="s">
        <v>27</v>
      </c>
      <c r="E83" s="83" t="s">
        <v>28</v>
      </c>
      <c r="F83" s="30" t="s">
        <v>29</v>
      </c>
      <c r="G83" s="32" t="s">
        <v>30</v>
      </c>
      <c r="H83" s="27"/>
      <c r="J83" s="123"/>
      <c r="K83" s="185" t="s">
        <v>29</v>
      </c>
      <c r="L83" s="189"/>
    </row>
    <row r="84" spans="1:20" s="40" customFormat="1" x14ac:dyDescent="0.25">
      <c r="A84" s="39"/>
      <c r="B84" s="211">
        <v>5.0999999999999996</v>
      </c>
      <c r="C84" s="212" t="s">
        <v>358</v>
      </c>
      <c r="D84" s="34" t="s">
        <v>34</v>
      </c>
      <c r="E84" s="42" t="e">
        <f>+#REF!</f>
        <v>#REF!</v>
      </c>
      <c r="F84" s="37">
        <v>152350</v>
      </c>
      <c r="G84" s="35" t="e">
        <f t="shared" ref="G84:G110" si="4">+E84*F84</f>
        <v>#REF!</v>
      </c>
      <c r="H84" s="27"/>
      <c r="I84" s="159"/>
      <c r="J84" s="123"/>
      <c r="K84" s="187">
        <v>152350</v>
      </c>
      <c r="L84" s="189">
        <f>+K84-F84</f>
        <v>0</v>
      </c>
      <c r="Q84" s="40">
        <f>+O84*1.4</f>
        <v>0</v>
      </c>
    </row>
    <row r="85" spans="1:20" s="40" customFormat="1" ht="38.25" x14ac:dyDescent="0.25">
      <c r="A85" s="39"/>
      <c r="B85" s="210">
        <v>5.2</v>
      </c>
      <c r="C85" s="115" t="s">
        <v>424</v>
      </c>
      <c r="D85" s="38" t="s">
        <v>389</v>
      </c>
      <c r="E85" s="43" t="e">
        <f>+#REF!</f>
        <v>#REF!</v>
      </c>
      <c r="F85" s="117">
        <v>171293</v>
      </c>
      <c r="G85" s="118" t="e">
        <f t="shared" si="4"/>
        <v>#REF!</v>
      </c>
      <c r="H85" s="27"/>
      <c r="I85" s="159"/>
      <c r="J85" s="159"/>
      <c r="K85" s="187"/>
      <c r="L85" s="189"/>
    </row>
    <row r="86" spans="1:20" s="40" customFormat="1" x14ac:dyDescent="0.25">
      <c r="A86" s="39"/>
      <c r="B86" s="211">
        <v>5.3</v>
      </c>
      <c r="C86" s="115" t="s">
        <v>425</v>
      </c>
      <c r="D86" s="38" t="s">
        <v>389</v>
      </c>
      <c r="E86" s="43" t="e">
        <f>+#REF!</f>
        <v>#REF!</v>
      </c>
      <c r="F86" s="117">
        <v>27410</v>
      </c>
      <c r="G86" s="118" t="e">
        <f t="shared" si="4"/>
        <v>#REF!</v>
      </c>
      <c r="H86" s="27"/>
      <c r="I86" s="159"/>
      <c r="J86" s="159"/>
      <c r="K86" s="187"/>
      <c r="L86" s="189"/>
    </row>
    <row r="87" spans="1:20" s="40" customFormat="1" x14ac:dyDescent="0.25">
      <c r="A87" s="39"/>
      <c r="B87" s="210">
        <v>5.4</v>
      </c>
      <c r="C87" s="115" t="s">
        <v>426</v>
      </c>
      <c r="D87" s="38" t="s">
        <v>389</v>
      </c>
      <c r="E87" s="43" t="e">
        <f>+#REF!</f>
        <v>#REF!</v>
      </c>
      <c r="F87" s="117">
        <v>25002</v>
      </c>
      <c r="G87" s="118" t="e">
        <f t="shared" si="4"/>
        <v>#REF!</v>
      </c>
      <c r="H87" s="27"/>
      <c r="I87" s="159"/>
      <c r="J87" s="159"/>
      <c r="K87" s="187"/>
      <c r="L87" s="189"/>
    </row>
    <row r="88" spans="1:20" s="40" customFormat="1" ht="16.5" x14ac:dyDescent="0.25">
      <c r="A88" s="39"/>
      <c r="B88" s="211">
        <v>5.5</v>
      </c>
      <c r="C88" s="115" t="s">
        <v>427</v>
      </c>
      <c r="D88" s="38" t="s">
        <v>34</v>
      </c>
      <c r="E88" s="43" t="e">
        <f>+#REF!</f>
        <v>#REF!</v>
      </c>
      <c r="F88" s="117">
        <v>118800</v>
      </c>
      <c r="G88" s="118" t="e">
        <f t="shared" si="4"/>
        <v>#REF!</v>
      </c>
      <c r="H88" s="27"/>
      <c r="I88" s="159"/>
      <c r="J88" s="159"/>
      <c r="K88" s="187"/>
      <c r="L88" s="189"/>
    </row>
    <row r="89" spans="1:20" s="40" customFormat="1" ht="38.25" x14ac:dyDescent="0.25">
      <c r="A89" s="39"/>
      <c r="B89" s="210">
        <v>5.6</v>
      </c>
      <c r="C89" s="115" t="s">
        <v>428</v>
      </c>
      <c r="D89" s="38" t="s">
        <v>389</v>
      </c>
      <c r="E89" s="43" t="e">
        <f>+#REF!</f>
        <v>#REF!</v>
      </c>
      <c r="F89" s="117">
        <v>10773</v>
      </c>
      <c r="G89" s="118" t="e">
        <f t="shared" si="4"/>
        <v>#REF!</v>
      </c>
      <c r="H89" s="27"/>
      <c r="I89" s="159"/>
      <c r="J89" s="159"/>
      <c r="K89" s="187"/>
      <c r="L89" s="189"/>
    </row>
    <row r="90" spans="1:20" s="40" customFormat="1" ht="16.5" x14ac:dyDescent="0.25">
      <c r="A90" s="39"/>
      <c r="B90" s="211">
        <v>5.7</v>
      </c>
      <c r="C90" s="115" t="s">
        <v>429</v>
      </c>
      <c r="D90" s="38" t="s">
        <v>389</v>
      </c>
      <c r="E90" s="43" t="e">
        <f>+#REF!</f>
        <v>#REF!</v>
      </c>
      <c r="F90" s="117">
        <v>61222</v>
      </c>
      <c r="G90" s="118" t="e">
        <f t="shared" si="4"/>
        <v>#REF!</v>
      </c>
      <c r="H90" s="27"/>
      <c r="I90" s="159">
        <f>54663*1.13</f>
        <v>61769.189999999995</v>
      </c>
      <c r="J90" s="159"/>
      <c r="K90" s="187"/>
      <c r="L90" s="189"/>
    </row>
    <row r="91" spans="1:20" ht="38.25" x14ac:dyDescent="0.25">
      <c r="A91" s="26"/>
      <c r="B91" s="211">
        <v>5.8</v>
      </c>
      <c r="C91" s="212" t="s">
        <v>515</v>
      </c>
      <c r="D91" s="34" t="s">
        <v>389</v>
      </c>
      <c r="E91" s="42" t="e">
        <f>+#REF!</f>
        <v>#REF!</v>
      </c>
      <c r="F91" s="37">
        <v>76867.12</v>
      </c>
      <c r="G91" s="35" t="e">
        <f t="shared" si="4"/>
        <v>#REF!</v>
      </c>
      <c r="H91" s="216"/>
      <c r="I91" s="123"/>
      <c r="J91" s="123"/>
      <c r="K91" s="218"/>
      <c r="L91" s="189"/>
    </row>
    <row r="92" spans="1:20" ht="79.900000000000006" customHeight="1" x14ac:dyDescent="0.25">
      <c r="A92" s="26"/>
      <c r="B92" s="210">
        <v>5.9</v>
      </c>
      <c r="C92" s="115" t="s">
        <v>583</v>
      </c>
      <c r="D92" s="38" t="s">
        <v>27</v>
      </c>
      <c r="E92" s="42">
        <v>1</v>
      </c>
      <c r="F92" s="37">
        <v>1925000</v>
      </c>
      <c r="G92" s="118">
        <f t="shared" si="4"/>
        <v>1925000</v>
      </c>
      <c r="H92" s="27"/>
      <c r="I92" s="123">
        <v>1100000</v>
      </c>
      <c r="J92" s="123"/>
      <c r="K92" s="185">
        <v>9201198</v>
      </c>
      <c r="L92" s="189">
        <v>5300000</v>
      </c>
      <c r="M92" s="189">
        <f>+K92-L92</f>
        <v>3901198</v>
      </c>
      <c r="N92" s="189"/>
      <c r="O92" s="197">
        <f>+M92/L92</f>
        <v>0.73607509433962259</v>
      </c>
      <c r="P92" s="199">
        <f>+O92-1.19</f>
        <v>-0.45392490566037735</v>
      </c>
      <c r="Q92" s="7">
        <f>+F92*1.25</f>
        <v>2406250</v>
      </c>
      <c r="R92" s="121">
        <f>+Q92*0.2</f>
        <v>481250</v>
      </c>
      <c r="S92" s="198">
        <f>+Q92-L92-R92-Q92*0.0883</f>
        <v>-3587471.875</v>
      </c>
      <c r="T92" s="199">
        <f>+S92/Q92</f>
        <v>-1.4908974025974027</v>
      </c>
    </row>
    <row r="93" spans="1:20" ht="62.45" customHeight="1" x14ac:dyDescent="0.25">
      <c r="A93" s="26"/>
      <c r="B93" s="211">
        <v>5.0999999999999996</v>
      </c>
      <c r="C93" s="36" t="s">
        <v>584</v>
      </c>
      <c r="D93" s="38" t="s">
        <v>27</v>
      </c>
      <c r="E93" s="42">
        <v>1</v>
      </c>
      <c r="F93" s="37">
        <v>4112500</v>
      </c>
      <c r="G93" s="118">
        <f t="shared" si="4"/>
        <v>4112500</v>
      </c>
      <c r="H93" s="27"/>
      <c r="I93" s="123">
        <v>2350000</v>
      </c>
      <c r="J93" s="123"/>
      <c r="K93" s="185">
        <v>1372799</v>
      </c>
      <c r="L93" s="189">
        <f t="shared" ref="L93:L111" si="5">+K93-F93</f>
        <v>-2739701</v>
      </c>
    </row>
    <row r="94" spans="1:20" ht="85.15" customHeight="1" x14ac:dyDescent="0.25">
      <c r="A94" s="26"/>
      <c r="B94" s="209">
        <v>5.1100000000000003</v>
      </c>
      <c r="C94" s="36" t="s">
        <v>585</v>
      </c>
      <c r="D94" s="38" t="s">
        <v>27</v>
      </c>
      <c r="E94" s="42">
        <v>1</v>
      </c>
      <c r="F94" s="37">
        <v>4637500</v>
      </c>
      <c r="G94" s="118">
        <f t="shared" si="4"/>
        <v>4637500</v>
      </c>
      <c r="H94" s="27"/>
      <c r="I94" s="123">
        <v>2650000</v>
      </c>
      <c r="J94" s="123"/>
      <c r="K94" s="185">
        <v>8079175</v>
      </c>
      <c r="L94" s="189">
        <f t="shared" si="5"/>
        <v>3441675</v>
      </c>
      <c r="P94" s="200"/>
    </row>
    <row r="95" spans="1:20" ht="78" customHeight="1" x14ac:dyDescent="0.25">
      <c r="A95" s="26"/>
      <c r="B95" s="213">
        <v>5.12</v>
      </c>
      <c r="C95" s="36" t="s">
        <v>586</v>
      </c>
      <c r="D95" s="38" t="s">
        <v>27</v>
      </c>
      <c r="E95" s="42">
        <v>1</v>
      </c>
      <c r="F95" s="37">
        <v>4725000</v>
      </c>
      <c r="G95" s="118">
        <f t="shared" si="4"/>
        <v>4725000</v>
      </c>
      <c r="H95" s="27"/>
      <c r="I95" s="123">
        <v>2700000</v>
      </c>
      <c r="J95" s="123"/>
      <c r="K95" s="185">
        <v>2420664</v>
      </c>
      <c r="L95" s="189">
        <f t="shared" si="5"/>
        <v>-2304336</v>
      </c>
      <c r="P95" s="200"/>
    </row>
    <row r="96" spans="1:20" ht="80.45" customHeight="1" x14ac:dyDescent="0.25">
      <c r="A96" s="26"/>
      <c r="B96" s="209">
        <v>5.13</v>
      </c>
      <c r="C96" s="36" t="s">
        <v>587</v>
      </c>
      <c r="D96" s="38" t="s">
        <v>27</v>
      </c>
      <c r="E96" s="42">
        <v>1</v>
      </c>
      <c r="F96" s="37">
        <v>6912500</v>
      </c>
      <c r="G96" s="118">
        <f t="shared" si="4"/>
        <v>6912500</v>
      </c>
      <c r="H96" s="27"/>
      <c r="I96" s="123">
        <v>3950000</v>
      </c>
      <c r="J96" s="123"/>
      <c r="K96" s="185">
        <v>6250503</v>
      </c>
      <c r="L96" s="189">
        <f t="shared" si="5"/>
        <v>-661997</v>
      </c>
    </row>
    <row r="97" spans="1:12" ht="72.95" customHeight="1" x14ac:dyDescent="0.25">
      <c r="A97" s="26"/>
      <c r="B97" s="213">
        <v>5.14</v>
      </c>
      <c r="C97" s="36" t="s">
        <v>588</v>
      </c>
      <c r="D97" s="38" t="s">
        <v>27</v>
      </c>
      <c r="E97" s="42">
        <v>1</v>
      </c>
      <c r="F97" s="37">
        <v>5075000</v>
      </c>
      <c r="G97" s="118">
        <f t="shared" si="4"/>
        <v>5075000</v>
      </c>
      <c r="H97" s="27"/>
      <c r="I97" s="123">
        <v>2900000</v>
      </c>
      <c r="J97" s="123"/>
      <c r="K97" s="185">
        <v>2504932</v>
      </c>
      <c r="L97" s="189">
        <f t="shared" si="5"/>
        <v>-2570068</v>
      </c>
    </row>
    <row r="98" spans="1:12" ht="78.599999999999994" customHeight="1" x14ac:dyDescent="0.25">
      <c r="A98" s="26"/>
      <c r="B98" s="209">
        <v>5.15</v>
      </c>
      <c r="C98" s="36" t="s">
        <v>589</v>
      </c>
      <c r="D98" s="38" t="s">
        <v>27</v>
      </c>
      <c r="E98" s="42">
        <v>1</v>
      </c>
      <c r="F98" s="37">
        <v>4987500</v>
      </c>
      <c r="G98" s="118">
        <f t="shared" si="4"/>
        <v>4987500</v>
      </c>
      <c r="H98" s="27"/>
      <c r="I98" s="123">
        <v>2850000</v>
      </c>
      <c r="J98" s="123"/>
      <c r="K98" s="185">
        <v>854470</v>
      </c>
      <c r="L98" s="189">
        <f t="shared" si="5"/>
        <v>-4133030</v>
      </c>
    </row>
    <row r="99" spans="1:12" ht="69" customHeight="1" x14ac:dyDescent="0.25">
      <c r="A99" s="26"/>
      <c r="B99" s="213">
        <v>5.16</v>
      </c>
      <c r="C99" s="36" t="s">
        <v>590</v>
      </c>
      <c r="D99" s="38" t="s">
        <v>27</v>
      </c>
      <c r="E99" s="42">
        <v>1</v>
      </c>
      <c r="F99" s="37">
        <v>6300000</v>
      </c>
      <c r="G99" s="118">
        <f t="shared" si="4"/>
        <v>6300000</v>
      </c>
      <c r="H99" s="27"/>
      <c r="I99" s="123">
        <v>3600000</v>
      </c>
      <c r="J99" s="123"/>
      <c r="K99" s="185">
        <v>1723199</v>
      </c>
      <c r="L99" s="189">
        <f t="shared" si="5"/>
        <v>-4576801</v>
      </c>
    </row>
    <row r="100" spans="1:12" ht="70.150000000000006" customHeight="1" x14ac:dyDescent="0.25">
      <c r="A100" s="26"/>
      <c r="B100" s="209">
        <v>5.17</v>
      </c>
      <c r="C100" s="36" t="s">
        <v>591</v>
      </c>
      <c r="D100" s="38" t="s">
        <v>27</v>
      </c>
      <c r="E100" s="42">
        <v>1</v>
      </c>
      <c r="F100" s="37">
        <v>4725000</v>
      </c>
      <c r="G100" s="118">
        <f t="shared" si="4"/>
        <v>4725000</v>
      </c>
      <c r="H100" s="27"/>
      <c r="I100" s="123">
        <v>2700000</v>
      </c>
      <c r="J100" s="123"/>
      <c r="K100" s="185">
        <v>2014817</v>
      </c>
      <c r="L100" s="189">
        <f t="shared" si="5"/>
        <v>-2710183</v>
      </c>
    </row>
    <row r="101" spans="1:12" ht="65.45" customHeight="1" x14ac:dyDescent="0.25">
      <c r="A101" s="26"/>
      <c r="B101" s="213">
        <v>5.18</v>
      </c>
      <c r="C101" s="36" t="s">
        <v>592</v>
      </c>
      <c r="D101" s="38" t="s">
        <v>27</v>
      </c>
      <c r="E101" s="42">
        <v>1</v>
      </c>
      <c r="F101" s="37">
        <v>2975000</v>
      </c>
      <c r="G101" s="118">
        <f t="shared" si="4"/>
        <v>2975000</v>
      </c>
      <c r="H101" s="27"/>
      <c r="I101" s="123">
        <v>1700000</v>
      </c>
      <c r="J101" s="123"/>
      <c r="K101" s="185">
        <v>2081094</v>
      </c>
      <c r="L101" s="189">
        <f t="shared" si="5"/>
        <v>-893906</v>
      </c>
    </row>
    <row r="102" spans="1:12" ht="88.15" customHeight="1" x14ac:dyDescent="0.25">
      <c r="A102" s="26"/>
      <c r="B102" s="209">
        <v>5.19</v>
      </c>
      <c r="C102" s="36" t="s">
        <v>593</v>
      </c>
      <c r="D102" s="38" t="s">
        <v>27</v>
      </c>
      <c r="E102" s="42">
        <v>1</v>
      </c>
      <c r="F102" s="37">
        <v>2537500</v>
      </c>
      <c r="G102" s="118">
        <f t="shared" si="4"/>
        <v>2537500</v>
      </c>
      <c r="H102" s="27"/>
      <c r="I102" s="123">
        <v>1450000</v>
      </c>
      <c r="J102" s="123"/>
      <c r="K102" s="185">
        <v>10929600</v>
      </c>
      <c r="L102" s="189">
        <f t="shared" si="5"/>
        <v>8392100</v>
      </c>
    </row>
    <row r="103" spans="1:12" ht="73.5" customHeight="1" x14ac:dyDescent="0.25">
      <c r="A103" s="26"/>
      <c r="B103" s="213">
        <v>5.2</v>
      </c>
      <c r="C103" s="36" t="s">
        <v>594</v>
      </c>
      <c r="D103" s="38" t="s">
        <v>27</v>
      </c>
      <c r="E103" s="42">
        <v>1</v>
      </c>
      <c r="F103" s="37">
        <v>1487500</v>
      </c>
      <c r="G103" s="118">
        <f t="shared" si="4"/>
        <v>1487500</v>
      </c>
      <c r="H103" s="27"/>
      <c r="I103" s="123">
        <v>850000</v>
      </c>
      <c r="J103" s="123"/>
      <c r="K103" s="185">
        <v>12028500</v>
      </c>
      <c r="L103" s="189">
        <f t="shared" si="5"/>
        <v>10541000</v>
      </c>
    </row>
    <row r="104" spans="1:12" ht="87" customHeight="1" x14ac:dyDescent="0.25">
      <c r="A104" s="26"/>
      <c r="B104" s="209">
        <v>5.21</v>
      </c>
      <c r="C104" s="36" t="s">
        <v>595</v>
      </c>
      <c r="D104" s="38" t="s">
        <v>27</v>
      </c>
      <c r="E104" s="42">
        <v>1</v>
      </c>
      <c r="F104" s="37">
        <v>1487500</v>
      </c>
      <c r="G104" s="118">
        <f t="shared" si="4"/>
        <v>1487500</v>
      </c>
      <c r="H104" s="27"/>
      <c r="I104" s="123">
        <v>850000</v>
      </c>
      <c r="J104" s="123"/>
      <c r="K104" s="185">
        <v>10453500</v>
      </c>
      <c r="L104" s="189">
        <f t="shared" si="5"/>
        <v>8966000</v>
      </c>
    </row>
    <row r="105" spans="1:12" ht="68.45" customHeight="1" x14ac:dyDescent="0.25">
      <c r="A105" s="26"/>
      <c r="B105" s="213">
        <v>5.22</v>
      </c>
      <c r="C105" s="36" t="s">
        <v>596</v>
      </c>
      <c r="D105" s="38" t="s">
        <v>27</v>
      </c>
      <c r="E105" s="42">
        <v>1</v>
      </c>
      <c r="F105" s="37">
        <v>4112500</v>
      </c>
      <c r="G105" s="118">
        <f t="shared" si="4"/>
        <v>4112500</v>
      </c>
      <c r="H105" s="27"/>
      <c r="I105" s="123">
        <v>2350000</v>
      </c>
      <c r="J105" s="123"/>
      <c r="K105" s="185">
        <v>8806500</v>
      </c>
      <c r="L105" s="189">
        <f t="shared" si="5"/>
        <v>4694000</v>
      </c>
    </row>
    <row r="106" spans="1:12" ht="75.95" customHeight="1" x14ac:dyDescent="0.25">
      <c r="A106" s="26"/>
      <c r="B106" s="209">
        <v>5.23</v>
      </c>
      <c r="C106" s="36" t="s">
        <v>597</v>
      </c>
      <c r="D106" s="38" t="s">
        <v>27</v>
      </c>
      <c r="E106" s="42">
        <v>1</v>
      </c>
      <c r="F106" s="37">
        <v>4725000</v>
      </c>
      <c r="G106" s="118">
        <f t="shared" si="4"/>
        <v>4725000</v>
      </c>
      <c r="H106" s="27"/>
      <c r="I106" s="123">
        <v>2700000</v>
      </c>
      <c r="J106" s="123"/>
      <c r="K106" s="185">
        <v>1166400</v>
      </c>
      <c r="L106" s="189">
        <f t="shared" si="5"/>
        <v>-3558600</v>
      </c>
    </row>
    <row r="107" spans="1:12" ht="75.599999999999994" customHeight="1" x14ac:dyDescent="0.25">
      <c r="A107" s="26"/>
      <c r="B107" s="213">
        <v>5.24</v>
      </c>
      <c r="C107" s="36" t="s">
        <v>598</v>
      </c>
      <c r="D107" s="38" t="s">
        <v>27</v>
      </c>
      <c r="E107" s="42">
        <v>1</v>
      </c>
      <c r="F107" s="37">
        <v>6212500</v>
      </c>
      <c r="G107" s="118">
        <f t="shared" si="4"/>
        <v>6212500</v>
      </c>
      <c r="H107" s="27"/>
      <c r="I107" s="123">
        <v>3550000</v>
      </c>
      <c r="J107" s="123"/>
      <c r="K107" s="185">
        <v>2568000</v>
      </c>
      <c r="L107" s="189">
        <f t="shared" si="5"/>
        <v>-3644500</v>
      </c>
    </row>
    <row r="108" spans="1:12" ht="69.599999999999994" customHeight="1" x14ac:dyDescent="0.25">
      <c r="A108" s="26"/>
      <c r="B108" s="209">
        <v>5.25</v>
      </c>
      <c r="C108" s="36" t="s">
        <v>599</v>
      </c>
      <c r="D108" s="38" t="s">
        <v>27</v>
      </c>
      <c r="E108" s="42">
        <v>1</v>
      </c>
      <c r="F108" s="37">
        <v>6650000</v>
      </c>
      <c r="G108" s="118">
        <f t="shared" si="4"/>
        <v>6650000</v>
      </c>
      <c r="H108" s="27"/>
      <c r="I108" s="123">
        <v>3800000</v>
      </c>
      <c r="J108" s="123"/>
      <c r="K108" s="185">
        <v>4784000</v>
      </c>
      <c r="L108" s="189">
        <f t="shared" si="5"/>
        <v>-1866000</v>
      </c>
    </row>
    <row r="109" spans="1:12" ht="71.45" customHeight="1" x14ac:dyDescent="0.25">
      <c r="A109" s="26"/>
      <c r="B109" s="209">
        <v>5.25</v>
      </c>
      <c r="C109" s="36" t="s">
        <v>600</v>
      </c>
      <c r="D109" s="38" t="s">
        <v>27</v>
      </c>
      <c r="E109" s="42">
        <v>1</v>
      </c>
      <c r="F109" s="37">
        <v>4287500</v>
      </c>
      <c r="G109" s="118">
        <f t="shared" si="4"/>
        <v>4287500</v>
      </c>
      <c r="H109" s="27"/>
      <c r="I109" s="123">
        <v>2450000</v>
      </c>
      <c r="J109" s="123"/>
      <c r="K109" s="185">
        <v>4784000</v>
      </c>
      <c r="L109" s="189">
        <f t="shared" si="5"/>
        <v>496500</v>
      </c>
    </row>
    <row r="110" spans="1:12" ht="63.95" customHeight="1" x14ac:dyDescent="0.25">
      <c r="A110" s="26"/>
      <c r="B110" s="209">
        <v>5.25</v>
      </c>
      <c r="C110" s="36" t="s">
        <v>601</v>
      </c>
      <c r="D110" s="38" t="s">
        <v>27</v>
      </c>
      <c r="E110" s="42">
        <v>1</v>
      </c>
      <c r="F110" s="37">
        <v>1137500</v>
      </c>
      <c r="G110" s="118">
        <f t="shared" si="4"/>
        <v>1137500</v>
      </c>
      <c r="H110" s="27"/>
      <c r="I110" s="123">
        <v>650000</v>
      </c>
      <c r="J110" s="123"/>
      <c r="K110" s="185">
        <v>4784000</v>
      </c>
      <c r="L110" s="189">
        <f t="shared" si="5"/>
        <v>3646500</v>
      </c>
    </row>
    <row r="111" spans="1:12" ht="24" customHeight="1" x14ac:dyDescent="0.25">
      <c r="A111" s="26"/>
      <c r="B111" s="305" t="s">
        <v>436</v>
      </c>
      <c r="C111" s="306"/>
      <c r="D111" s="306"/>
      <c r="E111" s="306"/>
      <c r="F111" s="100"/>
      <c r="G111" s="101" t="e">
        <f>SUM(G84:G110)</f>
        <v>#REF!</v>
      </c>
      <c r="H111" s="27"/>
      <c r="J111" s="123"/>
      <c r="L111" s="189">
        <f t="shared" si="5"/>
        <v>0</v>
      </c>
    </row>
    <row r="112" spans="1:12" ht="34.5" customHeight="1" x14ac:dyDescent="0.25">
      <c r="A112" s="26"/>
      <c r="B112" s="28">
        <v>6</v>
      </c>
      <c r="C112" s="29" t="s">
        <v>438</v>
      </c>
      <c r="D112" s="30" t="s">
        <v>27</v>
      </c>
      <c r="E112" s="83" t="s">
        <v>28</v>
      </c>
      <c r="F112" s="30" t="s">
        <v>29</v>
      </c>
      <c r="G112" s="32" t="s">
        <v>30</v>
      </c>
      <c r="H112" s="27"/>
      <c r="J112" s="123"/>
      <c r="K112" s="185" t="s">
        <v>29</v>
      </c>
      <c r="L112" s="189"/>
    </row>
    <row r="113" spans="1:20" s="40" customFormat="1" x14ac:dyDescent="0.25">
      <c r="A113" s="39"/>
      <c r="B113" s="211">
        <v>6.1</v>
      </c>
      <c r="C113" s="212" t="s">
        <v>358</v>
      </c>
      <c r="D113" s="34" t="s">
        <v>34</v>
      </c>
      <c r="E113" s="42" t="e">
        <f>+#REF!</f>
        <v>#REF!</v>
      </c>
      <c r="F113" s="37">
        <v>152350</v>
      </c>
      <c r="G113" s="35" t="e">
        <f t="shared" ref="G113:G136" si="6">+E113*F113</f>
        <v>#REF!</v>
      </c>
      <c r="H113" s="27"/>
      <c r="I113" s="159"/>
      <c r="J113" s="123"/>
      <c r="K113" s="187">
        <v>152350</v>
      </c>
      <c r="L113" s="189">
        <f>+K113-F113</f>
        <v>0</v>
      </c>
      <c r="Q113" s="40">
        <f>+O113*1.4</f>
        <v>0</v>
      </c>
    </row>
    <row r="114" spans="1:20" s="40" customFormat="1" ht="38.25" x14ac:dyDescent="0.25">
      <c r="A114" s="39"/>
      <c r="B114" s="210">
        <v>6.2</v>
      </c>
      <c r="C114" s="115" t="s">
        <v>424</v>
      </c>
      <c r="D114" s="38" t="s">
        <v>389</v>
      </c>
      <c r="E114" s="43" t="e">
        <f>+#REF!</f>
        <v>#REF!</v>
      </c>
      <c r="F114" s="117">
        <v>171293</v>
      </c>
      <c r="G114" s="118" t="e">
        <f t="shared" si="6"/>
        <v>#REF!</v>
      </c>
      <c r="H114" s="27"/>
      <c r="I114" s="159"/>
      <c r="J114" s="159"/>
      <c r="K114" s="187"/>
      <c r="L114" s="189"/>
    </row>
    <row r="115" spans="1:20" s="40" customFormat="1" x14ac:dyDescent="0.25">
      <c r="A115" s="39"/>
      <c r="B115" s="211">
        <v>6.3</v>
      </c>
      <c r="C115" s="115" t="s">
        <v>425</v>
      </c>
      <c r="D115" s="38" t="s">
        <v>389</v>
      </c>
      <c r="E115" s="43" t="e">
        <f>+#REF!</f>
        <v>#REF!</v>
      </c>
      <c r="F115" s="117">
        <v>27410</v>
      </c>
      <c r="G115" s="118" t="e">
        <f t="shared" si="6"/>
        <v>#REF!</v>
      </c>
      <c r="H115" s="27"/>
      <c r="I115" s="159"/>
      <c r="J115" s="159"/>
      <c r="K115" s="187"/>
      <c r="L115" s="189"/>
    </row>
    <row r="116" spans="1:20" s="40" customFormat="1" x14ac:dyDescent="0.25">
      <c r="A116" s="39"/>
      <c r="B116" s="210">
        <v>6.4</v>
      </c>
      <c r="C116" s="115" t="s">
        <v>426</v>
      </c>
      <c r="D116" s="38" t="s">
        <v>389</v>
      </c>
      <c r="E116" s="43" t="e">
        <f>+#REF!</f>
        <v>#REF!</v>
      </c>
      <c r="F116" s="117">
        <v>25002</v>
      </c>
      <c r="G116" s="118" t="e">
        <f t="shared" si="6"/>
        <v>#REF!</v>
      </c>
      <c r="H116" s="27"/>
      <c r="I116" s="159"/>
      <c r="J116" s="159"/>
      <c r="K116" s="187"/>
      <c r="L116" s="189"/>
    </row>
    <row r="117" spans="1:20" s="40" customFormat="1" ht="16.5" x14ac:dyDescent="0.25">
      <c r="A117" s="39"/>
      <c r="B117" s="211">
        <v>6.5</v>
      </c>
      <c r="C117" s="115" t="s">
        <v>427</v>
      </c>
      <c r="D117" s="38" t="s">
        <v>34</v>
      </c>
      <c r="E117" s="43" t="e">
        <f>+#REF!</f>
        <v>#REF!</v>
      </c>
      <c r="F117" s="117">
        <v>118800</v>
      </c>
      <c r="G117" s="118" t="e">
        <f t="shared" si="6"/>
        <v>#REF!</v>
      </c>
      <c r="H117" s="27"/>
      <c r="I117" s="159"/>
      <c r="J117" s="159"/>
      <c r="K117" s="187"/>
      <c r="L117" s="189"/>
    </row>
    <row r="118" spans="1:20" s="40" customFormat="1" ht="38.25" x14ac:dyDescent="0.25">
      <c r="A118" s="39"/>
      <c r="B118" s="210">
        <v>6.6</v>
      </c>
      <c r="C118" s="115" t="s">
        <v>428</v>
      </c>
      <c r="D118" s="38" t="s">
        <v>389</v>
      </c>
      <c r="E118" s="43" t="e">
        <f>+#REF!</f>
        <v>#REF!</v>
      </c>
      <c r="F118" s="117">
        <v>10773</v>
      </c>
      <c r="G118" s="118" t="e">
        <f t="shared" si="6"/>
        <v>#REF!</v>
      </c>
      <c r="H118" s="27"/>
      <c r="I118" s="159"/>
      <c r="J118" s="159"/>
      <c r="K118" s="187"/>
      <c r="L118" s="189"/>
    </row>
    <row r="119" spans="1:20" s="40" customFormat="1" ht="16.5" x14ac:dyDescent="0.25">
      <c r="A119" s="39"/>
      <c r="B119" s="211">
        <v>6.7</v>
      </c>
      <c r="C119" s="115" t="s">
        <v>429</v>
      </c>
      <c r="D119" s="38" t="s">
        <v>389</v>
      </c>
      <c r="E119" s="43" t="e">
        <f>+#REF!</f>
        <v>#REF!</v>
      </c>
      <c r="F119" s="117">
        <v>61222</v>
      </c>
      <c r="G119" s="118" t="e">
        <f t="shared" si="6"/>
        <v>#REF!</v>
      </c>
      <c r="H119" s="27"/>
      <c r="I119" s="159">
        <f>54663*1.13</f>
        <v>61769.189999999995</v>
      </c>
      <c r="J119" s="159"/>
      <c r="K119" s="187"/>
      <c r="L119" s="189"/>
    </row>
    <row r="120" spans="1:20" ht="38.25" x14ac:dyDescent="0.25">
      <c r="A120" s="26"/>
      <c r="B120" s="211">
        <v>6.8</v>
      </c>
      <c r="C120" s="212" t="s">
        <v>515</v>
      </c>
      <c r="D120" s="34" t="s">
        <v>389</v>
      </c>
      <c r="E120" s="42" t="e">
        <f>+#REF!</f>
        <v>#REF!</v>
      </c>
      <c r="F120" s="37">
        <v>76867.12</v>
      </c>
      <c r="G120" s="35" t="e">
        <f t="shared" si="6"/>
        <v>#REF!</v>
      </c>
      <c r="H120" s="216"/>
      <c r="I120" s="123"/>
      <c r="J120" s="123"/>
      <c r="K120" s="218"/>
      <c r="L120" s="189"/>
    </row>
    <row r="121" spans="1:20" ht="79.900000000000006" customHeight="1" x14ac:dyDescent="0.25">
      <c r="A121" s="26"/>
      <c r="B121" s="211">
        <v>6.9</v>
      </c>
      <c r="C121" s="115" t="s">
        <v>602</v>
      </c>
      <c r="D121" s="38" t="s">
        <v>27</v>
      </c>
      <c r="E121" s="42">
        <v>1</v>
      </c>
      <c r="F121" s="37">
        <v>1837500</v>
      </c>
      <c r="G121" s="118">
        <f t="shared" si="6"/>
        <v>1837500</v>
      </c>
      <c r="H121" s="27"/>
      <c r="I121" s="123">
        <v>1050000</v>
      </c>
      <c r="J121" s="123"/>
      <c r="K121" s="185">
        <v>9201198</v>
      </c>
      <c r="L121" s="189">
        <v>5300000</v>
      </c>
      <c r="M121" s="189">
        <f>+K121-L121</f>
        <v>3901198</v>
      </c>
      <c r="N121" s="189"/>
      <c r="O121" s="197">
        <f>+M121/L121</f>
        <v>0.73607509433962259</v>
      </c>
      <c r="P121" s="199">
        <f>+O121-1.19</f>
        <v>-0.45392490566037735</v>
      </c>
      <c r="Q121" s="7">
        <f>+F121*1.25</f>
        <v>2296875</v>
      </c>
      <c r="R121" s="121">
        <f>+Q121*0.2</f>
        <v>459375</v>
      </c>
      <c r="S121" s="198">
        <f>+Q121-L121-R121-Q121*0.0883</f>
        <v>-3665314.0625</v>
      </c>
      <c r="T121" s="199">
        <f>+S121/Q121</f>
        <v>-1.5957829931972789</v>
      </c>
    </row>
    <row r="122" spans="1:20" ht="87" customHeight="1" x14ac:dyDescent="0.25">
      <c r="A122" s="26"/>
      <c r="B122" s="210">
        <v>6.1</v>
      </c>
      <c r="C122" s="36" t="s">
        <v>603</v>
      </c>
      <c r="D122" s="38" t="s">
        <v>27</v>
      </c>
      <c r="E122" s="42">
        <v>1</v>
      </c>
      <c r="F122" s="37">
        <v>2450000</v>
      </c>
      <c r="G122" s="118">
        <f t="shared" si="6"/>
        <v>2450000</v>
      </c>
      <c r="H122" s="27"/>
      <c r="I122" s="123">
        <v>1400000</v>
      </c>
      <c r="J122" s="123"/>
      <c r="K122" s="185">
        <v>1372799</v>
      </c>
      <c r="L122" s="189">
        <f t="shared" ref="L122:L137" si="7">+K122-F122</f>
        <v>-1077201</v>
      </c>
    </row>
    <row r="123" spans="1:20" ht="85.15" customHeight="1" x14ac:dyDescent="0.25">
      <c r="A123" s="26"/>
      <c r="B123" s="209">
        <v>6.11</v>
      </c>
      <c r="C123" s="36" t="s">
        <v>604</v>
      </c>
      <c r="D123" s="38" t="s">
        <v>27</v>
      </c>
      <c r="E123" s="42">
        <v>1</v>
      </c>
      <c r="F123" s="37">
        <v>9800000</v>
      </c>
      <c r="G123" s="118">
        <f t="shared" si="6"/>
        <v>9800000</v>
      </c>
      <c r="H123" s="27"/>
      <c r="I123" s="123">
        <v>5600000</v>
      </c>
      <c r="J123" s="123"/>
      <c r="K123" s="185">
        <v>8079175</v>
      </c>
      <c r="L123" s="189">
        <f t="shared" si="7"/>
        <v>-1720825</v>
      </c>
      <c r="P123" s="200"/>
    </row>
    <row r="124" spans="1:20" ht="78" customHeight="1" x14ac:dyDescent="0.25">
      <c r="A124" s="26"/>
      <c r="B124" s="209">
        <v>6.12</v>
      </c>
      <c r="C124" s="36" t="s">
        <v>605</v>
      </c>
      <c r="D124" s="38" t="s">
        <v>27</v>
      </c>
      <c r="E124" s="42">
        <v>1</v>
      </c>
      <c r="F124" s="37">
        <v>8050000</v>
      </c>
      <c r="G124" s="118">
        <f t="shared" si="6"/>
        <v>8050000</v>
      </c>
      <c r="H124" s="27"/>
      <c r="I124" s="123">
        <v>4600000</v>
      </c>
      <c r="J124" s="123"/>
      <c r="K124" s="185">
        <v>2420664</v>
      </c>
      <c r="L124" s="189">
        <f t="shared" si="7"/>
        <v>-5629336</v>
      </c>
      <c r="P124" s="200"/>
    </row>
    <row r="125" spans="1:20" ht="80.45" customHeight="1" x14ac:dyDescent="0.25">
      <c r="A125" s="26"/>
      <c r="B125" s="209">
        <v>6.13</v>
      </c>
      <c r="C125" s="36" t="s">
        <v>606</v>
      </c>
      <c r="D125" s="38" t="s">
        <v>27</v>
      </c>
      <c r="E125" s="42">
        <v>1</v>
      </c>
      <c r="F125" s="37">
        <v>4900000</v>
      </c>
      <c r="G125" s="118">
        <f t="shared" si="6"/>
        <v>4900000</v>
      </c>
      <c r="H125" s="27"/>
      <c r="I125" s="123">
        <v>2800000</v>
      </c>
      <c r="J125" s="123"/>
      <c r="K125" s="185">
        <v>6250503</v>
      </c>
      <c r="L125" s="189">
        <f t="shared" si="7"/>
        <v>1350503</v>
      </c>
    </row>
    <row r="126" spans="1:20" ht="91.5" customHeight="1" x14ac:dyDescent="0.25">
      <c r="A126" s="26"/>
      <c r="B126" s="209">
        <v>6.14</v>
      </c>
      <c r="C126" s="36" t="s">
        <v>607</v>
      </c>
      <c r="D126" s="38" t="s">
        <v>27</v>
      </c>
      <c r="E126" s="42">
        <v>1</v>
      </c>
      <c r="F126" s="37">
        <v>9362500</v>
      </c>
      <c r="G126" s="118">
        <f t="shared" si="6"/>
        <v>9362500</v>
      </c>
      <c r="H126" s="27"/>
      <c r="I126" s="123">
        <v>5350000</v>
      </c>
      <c r="J126" s="123"/>
      <c r="K126" s="185">
        <v>2504932</v>
      </c>
      <c r="L126" s="189">
        <f t="shared" si="7"/>
        <v>-6857568</v>
      </c>
    </row>
    <row r="127" spans="1:20" ht="78.599999999999994" customHeight="1" x14ac:dyDescent="0.25">
      <c r="A127" s="26"/>
      <c r="B127" s="209">
        <v>6.15</v>
      </c>
      <c r="C127" s="36" t="s">
        <v>608</v>
      </c>
      <c r="D127" s="38" t="s">
        <v>27</v>
      </c>
      <c r="E127" s="42">
        <v>1</v>
      </c>
      <c r="F127" s="37">
        <v>2625000</v>
      </c>
      <c r="G127" s="118">
        <f t="shared" si="6"/>
        <v>2625000</v>
      </c>
      <c r="H127" s="27"/>
      <c r="I127" s="123">
        <v>1500000</v>
      </c>
      <c r="J127" s="123"/>
      <c r="K127" s="185">
        <v>854470</v>
      </c>
      <c r="L127" s="189">
        <f t="shared" si="7"/>
        <v>-1770530</v>
      </c>
    </row>
    <row r="128" spans="1:20" ht="73.5" customHeight="1" x14ac:dyDescent="0.25">
      <c r="A128" s="26"/>
      <c r="B128" s="209">
        <v>6.16</v>
      </c>
      <c r="C128" s="36" t="s">
        <v>609</v>
      </c>
      <c r="D128" s="38" t="s">
        <v>27</v>
      </c>
      <c r="E128" s="42">
        <v>1</v>
      </c>
      <c r="F128" s="37">
        <v>2012500</v>
      </c>
      <c r="G128" s="118">
        <f t="shared" si="6"/>
        <v>2012500</v>
      </c>
      <c r="H128" s="27"/>
      <c r="I128" s="123">
        <v>1150000</v>
      </c>
      <c r="J128" s="123"/>
      <c r="K128" s="185">
        <v>1723199</v>
      </c>
      <c r="L128" s="189">
        <f t="shared" si="7"/>
        <v>-289301</v>
      </c>
    </row>
    <row r="129" spans="1:17" ht="70.150000000000006" customHeight="1" x14ac:dyDescent="0.25">
      <c r="A129" s="26"/>
      <c r="B129" s="209">
        <v>6.17</v>
      </c>
      <c r="C129" s="36" t="s">
        <v>610</v>
      </c>
      <c r="D129" s="38" t="s">
        <v>27</v>
      </c>
      <c r="E129" s="42">
        <v>1</v>
      </c>
      <c r="F129" s="37">
        <v>4287500</v>
      </c>
      <c r="G129" s="118">
        <f t="shared" si="6"/>
        <v>4287500</v>
      </c>
      <c r="H129" s="27"/>
      <c r="I129" s="123">
        <v>2450000</v>
      </c>
      <c r="J129" s="123"/>
      <c r="K129" s="185">
        <v>2014817</v>
      </c>
      <c r="L129" s="189">
        <f t="shared" si="7"/>
        <v>-2272683</v>
      </c>
    </row>
    <row r="130" spans="1:17" ht="65.45" customHeight="1" x14ac:dyDescent="0.25">
      <c r="A130" s="26"/>
      <c r="B130" s="209">
        <v>6.18</v>
      </c>
      <c r="C130" s="36" t="s">
        <v>611</v>
      </c>
      <c r="D130" s="38" t="s">
        <v>27</v>
      </c>
      <c r="E130" s="42">
        <v>1</v>
      </c>
      <c r="F130" s="37">
        <v>2450000</v>
      </c>
      <c r="G130" s="118">
        <f t="shared" si="6"/>
        <v>2450000</v>
      </c>
      <c r="H130" s="27"/>
      <c r="I130" s="123">
        <v>1400000</v>
      </c>
      <c r="J130" s="123"/>
      <c r="K130" s="185">
        <v>2081094</v>
      </c>
      <c r="L130" s="189">
        <f t="shared" si="7"/>
        <v>-368906</v>
      </c>
    </row>
    <row r="131" spans="1:17" ht="88.15" customHeight="1" x14ac:dyDescent="0.25">
      <c r="A131" s="26"/>
      <c r="B131" s="209">
        <v>6.19</v>
      </c>
      <c r="C131" s="36" t="s">
        <v>612</v>
      </c>
      <c r="D131" s="38" t="s">
        <v>27</v>
      </c>
      <c r="E131" s="42">
        <v>1</v>
      </c>
      <c r="F131" s="37">
        <v>4287500</v>
      </c>
      <c r="G131" s="118">
        <f t="shared" si="6"/>
        <v>4287500</v>
      </c>
      <c r="H131" s="27"/>
      <c r="I131" s="123">
        <v>2450000</v>
      </c>
      <c r="J131" s="123"/>
      <c r="K131" s="185">
        <v>10929600</v>
      </c>
      <c r="L131" s="189">
        <f t="shared" si="7"/>
        <v>6642100</v>
      </c>
    </row>
    <row r="132" spans="1:17" ht="88.15" customHeight="1" x14ac:dyDescent="0.25">
      <c r="A132" s="26"/>
      <c r="B132" s="209">
        <v>6.2</v>
      </c>
      <c r="C132" s="36" t="s">
        <v>613</v>
      </c>
      <c r="D132" s="38" t="s">
        <v>27</v>
      </c>
      <c r="E132" s="42">
        <v>1</v>
      </c>
      <c r="F132" s="37">
        <v>2975000</v>
      </c>
      <c r="G132" s="118">
        <f t="shared" si="6"/>
        <v>2975000</v>
      </c>
      <c r="H132" s="27"/>
      <c r="I132" s="123">
        <v>1700000</v>
      </c>
      <c r="J132" s="123"/>
      <c r="K132" s="185">
        <v>12028500</v>
      </c>
      <c r="L132" s="189">
        <f t="shared" si="7"/>
        <v>9053500</v>
      </c>
    </row>
    <row r="133" spans="1:17" ht="87" customHeight="1" x14ac:dyDescent="0.25">
      <c r="A133" s="26"/>
      <c r="B133" s="209">
        <v>6.21</v>
      </c>
      <c r="C133" s="36" t="s">
        <v>614</v>
      </c>
      <c r="D133" s="38" t="s">
        <v>27</v>
      </c>
      <c r="E133" s="42">
        <v>1</v>
      </c>
      <c r="F133" s="37">
        <v>5985000</v>
      </c>
      <c r="G133" s="118">
        <f t="shared" si="6"/>
        <v>5985000</v>
      </c>
      <c r="H133" s="27"/>
      <c r="I133" s="123">
        <v>3420000</v>
      </c>
      <c r="J133" s="123"/>
      <c r="K133" s="185">
        <v>10453500</v>
      </c>
      <c r="L133" s="189">
        <f t="shared" si="7"/>
        <v>4468500</v>
      </c>
    </row>
    <row r="134" spans="1:17" ht="87" customHeight="1" x14ac:dyDescent="0.25">
      <c r="A134" s="26"/>
      <c r="B134" s="209">
        <v>6.22</v>
      </c>
      <c r="C134" s="36" t="s">
        <v>615</v>
      </c>
      <c r="D134" s="38" t="s">
        <v>27</v>
      </c>
      <c r="E134" s="42">
        <v>1</v>
      </c>
      <c r="F134" s="37">
        <v>4112500</v>
      </c>
      <c r="G134" s="118">
        <f t="shared" si="6"/>
        <v>4112500</v>
      </c>
      <c r="H134" s="27"/>
      <c r="I134" s="123">
        <v>2350000</v>
      </c>
      <c r="J134" s="123"/>
      <c r="K134" s="185">
        <v>8806500</v>
      </c>
      <c r="L134" s="189">
        <f t="shared" si="7"/>
        <v>4694000</v>
      </c>
    </row>
    <row r="135" spans="1:17" ht="84" customHeight="1" x14ac:dyDescent="0.25">
      <c r="A135" s="26"/>
      <c r="B135" s="209">
        <v>6.23</v>
      </c>
      <c r="C135" s="36" t="s">
        <v>616</v>
      </c>
      <c r="D135" s="38" t="s">
        <v>27</v>
      </c>
      <c r="E135" s="42">
        <v>1</v>
      </c>
      <c r="F135" s="37">
        <v>6650000</v>
      </c>
      <c r="G135" s="118">
        <f t="shared" si="6"/>
        <v>6650000</v>
      </c>
      <c r="H135" s="27"/>
      <c r="I135" s="123">
        <v>3800000</v>
      </c>
      <c r="J135" s="123"/>
      <c r="K135" s="185">
        <v>1166400</v>
      </c>
      <c r="L135" s="189">
        <f t="shared" si="7"/>
        <v>-5483600</v>
      </c>
    </row>
    <row r="136" spans="1:17" ht="80.45" customHeight="1" x14ac:dyDescent="0.25">
      <c r="A136" s="26"/>
      <c r="B136" s="209">
        <v>6.24</v>
      </c>
      <c r="C136" s="36" t="s">
        <v>617</v>
      </c>
      <c r="D136" s="38" t="s">
        <v>27</v>
      </c>
      <c r="E136" s="42">
        <v>1</v>
      </c>
      <c r="F136" s="37">
        <v>1102500</v>
      </c>
      <c r="G136" s="118">
        <f t="shared" si="6"/>
        <v>1102500</v>
      </c>
      <c r="H136" s="27"/>
      <c r="I136" s="123">
        <v>630000</v>
      </c>
      <c r="J136" s="123"/>
      <c r="K136" s="185">
        <v>2568000</v>
      </c>
      <c r="L136" s="189">
        <f t="shared" si="7"/>
        <v>1465500</v>
      </c>
    </row>
    <row r="137" spans="1:17" ht="24" customHeight="1" x14ac:dyDescent="0.25">
      <c r="A137" s="26"/>
      <c r="B137" s="305" t="s">
        <v>437</v>
      </c>
      <c r="C137" s="306"/>
      <c r="D137" s="306"/>
      <c r="E137" s="306"/>
      <c r="F137" s="100"/>
      <c r="G137" s="101" t="e">
        <f>SUM(G113:G136)</f>
        <v>#REF!</v>
      </c>
      <c r="H137" s="27"/>
      <c r="J137" s="123"/>
      <c r="L137" s="189">
        <f t="shared" si="7"/>
        <v>0</v>
      </c>
    </row>
    <row r="138" spans="1:17" ht="34.5" customHeight="1" x14ac:dyDescent="0.25">
      <c r="A138" s="26"/>
      <c r="B138" s="28">
        <v>7</v>
      </c>
      <c r="C138" s="29" t="s">
        <v>439</v>
      </c>
      <c r="D138" s="30" t="s">
        <v>27</v>
      </c>
      <c r="E138" s="83" t="s">
        <v>28</v>
      </c>
      <c r="F138" s="30" t="s">
        <v>29</v>
      </c>
      <c r="G138" s="32" t="s">
        <v>30</v>
      </c>
      <c r="H138" s="27"/>
      <c r="J138" s="123"/>
      <c r="K138" s="185" t="s">
        <v>29</v>
      </c>
      <c r="L138" s="189"/>
    </row>
    <row r="139" spans="1:17" s="40" customFormat="1" x14ac:dyDescent="0.25">
      <c r="A139" s="39"/>
      <c r="B139" s="211">
        <v>7.1</v>
      </c>
      <c r="C139" s="212" t="s">
        <v>358</v>
      </c>
      <c r="D139" s="34" t="s">
        <v>34</v>
      </c>
      <c r="E139" s="42" t="e">
        <f>+#REF!</f>
        <v>#REF!</v>
      </c>
      <c r="F139" s="37">
        <v>152350</v>
      </c>
      <c r="G139" s="35" t="e">
        <f t="shared" ref="G139:G162" si="8">+E139*F139</f>
        <v>#REF!</v>
      </c>
      <c r="H139" s="27"/>
      <c r="I139" s="159"/>
      <c r="J139" s="123"/>
      <c r="K139" s="187">
        <v>152350</v>
      </c>
      <c r="L139" s="189">
        <f>+K139-F139</f>
        <v>0</v>
      </c>
      <c r="Q139" s="40">
        <f>+O139*1.4</f>
        <v>0</v>
      </c>
    </row>
    <row r="140" spans="1:17" s="40" customFormat="1" ht="38.25" x14ac:dyDescent="0.25">
      <c r="A140" s="39"/>
      <c r="B140" s="210">
        <v>7.2</v>
      </c>
      <c r="C140" s="115" t="s">
        <v>424</v>
      </c>
      <c r="D140" s="38" t="s">
        <v>389</v>
      </c>
      <c r="E140" s="43" t="e">
        <f>+#REF!</f>
        <v>#REF!</v>
      </c>
      <c r="F140" s="117">
        <v>171293</v>
      </c>
      <c r="G140" s="118" t="e">
        <f t="shared" si="8"/>
        <v>#REF!</v>
      </c>
      <c r="H140" s="27"/>
      <c r="I140" s="159"/>
      <c r="J140" s="159"/>
      <c r="K140" s="187"/>
      <c r="L140" s="189"/>
    </row>
    <row r="141" spans="1:17" s="40" customFormat="1" x14ac:dyDescent="0.25">
      <c r="A141" s="39"/>
      <c r="B141" s="211">
        <v>7.3</v>
      </c>
      <c r="C141" s="115" t="s">
        <v>425</v>
      </c>
      <c r="D141" s="38" t="s">
        <v>389</v>
      </c>
      <c r="E141" s="43" t="e">
        <f>+#REF!</f>
        <v>#REF!</v>
      </c>
      <c r="F141" s="117">
        <v>27410</v>
      </c>
      <c r="G141" s="118" t="e">
        <f t="shared" si="8"/>
        <v>#REF!</v>
      </c>
      <c r="H141" s="27"/>
      <c r="I141" s="159"/>
      <c r="J141" s="159"/>
      <c r="K141" s="187"/>
      <c r="L141" s="189"/>
    </row>
    <row r="142" spans="1:17" s="40" customFormat="1" x14ac:dyDescent="0.25">
      <c r="A142" s="39"/>
      <c r="B142" s="210">
        <v>7.4</v>
      </c>
      <c r="C142" s="115" t="s">
        <v>426</v>
      </c>
      <c r="D142" s="38" t="s">
        <v>389</v>
      </c>
      <c r="E142" s="43" t="e">
        <f>+#REF!</f>
        <v>#REF!</v>
      </c>
      <c r="F142" s="117">
        <v>25002</v>
      </c>
      <c r="G142" s="118" t="e">
        <f t="shared" si="8"/>
        <v>#REF!</v>
      </c>
      <c r="H142" s="27"/>
      <c r="I142" s="159"/>
      <c r="J142" s="159"/>
      <c r="K142" s="187"/>
      <c r="L142" s="189"/>
    </row>
    <row r="143" spans="1:17" s="40" customFormat="1" ht="16.5" x14ac:dyDescent="0.25">
      <c r="A143" s="39"/>
      <c r="B143" s="211">
        <v>7.5</v>
      </c>
      <c r="C143" s="115" t="s">
        <v>427</v>
      </c>
      <c r="D143" s="38" t="s">
        <v>34</v>
      </c>
      <c r="E143" s="43" t="e">
        <f>+#REF!</f>
        <v>#REF!</v>
      </c>
      <c r="F143" s="117">
        <v>118800</v>
      </c>
      <c r="G143" s="118" t="e">
        <f t="shared" si="8"/>
        <v>#REF!</v>
      </c>
      <c r="H143" s="27"/>
      <c r="I143" s="159"/>
      <c r="J143" s="159"/>
      <c r="K143" s="187"/>
      <c r="L143" s="189"/>
    </row>
    <row r="144" spans="1:17" s="40" customFormat="1" ht="38.25" x14ac:dyDescent="0.25">
      <c r="A144" s="39"/>
      <c r="B144" s="210">
        <v>7.6</v>
      </c>
      <c r="C144" s="115" t="s">
        <v>428</v>
      </c>
      <c r="D144" s="38" t="s">
        <v>389</v>
      </c>
      <c r="E144" s="43" t="e">
        <f>+#REF!</f>
        <v>#REF!</v>
      </c>
      <c r="F144" s="117">
        <v>10773</v>
      </c>
      <c r="G144" s="118" t="e">
        <f t="shared" si="8"/>
        <v>#REF!</v>
      </c>
      <c r="H144" s="27"/>
      <c r="I144" s="159"/>
      <c r="J144" s="159"/>
      <c r="K144" s="187"/>
      <c r="L144" s="189"/>
    </row>
    <row r="145" spans="1:20" s="40" customFormat="1" ht="16.5" x14ac:dyDescent="0.25">
      <c r="A145" s="39"/>
      <c r="B145" s="211">
        <v>7.7</v>
      </c>
      <c r="C145" s="115" t="s">
        <v>429</v>
      </c>
      <c r="D145" s="38" t="s">
        <v>389</v>
      </c>
      <c r="E145" s="43" t="e">
        <f>+#REF!</f>
        <v>#REF!</v>
      </c>
      <c r="F145" s="117">
        <v>61222</v>
      </c>
      <c r="G145" s="118" t="e">
        <f t="shared" si="8"/>
        <v>#REF!</v>
      </c>
      <c r="H145" s="27"/>
      <c r="I145" s="159">
        <f>54663*1.13</f>
        <v>61769.189999999995</v>
      </c>
      <c r="J145" s="159"/>
      <c r="K145" s="187"/>
      <c r="L145" s="189"/>
    </row>
    <row r="146" spans="1:20" ht="38.25" x14ac:dyDescent="0.25">
      <c r="A146" s="26"/>
      <c r="B146" s="211">
        <v>7.8</v>
      </c>
      <c r="C146" s="212" t="s">
        <v>515</v>
      </c>
      <c r="D146" s="34" t="s">
        <v>389</v>
      </c>
      <c r="E146" s="42" t="e">
        <f>+#REF!</f>
        <v>#REF!</v>
      </c>
      <c r="F146" s="37">
        <v>76867.12</v>
      </c>
      <c r="G146" s="35" t="e">
        <f t="shared" si="8"/>
        <v>#REF!</v>
      </c>
      <c r="H146" s="216"/>
      <c r="I146" s="123"/>
      <c r="J146" s="123"/>
      <c r="K146" s="218"/>
      <c r="L146" s="189"/>
    </row>
    <row r="147" spans="1:20" ht="79.900000000000006" customHeight="1" x14ac:dyDescent="0.25">
      <c r="A147" s="26"/>
      <c r="B147" s="210">
        <v>7.9</v>
      </c>
      <c r="C147" s="115" t="s">
        <v>633</v>
      </c>
      <c r="D147" s="38" t="s">
        <v>27</v>
      </c>
      <c r="E147" s="42">
        <v>1</v>
      </c>
      <c r="F147" s="37">
        <v>1925000</v>
      </c>
      <c r="G147" s="118">
        <f t="shared" si="8"/>
        <v>1925000</v>
      </c>
      <c r="H147" s="27"/>
      <c r="I147" s="123">
        <v>1100000</v>
      </c>
      <c r="J147" s="123"/>
      <c r="K147" s="185">
        <v>9201198</v>
      </c>
      <c r="L147" s="189">
        <v>5300000</v>
      </c>
      <c r="M147" s="189">
        <f>+K147-L147</f>
        <v>3901198</v>
      </c>
      <c r="N147" s="189"/>
      <c r="O147" s="197">
        <f>+M147/L147</f>
        <v>0.73607509433962259</v>
      </c>
      <c r="P147" s="199">
        <f>+O147-1.19</f>
        <v>-0.45392490566037735</v>
      </c>
      <c r="Q147" s="7">
        <f>+F147*1.25</f>
        <v>2406250</v>
      </c>
      <c r="R147" s="121">
        <f>+Q147*0.2</f>
        <v>481250</v>
      </c>
      <c r="S147" s="198">
        <f>+Q147-L147-R147-Q147*0.0883</f>
        <v>-3587471.875</v>
      </c>
      <c r="T147" s="199">
        <f>+S147/Q147</f>
        <v>-1.4908974025974027</v>
      </c>
    </row>
    <row r="148" spans="1:20" ht="69.95" customHeight="1" x14ac:dyDescent="0.25">
      <c r="A148" s="26"/>
      <c r="B148" s="211">
        <v>7.1</v>
      </c>
      <c r="C148" s="36" t="s">
        <v>618</v>
      </c>
      <c r="D148" s="38" t="s">
        <v>27</v>
      </c>
      <c r="E148" s="42">
        <v>1</v>
      </c>
      <c r="F148" s="37">
        <v>2485000</v>
      </c>
      <c r="G148" s="118">
        <f t="shared" si="8"/>
        <v>2485000</v>
      </c>
      <c r="H148" s="27"/>
      <c r="I148" s="123">
        <v>1420000</v>
      </c>
      <c r="J148" s="123"/>
      <c r="K148" s="185">
        <v>1372799</v>
      </c>
      <c r="L148" s="189">
        <f t="shared" ref="L148:L163" si="9">+K148-F148</f>
        <v>-1112201</v>
      </c>
    </row>
    <row r="149" spans="1:20" ht="71.45" customHeight="1" x14ac:dyDescent="0.25">
      <c r="A149" s="26"/>
      <c r="B149" s="209">
        <v>7.11</v>
      </c>
      <c r="C149" s="36" t="s">
        <v>619</v>
      </c>
      <c r="D149" s="38" t="s">
        <v>27</v>
      </c>
      <c r="E149" s="42">
        <v>1</v>
      </c>
      <c r="F149" s="37">
        <v>10062500</v>
      </c>
      <c r="G149" s="118">
        <f t="shared" si="8"/>
        <v>10062500</v>
      </c>
      <c r="H149" s="27"/>
      <c r="I149" s="123">
        <v>5750000</v>
      </c>
      <c r="J149" s="123"/>
      <c r="K149" s="185">
        <v>8079175</v>
      </c>
      <c r="L149" s="189">
        <f t="shared" si="9"/>
        <v>-1983325</v>
      </c>
      <c r="P149" s="200"/>
    </row>
    <row r="150" spans="1:20" ht="64.5" customHeight="1" x14ac:dyDescent="0.25">
      <c r="A150" s="26"/>
      <c r="B150" s="213">
        <v>7.12</v>
      </c>
      <c r="C150" s="36" t="s">
        <v>620</v>
      </c>
      <c r="D150" s="38" t="s">
        <v>27</v>
      </c>
      <c r="E150" s="42">
        <v>1</v>
      </c>
      <c r="F150" s="37">
        <v>6212500</v>
      </c>
      <c r="G150" s="118">
        <f t="shared" si="8"/>
        <v>6212500</v>
      </c>
      <c r="H150" s="27"/>
      <c r="I150" s="123">
        <v>3550000</v>
      </c>
      <c r="J150" s="123"/>
      <c r="K150" s="185">
        <v>2420664</v>
      </c>
      <c r="L150" s="189">
        <f t="shared" si="9"/>
        <v>-3791836</v>
      </c>
      <c r="P150" s="200"/>
    </row>
    <row r="151" spans="1:20" ht="71.099999999999994" customHeight="1" x14ac:dyDescent="0.25">
      <c r="A151" s="26"/>
      <c r="B151" s="209">
        <v>7.13</v>
      </c>
      <c r="C151" s="36" t="s">
        <v>621</v>
      </c>
      <c r="D151" s="38" t="s">
        <v>27</v>
      </c>
      <c r="E151" s="42">
        <v>1</v>
      </c>
      <c r="F151" s="37">
        <v>6037500</v>
      </c>
      <c r="G151" s="118">
        <f t="shared" si="8"/>
        <v>6037500</v>
      </c>
      <c r="H151" s="27"/>
      <c r="I151" s="123">
        <v>3450000</v>
      </c>
      <c r="J151" s="123"/>
      <c r="K151" s="185">
        <v>6250503</v>
      </c>
      <c r="L151" s="189">
        <f t="shared" si="9"/>
        <v>213003</v>
      </c>
    </row>
    <row r="152" spans="1:20" ht="78" customHeight="1" x14ac:dyDescent="0.25">
      <c r="A152" s="26"/>
      <c r="B152" s="213">
        <v>7.14</v>
      </c>
      <c r="C152" s="36" t="s">
        <v>622</v>
      </c>
      <c r="D152" s="38" t="s">
        <v>27</v>
      </c>
      <c r="E152" s="42">
        <v>1</v>
      </c>
      <c r="F152" s="37">
        <v>5075000</v>
      </c>
      <c r="G152" s="118">
        <f t="shared" si="8"/>
        <v>5075000</v>
      </c>
      <c r="H152" s="27"/>
      <c r="I152" s="123">
        <v>2900000</v>
      </c>
      <c r="J152" s="123"/>
      <c r="K152" s="185">
        <v>2504932</v>
      </c>
      <c r="L152" s="189">
        <f t="shared" si="9"/>
        <v>-2570068</v>
      </c>
    </row>
    <row r="153" spans="1:20" ht="78.599999999999994" customHeight="1" x14ac:dyDescent="0.25">
      <c r="A153" s="26"/>
      <c r="B153" s="209">
        <v>7.15</v>
      </c>
      <c r="C153" s="36" t="s">
        <v>623</v>
      </c>
      <c r="D153" s="38" t="s">
        <v>27</v>
      </c>
      <c r="E153" s="42">
        <v>1</v>
      </c>
      <c r="F153" s="37">
        <v>4987500</v>
      </c>
      <c r="G153" s="118">
        <f t="shared" si="8"/>
        <v>4987500</v>
      </c>
      <c r="H153" s="27"/>
      <c r="I153" s="123">
        <v>2850000</v>
      </c>
      <c r="J153" s="123"/>
      <c r="K153" s="185">
        <v>854470</v>
      </c>
      <c r="L153" s="189">
        <f t="shared" si="9"/>
        <v>-4133030</v>
      </c>
    </row>
    <row r="154" spans="1:20" ht="63.6" customHeight="1" x14ac:dyDescent="0.25">
      <c r="A154" s="26"/>
      <c r="B154" s="213">
        <v>7.16</v>
      </c>
      <c r="C154" s="36" t="s">
        <v>624</v>
      </c>
      <c r="D154" s="38" t="s">
        <v>27</v>
      </c>
      <c r="E154" s="42">
        <v>1</v>
      </c>
      <c r="F154" s="37">
        <v>2660000</v>
      </c>
      <c r="G154" s="118">
        <f t="shared" si="8"/>
        <v>2660000</v>
      </c>
      <c r="H154" s="27"/>
      <c r="I154" s="123">
        <v>1520000</v>
      </c>
      <c r="J154" s="123"/>
      <c r="K154" s="185">
        <v>1723199</v>
      </c>
      <c r="L154" s="189">
        <f t="shared" si="9"/>
        <v>-936801</v>
      </c>
    </row>
    <row r="155" spans="1:20" ht="72.95" customHeight="1" x14ac:dyDescent="0.25">
      <c r="A155" s="26"/>
      <c r="B155" s="209">
        <v>7.17</v>
      </c>
      <c r="C155" s="36" t="s">
        <v>625</v>
      </c>
      <c r="D155" s="38" t="s">
        <v>27</v>
      </c>
      <c r="E155" s="42">
        <v>1</v>
      </c>
      <c r="F155" s="37">
        <v>6562500</v>
      </c>
      <c r="G155" s="118">
        <f t="shared" si="8"/>
        <v>6562500</v>
      </c>
      <c r="H155" s="27"/>
      <c r="I155" s="123">
        <v>3750000</v>
      </c>
      <c r="J155" s="123"/>
      <c r="K155" s="185">
        <v>2014817</v>
      </c>
      <c r="L155" s="189">
        <f t="shared" si="9"/>
        <v>-4547683</v>
      </c>
    </row>
    <row r="156" spans="1:20" ht="65.45" customHeight="1" x14ac:dyDescent="0.25">
      <c r="A156" s="26"/>
      <c r="B156" s="213">
        <v>7.18</v>
      </c>
      <c r="C156" s="36" t="s">
        <v>626</v>
      </c>
      <c r="D156" s="38" t="s">
        <v>27</v>
      </c>
      <c r="E156" s="42">
        <v>1</v>
      </c>
      <c r="F156" s="37">
        <v>2450000</v>
      </c>
      <c r="G156" s="118">
        <f t="shared" si="8"/>
        <v>2450000</v>
      </c>
      <c r="H156" s="27"/>
      <c r="I156" s="123">
        <v>1400000</v>
      </c>
      <c r="J156" s="123"/>
      <c r="K156" s="185">
        <v>2081094</v>
      </c>
      <c r="L156" s="189">
        <f t="shared" si="9"/>
        <v>-368906</v>
      </c>
    </row>
    <row r="157" spans="1:20" ht="79.5" customHeight="1" x14ac:dyDescent="0.25">
      <c r="A157" s="26"/>
      <c r="B157" s="209">
        <v>7.19</v>
      </c>
      <c r="C157" s="36" t="s">
        <v>627</v>
      </c>
      <c r="D157" s="38" t="s">
        <v>27</v>
      </c>
      <c r="E157" s="42">
        <v>1</v>
      </c>
      <c r="F157" s="37">
        <v>4637500</v>
      </c>
      <c r="G157" s="118">
        <f t="shared" si="8"/>
        <v>4637500</v>
      </c>
      <c r="H157" s="27"/>
      <c r="I157" s="123">
        <v>2650000</v>
      </c>
      <c r="J157" s="123"/>
      <c r="K157" s="185">
        <v>10929600</v>
      </c>
      <c r="L157" s="189">
        <f t="shared" si="9"/>
        <v>6292100</v>
      </c>
    </row>
    <row r="158" spans="1:20" ht="88.15" customHeight="1" x14ac:dyDescent="0.25">
      <c r="A158" s="26"/>
      <c r="B158" s="213">
        <v>7.2</v>
      </c>
      <c r="C158" s="36" t="s">
        <v>628</v>
      </c>
      <c r="D158" s="38" t="s">
        <v>27</v>
      </c>
      <c r="E158" s="42">
        <v>1</v>
      </c>
      <c r="F158" s="37">
        <v>3062500</v>
      </c>
      <c r="G158" s="118">
        <f t="shared" si="8"/>
        <v>3062500</v>
      </c>
      <c r="H158" s="27"/>
      <c r="I158" s="123">
        <v>1750000</v>
      </c>
      <c r="J158" s="123"/>
      <c r="K158" s="185">
        <v>12028500</v>
      </c>
      <c r="L158" s="189">
        <f t="shared" si="9"/>
        <v>8966000</v>
      </c>
    </row>
    <row r="159" spans="1:20" ht="75.599999999999994" customHeight="1" x14ac:dyDescent="0.25">
      <c r="A159" s="26"/>
      <c r="B159" s="209">
        <v>7.21</v>
      </c>
      <c r="C159" s="36" t="s">
        <v>629</v>
      </c>
      <c r="D159" s="38" t="s">
        <v>27</v>
      </c>
      <c r="E159" s="42">
        <v>1</v>
      </c>
      <c r="F159" s="37">
        <v>5075000</v>
      </c>
      <c r="G159" s="118">
        <f t="shared" si="8"/>
        <v>5075000</v>
      </c>
      <c r="H159" s="27"/>
      <c r="I159" s="123">
        <v>2900000</v>
      </c>
      <c r="J159" s="123"/>
      <c r="K159" s="185">
        <v>10453500</v>
      </c>
      <c r="L159" s="189">
        <f t="shared" si="9"/>
        <v>5378500</v>
      </c>
    </row>
    <row r="160" spans="1:20" ht="73.5" customHeight="1" x14ac:dyDescent="0.25">
      <c r="A160" s="26"/>
      <c r="B160" s="213">
        <v>7.22</v>
      </c>
      <c r="C160" s="36" t="s">
        <v>630</v>
      </c>
      <c r="D160" s="38" t="s">
        <v>27</v>
      </c>
      <c r="E160" s="42">
        <v>1</v>
      </c>
      <c r="F160" s="37">
        <v>5075000</v>
      </c>
      <c r="G160" s="118">
        <f t="shared" si="8"/>
        <v>5075000</v>
      </c>
      <c r="H160" s="27"/>
      <c r="I160" s="123">
        <v>2900000</v>
      </c>
      <c r="J160" s="123"/>
      <c r="K160" s="185">
        <v>8806500</v>
      </c>
      <c r="L160" s="189">
        <f t="shared" si="9"/>
        <v>3731500</v>
      </c>
    </row>
    <row r="161" spans="1:15" ht="68.099999999999994" customHeight="1" x14ac:dyDescent="0.25">
      <c r="A161" s="26"/>
      <c r="B161" s="209">
        <v>7.23</v>
      </c>
      <c r="C161" s="36" t="s">
        <v>631</v>
      </c>
      <c r="D161" s="38" t="s">
        <v>27</v>
      </c>
      <c r="E161" s="42">
        <v>1</v>
      </c>
      <c r="F161" s="37">
        <v>5950000</v>
      </c>
      <c r="G161" s="118">
        <f t="shared" si="8"/>
        <v>5950000</v>
      </c>
      <c r="H161" s="27"/>
      <c r="I161" s="123">
        <v>3400000</v>
      </c>
      <c r="J161" s="123"/>
      <c r="K161" s="185">
        <v>1166400</v>
      </c>
      <c r="L161" s="189">
        <f t="shared" si="9"/>
        <v>-4783600</v>
      </c>
    </row>
    <row r="162" spans="1:15" ht="72" customHeight="1" x14ac:dyDescent="0.25">
      <c r="A162" s="26"/>
      <c r="B162" s="213">
        <v>7.24</v>
      </c>
      <c r="C162" s="36" t="s">
        <v>632</v>
      </c>
      <c r="D162" s="38" t="s">
        <v>27</v>
      </c>
      <c r="E162" s="42">
        <v>1</v>
      </c>
      <c r="F162" s="37">
        <v>1137500</v>
      </c>
      <c r="G162" s="118">
        <f t="shared" si="8"/>
        <v>1137500</v>
      </c>
      <c r="H162" s="27"/>
      <c r="I162" s="123">
        <v>650000</v>
      </c>
      <c r="J162" s="123"/>
      <c r="K162" s="185">
        <v>2568000</v>
      </c>
      <c r="L162" s="189">
        <f t="shared" si="9"/>
        <v>1430500</v>
      </c>
    </row>
    <row r="163" spans="1:15" ht="24" customHeight="1" x14ac:dyDescent="0.25">
      <c r="A163" s="26"/>
      <c r="B163" s="305" t="s">
        <v>440</v>
      </c>
      <c r="C163" s="306"/>
      <c r="D163" s="306"/>
      <c r="E163" s="306"/>
      <c r="F163" s="100"/>
      <c r="G163" s="101" t="e">
        <f>SUM(G139:G162)</f>
        <v>#REF!</v>
      </c>
      <c r="H163" s="27"/>
      <c r="L163" s="189">
        <f t="shared" si="9"/>
        <v>0</v>
      </c>
    </row>
    <row r="164" spans="1:15" ht="48" customHeight="1" x14ac:dyDescent="0.25">
      <c r="A164" s="26"/>
      <c r="B164" s="28">
        <v>10</v>
      </c>
      <c r="C164" s="105" t="s">
        <v>490</v>
      </c>
      <c r="D164" s="30" t="s">
        <v>27</v>
      </c>
      <c r="E164" s="83" t="s">
        <v>28</v>
      </c>
      <c r="F164" s="30" t="s">
        <v>29</v>
      </c>
      <c r="G164" s="32" t="s">
        <v>30</v>
      </c>
      <c r="H164" s="27"/>
    </row>
    <row r="165" spans="1:15" ht="63.75" customHeight="1" x14ac:dyDescent="0.25">
      <c r="A165" s="26"/>
      <c r="B165" s="33">
        <v>10.1</v>
      </c>
      <c r="C165" s="41" t="s">
        <v>487</v>
      </c>
      <c r="D165" s="34" t="s">
        <v>34</v>
      </c>
      <c r="E165" s="42">
        <v>31</v>
      </c>
      <c r="F165" s="119">
        <v>37500</v>
      </c>
      <c r="G165" s="35">
        <f t="shared" ref="G165:G178" si="10">+E165*F165</f>
        <v>1162500</v>
      </c>
      <c r="H165" s="216"/>
      <c r="I165" s="123"/>
      <c r="J165" s="224"/>
      <c r="K165" s="218"/>
      <c r="L165" s="189"/>
    </row>
    <row r="166" spans="1:15" ht="63.75" customHeight="1" x14ac:dyDescent="0.25">
      <c r="A166" s="26"/>
      <c r="B166" s="33">
        <v>10.199999999999999</v>
      </c>
      <c r="C166" s="41" t="s">
        <v>486</v>
      </c>
      <c r="D166" s="34" t="s">
        <v>34</v>
      </c>
      <c r="E166" s="42">
        <v>16</v>
      </c>
      <c r="F166" s="119">
        <v>46800</v>
      </c>
      <c r="G166" s="35">
        <f t="shared" si="10"/>
        <v>748800</v>
      </c>
      <c r="H166" s="216"/>
      <c r="I166" s="123"/>
      <c r="J166" s="224"/>
      <c r="K166" s="218">
        <f>+J166*1.8</f>
        <v>0</v>
      </c>
      <c r="L166" s="189"/>
    </row>
    <row r="167" spans="1:15" ht="51.75" customHeight="1" x14ac:dyDescent="0.25">
      <c r="A167" s="26"/>
      <c r="B167" s="33">
        <v>10.3</v>
      </c>
      <c r="C167" s="36" t="s">
        <v>459</v>
      </c>
      <c r="D167" s="38" t="s">
        <v>48</v>
      </c>
      <c r="E167" s="43">
        <f>62+2.5</f>
        <v>64.5</v>
      </c>
      <c r="F167" s="119">
        <v>174293</v>
      </c>
      <c r="G167" s="35">
        <f t="shared" si="10"/>
        <v>11241898.5</v>
      </c>
      <c r="H167" s="27"/>
      <c r="I167" s="123"/>
      <c r="J167" s="215"/>
      <c r="L167" s="189"/>
    </row>
    <row r="168" spans="1:15" ht="46.5" customHeight="1" x14ac:dyDescent="0.25">
      <c r="A168" s="26"/>
      <c r="B168" s="33">
        <v>10.4</v>
      </c>
      <c r="C168" s="36" t="s">
        <v>465</v>
      </c>
      <c r="D168" s="38" t="s">
        <v>34</v>
      </c>
      <c r="E168" s="43">
        <f>5.08*2.69</f>
        <v>13.6652</v>
      </c>
      <c r="F168" s="119">
        <v>147320</v>
      </c>
      <c r="G168" s="35">
        <f t="shared" si="10"/>
        <v>2013157.264</v>
      </c>
      <c r="H168" s="27"/>
      <c r="I168" s="123"/>
      <c r="J168" s="215"/>
      <c r="L168" s="189"/>
    </row>
    <row r="169" spans="1:15" ht="42" customHeight="1" x14ac:dyDescent="0.25">
      <c r="A169" s="26"/>
      <c r="B169" s="33">
        <v>10.5</v>
      </c>
      <c r="C169" s="36" t="s">
        <v>460</v>
      </c>
      <c r="D169" s="38" t="s">
        <v>34</v>
      </c>
      <c r="E169" s="43">
        <f>+E168</f>
        <v>13.6652</v>
      </c>
      <c r="F169" s="119">
        <v>98835</v>
      </c>
      <c r="G169" s="35">
        <f t="shared" si="10"/>
        <v>1350600.0420000001</v>
      </c>
      <c r="H169" s="27"/>
      <c r="I169" s="123"/>
      <c r="J169" s="215"/>
      <c r="L169" s="189"/>
    </row>
    <row r="170" spans="1:15" ht="51.75" customHeight="1" x14ac:dyDescent="0.25">
      <c r="A170" s="26"/>
      <c r="B170" s="33">
        <v>10.6</v>
      </c>
      <c r="C170" s="41" t="s">
        <v>478</v>
      </c>
      <c r="D170" s="34" t="s">
        <v>34</v>
      </c>
      <c r="E170" s="42">
        <v>13.5</v>
      </c>
      <c r="F170" s="119">
        <v>98150</v>
      </c>
      <c r="G170" s="35">
        <f t="shared" si="10"/>
        <v>1325025</v>
      </c>
      <c r="H170" s="27"/>
      <c r="I170" s="123"/>
      <c r="J170" s="215"/>
      <c r="L170" s="189"/>
    </row>
    <row r="171" spans="1:15" ht="35.25" customHeight="1" x14ac:dyDescent="0.25">
      <c r="A171" s="26"/>
      <c r="B171" s="33">
        <v>10.7</v>
      </c>
      <c r="C171" s="41" t="s">
        <v>477</v>
      </c>
      <c r="D171" s="34" t="s">
        <v>27</v>
      </c>
      <c r="E171" s="42">
        <v>1</v>
      </c>
      <c r="F171" s="119">
        <v>187000</v>
      </c>
      <c r="G171" s="35">
        <f t="shared" si="10"/>
        <v>187000</v>
      </c>
      <c r="H171" s="27"/>
      <c r="I171" s="123"/>
      <c r="J171" s="215"/>
      <c r="L171" s="189"/>
    </row>
    <row r="172" spans="1:15" ht="35.25" customHeight="1" x14ac:dyDescent="0.25">
      <c r="A172" s="26"/>
      <c r="B172" s="33">
        <v>10.8</v>
      </c>
      <c r="C172" s="41" t="s">
        <v>502</v>
      </c>
      <c r="D172" s="34" t="s">
        <v>27</v>
      </c>
      <c r="E172" s="42">
        <v>2</v>
      </c>
      <c r="F172" s="119">
        <v>99900</v>
      </c>
      <c r="G172" s="35">
        <f t="shared" si="10"/>
        <v>199800</v>
      </c>
      <c r="H172" s="27"/>
      <c r="I172" s="123"/>
      <c r="J172" s="215"/>
      <c r="K172" s="185">
        <f>(30500+25000)*1.8</f>
        <v>99900</v>
      </c>
      <c r="L172" s="189"/>
    </row>
    <row r="173" spans="1:15" ht="51.75" customHeight="1" x14ac:dyDescent="0.25">
      <c r="A173" s="26"/>
      <c r="B173" s="33">
        <v>10.9</v>
      </c>
      <c r="C173" s="41" t="s">
        <v>468</v>
      </c>
      <c r="D173" s="34" t="s">
        <v>27</v>
      </c>
      <c r="E173" s="42">
        <v>1</v>
      </c>
      <c r="F173" s="119">
        <v>3158000</v>
      </c>
      <c r="G173" s="35">
        <f t="shared" si="10"/>
        <v>3158000</v>
      </c>
      <c r="H173" s="27"/>
      <c r="I173" s="123"/>
      <c r="J173" s="215"/>
      <c r="K173" s="185">
        <f>+J172+720000*1.7</f>
        <v>1224000</v>
      </c>
      <c r="L173" s="189"/>
    </row>
    <row r="174" spans="1:15" ht="126.75" customHeight="1" x14ac:dyDescent="0.25">
      <c r="A174" s="26"/>
      <c r="B174" s="213">
        <v>10.1</v>
      </c>
      <c r="C174" s="41" t="s">
        <v>471</v>
      </c>
      <c r="D174" s="34" t="s">
        <v>27</v>
      </c>
      <c r="E174" s="42">
        <v>16</v>
      </c>
      <c r="F174" s="119">
        <v>294362</v>
      </c>
      <c r="G174" s="35">
        <f t="shared" si="10"/>
        <v>4709792</v>
      </c>
      <c r="H174" s="27"/>
      <c r="I174" s="123"/>
      <c r="J174" s="215"/>
      <c r="L174" s="189"/>
      <c r="N174" s="7">
        <f>10200+25000</f>
        <v>35200</v>
      </c>
      <c r="O174" s="7">
        <f>+N174*1.8</f>
        <v>63360</v>
      </c>
    </row>
    <row r="175" spans="1:15" ht="39.75" customHeight="1" x14ac:dyDescent="0.25">
      <c r="A175" s="26"/>
      <c r="B175" s="33">
        <v>10.11</v>
      </c>
      <c r="C175" s="41" t="s">
        <v>501</v>
      </c>
      <c r="D175" s="34" t="s">
        <v>27</v>
      </c>
      <c r="E175" s="42">
        <v>2</v>
      </c>
      <c r="F175" s="119">
        <v>313458.2</v>
      </c>
      <c r="G175" s="35">
        <f t="shared" si="10"/>
        <v>626916.4</v>
      </c>
      <c r="H175" s="27"/>
      <c r="I175" s="123"/>
      <c r="J175" s="215"/>
      <c r="K175" s="185">
        <f>+J175*1.8</f>
        <v>0</v>
      </c>
      <c r="L175" s="189">
        <f>77158*1.15</f>
        <v>88731.7</v>
      </c>
    </row>
    <row r="176" spans="1:15" ht="63" customHeight="1" x14ac:dyDescent="0.25">
      <c r="A176" s="26"/>
      <c r="B176" s="213">
        <v>10.119999999999999</v>
      </c>
      <c r="C176" s="41" t="s">
        <v>500</v>
      </c>
      <c r="D176" s="34" t="s">
        <v>27</v>
      </c>
      <c r="E176" s="42">
        <v>5</v>
      </c>
      <c r="F176" s="119">
        <v>63360</v>
      </c>
      <c r="G176" s="35">
        <f t="shared" si="10"/>
        <v>316800</v>
      </c>
      <c r="H176" s="27"/>
      <c r="I176" s="123"/>
      <c r="J176" s="215"/>
      <c r="L176" s="189"/>
    </row>
    <row r="177" spans="1:13" ht="68.099999999999994" customHeight="1" x14ac:dyDescent="0.25">
      <c r="A177" s="26"/>
      <c r="B177" s="33">
        <v>10.130000000000001</v>
      </c>
      <c r="C177" s="41" t="s">
        <v>382</v>
      </c>
      <c r="D177" s="34" t="s">
        <v>27</v>
      </c>
      <c r="E177" s="42">
        <v>5</v>
      </c>
      <c r="F177" s="119">
        <v>371741</v>
      </c>
      <c r="G177" s="35">
        <f t="shared" si="10"/>
        <v>1858705</v>
      </c>
      <c r="H177" s="27"/>
      <c r="I177" s="123"/>
      <c r="J177" s="215"/>
      <c r="L177" s="189">
        <f>90000+20000</f>
        <v>110000</v>
      </c>
      <c r="M177" s="7">
        <f>+L177*1.7</f>
        <v>187000</v>
      </c>
    </row>
    <row r="178" spans="1:13" ht="58.5" customHeight="1" x14ac:dyDescent="0.25">
      <c r="A178" s="26"/>
      <c r="B178" s="213">
        <v>10.14</v>
      </c>
      <c r="C178" s="41" t="s">
        <v>484</v>
      </c>
      <c r="D178" s="34" t="s">
        <v>34</v>
      </c>
      <c r="E178" s="42">
        <f>+(2.3*0.32*4)+(5.4*1.2)</f>
        <v>9.4239999999999995</v>
      </c>
      <c r="F178" s="119">
        <v>375822</v>
      </c>
      <c r="G178" s="35">
        <f t="shared" si="10"/>
        <v>3541746.5279999999</v>
      </c>
      <c r="H178" s="216"/>
      <c r="I178" s="123"/>
      <c r="J178" s="224"/>
      <c r="K178" s="218"/>
      <c r="L178" s="189"/>
    </row>
    <row r="179" spans="1:13" ht="58.5" customHeight="1" x14ac:dyDescent="0.25">
      <c r="A179" s="26"/>
      <c r="B179" s="33">
        <v>10.15</v>
      </c>
      <c r="C179" s="41" t="s">
        <v>497</v>
      </c>
      <c r="D179" s="34" t="s">
        <v>48</v>
      </c>
      <c r="E179" s="42">
        <v>5.4</v>
      </c>
      <c r="F179" s="119">
        <v>71100</v>
      </c>
      <c r="G179" s="35">
        <f>+E179*F179</f>
        <v>383940</v>
      </c>
      <c r="H179" s="216"/>
      <c r="I179" s="123"/>
      <c r="J179" s="224"/>
      <c r="K179" s="218">
        <f>+J179/3</f>
        <v>0</v>
      </c>
      <c r="L179" s="189">
        <f>+F179+K179</f>
        <v>71100</v>
      </c>
    </row>
    <row r="180" spans="1:13" ht="58.5" customHeight="1" x14ac:dyDescent="0.25">
      <c r="A180" s="26"/>
      <c r="B180" s="213">
        <v>10.16</v>
      </c>
      <c r="C180" s="41" t="s">
        <v>511</v>
      </c>
      <c r="D180" s="34" t="s">
        <v>34</v>
      </c>
      <c r="E180" s="42">
        <v>12.34</v>
      </c>
      <c r="F180" s="119">
        <v>296689</v>
      </c>
      <c r="G180" s="35">
        <f>+E180*F180</f>
        <v>3661142.26</v>
      </c>
      <c r="H180" s="216"/>
      <c r="I180" s="123"/>
      <c r="J180" s="224"/>
      <c r="K180" s="218"/>
      <c r="L180" s="189"/>
    </row>
    <row r="181" spans="1:13" ht="58.5" customHeight="1" x14ac:dyDescent="0.25">
      <c r="A181" s="26"/>
      <c r="B181" s="33">
        <v>10.17</v>
      </c>
      <c r="C181" s="41" t="s">
        <v>512</v>
      </c>
      <c r="D181" s="34" t="s">
        <v>34</v>
      </c>
      <c r="E181" s="42">
        <v>12.34</v>
      </c>
      <c r="F181" s="119">
        <v>84800</v>
      </c>
      <c r="G181" s="35">
        <f>+E181*F181</f>
        <v>1046432</v>
      </c>
      <c r="H181" s="216"/>
      <c r="I181" s="123"/>
      <c r="J181" s="224"/>
      <c r="K181" s="218"/>
      <c r="L181" s="189"/>
    </row>
    <row r="182" spans="1:13" ht="58.5" customHeight="1" x14ac:dyDescent="0.25">
      <c r="A182" s="26"/>
      <c r="B182" s="213">
        <v>10.18</v>
      </c>
      <c r="C182" s="41" t="s">
        <v>510</v>
      </c>
      <c r="D182" s="34" t="s">
        <v>48</v>
      </c>
      <c r="E182" s="42">
        <v>10</v>
      </c>
      <c r="F182" s="119">
        <v>64416</v>
      </c>
      <c r="G182" s="35">
        <f>+E182*F182</f>
        <v>644160</v>
      </c>
      <c r="H182" s="216"/>
      <c r="I182" s="123"/>
      <c r="J182" s="224"/>
      <c r="K182" s="218"/>
      <c r="L182" s="189"/>
    </row>
    <row r="183" spans="1:13" ht="51.75" customHeight="1" x14ac:dyDescent="0.25">
      <c r="A183" s="26"/>
      <c r="B183" s="33">
        <v>10.19</v>
      </c>
      <c r="C183" s="41" t="s">
        <v>475</v>
      </c>
      <c r="D183" s="34" t="s">
        <v>27</v>
      </c>
      <c r="E183" s="42">
        <v>8</v>
      </c>
      <c r="F183" s="119">
        <v>1360000</v>
      </c>
      <c r="G183" s="35">
        <f>+E183*F183</f>
        <v>10880000</v>
      </c>
      <c r="H183" s="27"/>
      <c r="I183" s="123"/>
      <c r="J183" s="215"/>
      <c r="K183" s="185">
        <f>800000*1.7</f>
        <v>1360000</v>
      </c>
      <c r="L183" s="189"/>
    </row>
    <row r="184" spans="1:13" ht="29.45" customHeight="1" x14ac:dyDescent="0.25">
      <c r="A184" s="26"/>
      <c r="B184" s="213">
        <v>10.199999999999999</v>
      </c>
      <c r="C184" s="36" t="s">
        <v>447</v>
      </c>
      <c r="D184" s="38" t="s">
        <v>27</v>
      </c>
      <c r="E184" s="43">
        <v>1</v>
      </c>
      <c r="F184" s="119">
        <v>3150000</v>
      </c>
      <c r="G184" s="35">
        <f t="shared" ref="G184:G194" si="11">+E184*F184</f>
        <v>3150000</v>
      </c>
      <c r="H184" s="27"/>
      <c r="I184" s="123"/>
      <c r="J184" s="215"/>
      <c r="K184" s="185">
        <v>1115000</v>
      </c>
      <c r="L184" s="189">
        <f>+K184-F184</f>
        <v>-2035000</v>
      </c>
    </row>
    <row r="185" spans="1:13" ht="54" customHeight="1" x14ac:dyDescent="0.25">
      <c r="A185" s="26"/>
      <c r="B185" s="33">
        <v>10.210000000000001</v>
      </c>
      <c r="C185" s="36" t="s">
        <v>485</v>
      </c>
      <c r="D185" s="38" t="s">
        <v>450</v>
      </c>
      <c r="E185" s="43">
        <v>8</v>
      </c>
      <c r="F185" s="119">
        <v>59800</v>
      </c>
      <c r="G185" s="35">
        <f t="shared" si="11"/>
        <v>478400</v>
      </c>
      <c r="H185" s="27"/>
      <c r="I185" s="123"/>
      <c r="J185" s="215"/>
      <c r="L185" s="189"/>
    </row>
    <row r="186" spans="1:13" ht="43.9" customHeight="1" x14ac:dyDescent="0.25">
      <c r="A186" s="26"/>
      <c r="B186" s="213">
        <v>10.220000000000001</v>
      </c>
      <c r="C186" s="36" t="s">
        <v>449</v>
      </c>
      <c r="D186" s="38" t="s">
        <v>27</v>
      </c>
      <c r="E186" s="43">
        <v>1</v>
      </c>
      <c r="F186" s="119">
        <v>1050000</v>
      </c>
      <c r="G186" s="35">
        <f t="shared" si="11"/>
        <v>1050000</v>
      </c>
      <c r="H186" s="27"/>
      <c r="I186" s="123"/>
      <c r="J186" s="215"/>
      <c r="K186" s="185">
        <v>1120000</v>
      </c>
      <c r="L186" s="189">
        <f>+K186-F186</f>
        <v>70000</v>
      </c>
    </row>
    <row r="187" spans="1:13" ht="55.5" customHeight="1" x14ac:dyDescent="0.25">
      <c r="A187" s="26"/>
      <c r="B187" s="33">
        <v>10.23</v>
      </c>
      <c r="C187" s="41" t="s">
        <v>451</v>
      </c>
      <c r="D187" s="38" t="s">
        <v>48</v>
      </c>
      <c r="E187" s="43">
        <v>128</v>
      </c>
      <c r="F187" s="119">
        <v>73400</v>
      </c>
      <c r="G187" s="35">
        <f t="shared" si="11"/>
        <v>9395200</v>
      </c>
      <c r="H187" s="27"/>
      <c r="I187" s="123"/>
      <c r="J187" s="215"/>
      <c r="K187" s="185">
        <v>260000</v>
      </c>
      <c r="L187" s="189">
        <f>+K187-F187</f>
        <v>186600</v>
      </c>
    </row>
    <row r="188" spans="1:13" ht="51.75" customHeight="1" x14ac:dyDescent="0.25">
      <c r="A188" s="26"/>
      <c r="B188" s="213">
        <v>10.24</v>
      </c>
      <c r="C188" s="41" t="s">
        <v>495</v>
      </c>
      <c r="D188" s="34" t="s">
        <v>27</v>
      </c>
      <c r="E188" s="42">
        <v>6</v>
      </c>
      <c r="F188" s="119">
        <v>786400</v>
      </c>
      <c r="G188" s="35">
        <f t="shared" si="11"/>
        <v>4718400</v>
      </c>
      <c r="H188" s="216"/>
      <c r="I188" s="123"/>
      <c r="J188" s="224"/>
      <c r="K188" s="218"/>
      <c r="L188" s="189"/>
    </row>
    <row r="189" spans="1:13" ht="51.75" customHeight="1" x14ac:dyDescent="0.25">
      <c r="A189" s="26"/>
      <c r="B189" s="33">
        <v>10.25</v>
      </c>
      <c r="C189" s="41" t="s">
        <v>498</v>
      </c>
      <c r="D189" s="34" t="s">
        <v>27</v>
      </c>
      <c r="E189" s="42">
        <v>1</v>
      </c>
      <c r="F189" s="119">
        <v>3240000</v>
      </c>
      <c r="G189" s="35">
        <f t="shared" si="11"/>
        <v>3240000</v>
      </c>
      <c r="H189" s="216"/>
      <c r="I189" s="123"/>
      <c r="J189" s="224"/>
      <c r="K189" s="218">
        <f>1800000*1.8</f>
        <v>3240000</v>
      </c>
      <c r="L189" s="189"/>
    </row>
    <row r="190" spans="1:13" ht="51.75" customHeight="1" x14ac:dyDescent="0.25">
      <c r="A190" s="26"/>
      <c r="B190" s="213">
        <v>10.26</v>
      </c>
      <c r="C190" s="41" t="s">
        <v>499</v>
      </c>
      <c r="D190" s="34" t="s">
        <v>27</v>
      </c>
      <c r="E190" s="42">
        <v>1</v>
      </c>
      <c r="F190" s="119">
        <v>3960000</v>
      </c>
      <c r="G190" s="35">
        <f t="shared" si="11"/>
        <v>3960000</v>
      </c>
      <c r="H190" s="216"/>
      <c r="I190" s="123"/>
      <c r="J190" s="224"/>
      <c r="K190" s="218"/>
      <c r="L190" s="189"/>
    </row>
    <row r="191" spans="1:13" ht="51.75" customHeight="1" x14ac:dyDescent="0.25">
      <c r="A191" s="26"/>
      <c r="B191" s="33">
        <v>10.27</v>
      </c>
      <c r="C191" s="41" t="s">
        <v>474</v>
      </c>
      <c r="D191" s="34" t="s">
        <v>27</v>
      </c>
      <c r="E191" s="42">
        <v>2</v>
      </c>
      <c r="F191" s="119">
        <v>2230000</v>
      </c>
      <c r="G191" s="35">
        <f t="shared" si="11"/>
        <v>4460000</v>
      </c>
      <c r="H191" s="216"/>
      <c r="I191" s="123">
        <f>901*1.3</f>
        <v>1171.3</v>
      </c>
      <c r="J191" s="224"/>
      <c r="K191" s="218"/>
      <c r="L191" s="189"/>
    </row>
    <row r="192" spans="1:13" ht="66" customHeight="1" x14ac:dyDescent="0.25">
      <c r="A192" s="26"/>
      <c r="B192" s="33">
        <v>10.28</v>
      </c>
      <c r="C192" s="41" t="s">
        <v>663</v>
      </c>
      <c r="D192" s="34" t="s">
        <v>27</v>
      </c>
      <c r="E192" s="42">
        <v>1</v>
      </c>
      <c r="F192" s="119">
        <v>12240000</v>
      </c>
      <c r="G192" s="35">
        <f t="shared" si="11"/>
        <v>12240000</v>
      </c>
      <c r="H192" s="216"/>
      <c r="I192" s="123"/>
      <c r="J192" s="224"/>
      <c r="K192" s="218"/>
      <c r="L192" s="189"/>
    </row>
    <row r="193" spans="1:14" ht="51.75" customHeight="1" x14ac:dyDescent="0.25">
      <c r="A193" s="26"/>
      <c r="B193" s="33">
        <v>10.29</v>
      </c>
      <c r="C193" s="41" t="s">
        <v>505</v>
      </c>
      <c r="D193" s="34" t="s">
        <v>34</v>
      </c>
      <c r="E193" s="42">
        <v>7.5</v>
      </c>
      <c r="F193" s="119">
        <v>111000</v>
      </c>
      <c r="G193" s="35">
        <f t="shared" si="11"/>
        <v>832500</v>
      </c>
      <c r="H193" s="216"/>
      <c r="I193" s="123"/>
      <c r="J193" s="224"/>
      <c r="K193" s="218"/>
      <c r="L193" s="189"/>
    </row>
    <row r="194" spans="1:14" ht="51.75" customHeight="1" x14ac:dyDescent="0.25">
      <c r="A194" s="26"/>
      <c r="B194" s="213">
        <v>10.3</v>
      </c>
      <c r="C194" s="41" t="s">
        <v>504</v>
      </c>
      <c r="D194" s="34" t="s">
        <v>27</v>
      </c>
      <c r="E194" s="42">
        <v>1</v>
      </c>
      <c r="F194" s="119">
        <v>4980000</v>
      </c>
      <c r="G194" s="35">
        <f t="shared" si="11"/>
        <v>4980000</v>
      </c>
      <c r="H194" s="216"/>
      <c r="I194" s="123"/>
      <c r="J194" s="224"/>
      <c r="K194" s="218"/>
      <c r="L194" s="189"/>
    </row>
    <row r="195" spans="1:14" ht="24" customHeight="1" x14ac:dyDescent="0.25">
      <c r="A195" s="26"/>
      <c r="B195" s="305" t="s">
        <v>489</v>
      </c>
      <c r="C195" s="306"/>
      <c r="D195" s="306"/>
      <c r="E195" s="306"/>
      <c r="F195" s="100"/>
      <c r="G195" s="101">
        <f>SUM(G164:G194)</f>
        <v>97560914.994000003</v>
      </c>
      <c r="H195" s="27"/>
      <c r="L195" s="189">
        <f>+K195-F195</f>
        <v>0</v>
      </c>
    </row>
    <row r="196" spans="1:14" ht="23.45" customHeight="1" x14ac:dyDescent="0.25">
      <c r="A196" s="26"/>
      <c r="B196" s="28">
        <v>11</v>
      </c>
      <c r="C196" s="29" t="s">
        <v>491</v>
      </c>
      <c r="D196" s="30" t="s">
        <v>27</v>
      </c>
      <c r="E196" s="83" t="s">
        <v>28</v>
      </c>
      <c r="F196" s="30" t="s">
        <v>29</v>
      </c>
      <c r="G196" s="32" t="s">
        <v>30</v>
      </c>
      <c r="H196" s="27"/>
    </row>
    <row r="197" spans="1:14" ht="42" customHeight="1" x14ac:dyDescent="0.25">
      <c r="A197" s="26"/>
      <c r="B197" s="33">
        <v>11.01</v>
      </c>
      <c r="C197" s="41" t="s">
        <v>457</v>
      </c>
      <c r="D197" s="34" t="s">
        <v>34</v>
      </c>
      <c r="E197" s="42">
        <v>28.86</v>
      </c>
      <c r="F197" s="119">
        <v>68700</v>
      </c>
      <c r="G197" s="35">
        <f>+E197*F197</f>
        <v>1982682</v>
      </c>
      <c r="H197" s="216"/>
      <c r="I197" s="123"/>
      <c r="J197" s="224"/>
      <c r="K197" s="218"/>
      <c r="L197" s="189"/>
    </row>
    <row r="198" spans="1:14" ht="42" customHeight="1" x14ac:dyDescent="0.25">
      <c r="A198" s="26"/>
      <c r="B198" s="33">
        <v>11.02</v>
      </c>
      <c r="C198" s="41" t="s">
        <v>453</v>
      </c>
      <c r="D198" s="34" t="s">
        <v>366</v>
      </c>
      <c r="E198" s="42">
        <v>1</v>
      </c>
      <c r="F198" s="119">
        <v>262500</v>
      </c>
      <c r="G198" s="35">
        <f>+E198*F198</f>
        <v>262500</v>
      </c>
      <c r="H198" s="216"/>
      <c r="I198" s="123"/>
      <c r="J198" s="224"/>
      <c r="K198" s="218">
        <f>+J198+50000</f>
        <v>50000</v>
      </c>
      <c r="L198" s="189">
        <f>+K198*1.75</f>
        <v>87500</v>
      </c>
    </row>
    <row r="199" spans="1:14" ht="42" customHeight="1" x14ac:dyDescent="0.25">
      <c r="A199" s="26"/>
      <c r="B199" s="33">
        <v>11.03</v>
      </c>
      <c r="C199" s="41" t="s">
        <v>461</v>
      </c>
      <c r="D199" s="34" t="s">
        <v>149</v>
      </c>
      <c r="E199" s="42">
        <v>46.44</v>
      </c>
      <c r="F199" s="119">
        <v>39147</v>
      </c>
      <c r="G199" s="35">
        <f>+E199*F199</f>
        <v>1817986.68</v>
      </c>
      <c r="H199" s="216"/>
      <c r="I199" s="123"/>
      <c r="J199" s="224"/>
      <c r="K199" s="218" t="s">
        <v>462</v>
      </c>
      <c r="L199" s="189">
        <f>+J199/E199</f>
        <v>0</v>
      </c>
      <c r="N199" s="7">
        <f>+L199*1.8</f>
        <v>0</v>
      </c>
    </row>
    <row r="200" spans="1:14" ht="51.75" customHeight="1" x14ac:dyDescent="0.25">
      <c r="A200" s="26"/>
      <c r="B200" s="33">
        <v>11.04</v>
      </c>
      <c r="C200" s="36" t="s">
        <v>455</v>
      </c>
      <c r="D200" s="38" t="s">
        <v>454</v>
      </c>
      <c r="E200" s="43">
        <v>1</v>
      </c>
      <c r="F200" s="119">
        <v>610000</v>
      </c>
      <c r="G200" s="35">
        <f t="shared" ref="G200:G231" si="12">+E200*F200</f>
        <v>610000</v>
      </c>
      <c r="H200" s="27"/>
      <c r="I200" s="123"/>
      <c r="J200" s="215"/>
      <c r="K200" s="185">
        <f>489289*1.18</f>
        <v>577361.02</v>
      </c>
      <c r="L200" s="189"/>
    </row>
    <row r="201" spans="1:14" ht="51.75" customHeight="1" x14ac:dyDescent="0.25">
      <c r="A201" s="26"/>
      <c r="B201" s="33">
        <v>11.05</v>
      </c>
      <c r="C201" s="41" t="s">
        <v>493</v>
      </c>
      <c r="D201" s="34" t="s">
        <v>27</v>
      </c>
      <c r="E201" s="42">
        <v>1</v>
      </c>
      <c r="F201" s="119">
        <v>1368000</v>
      </c>
      <c r="G201" s="35">
        <f t="shared" si="12"/>
        <v>1368000</v>
      </c>
      <c r="H201" s="27"/>
      <c r="I201" s="123"/>
      <c r="J201" s="215"/>
      <c r="L201" s="189"/>
    </row>
    <row r="202" spans="1:14" ht="46.5" customHeight="1" x14ac:dyDescent="0.25">
      <c r="A202" s="26"/>
      <c r="B202" s="33">
        <v>11.06</v>
      </c>
      <c r="C202" s="36" t="s">
        <v>494</v>
      </c>
      <c r="D202" s="38" t="s">
        <v>27</v>
      </c>
      <c r="E202" s="43">
        <v>1</v>
      </c>
      <c r="F202" s="119">
        <v>260000</v>
      </c>
      <c r="G202" s="35">
        <f t="shared" si="12"/>
        <v>260000</v>
      </c>
      <c r="H202" s="27"/>
      <c r="I202" s="123"/>
      <c r="J202" s="215"/>
      <c r="L202" s="189"/>
    </row>
    <row r="203" spans="1:14" ht="63.75" customHeight="1" x14ac:dyDescent="0.25">
      <c r="A203" s="26"/>
      <c r="B203" s="33">
        <v>11.07</v>
      </c>
      <c r="C203" s="41" t="s">
        <v>458</v>
      </c>
      <c r="D203" s="34" t="s">
        <v>450</v>
      </c>
      <c r="E203" s="42">
        <v>5.3</v>
      </c>
      <c r="F203" s="119">
        <v>265000</v>
      </c>
      <c r="G203" s="35">
        <f t="shared" si="12"/>
        <v>1404500</v>
      </c>
      <c r="H203" s="216"/>
      <c r="I203" s="123"/>
      <c r="J203" s="224"/>
      <c r="K203" s="218">
        <f>+J203+30000+40000</f>
        <v>70000</v>
      </c>
      <c r="L203" s="189"/>
    </row>
    <row r="204" spans="1:14" ht="51.75" customHeight="1" x14ac:dyDescent="0.25">
      <c r="A204" s="26"/>
      <c r="B204" s="33">
        <v>11.08</v>
      </c>
      <c r="C204" s="36" t="s">
        <v>459</v>
      </c>
      <c r="D204" s="38" t="s">
        <v>48</v>
      </c>
      <c r="E204" s="43">
        <f>12+9.6</f>
        <v>21.6</v>
      </c>
      <c r="F204" s="119">
        <v>174293</v>
      </c>
      <c r="G204" s="35">
        <f t="shared" si="12"/>
        <v>3764728.8000000003</v>
      </c>
      <c r="H204" s="27"/>
      <c r="I204" s="123"/>
      <c r="J204" s="215"/>
      <c r="L204" s="189"/>
    </row>
    <row r="205" spans="1:14" ht="46.5" customHeight="1" x14ac:dyDescent="0.25">
      <c r="A205" s="26"/>
      <c r="B205" s="33">
        <v>11.09</v>
      </c>
      <c r="C205" s="36" t="s">
        <v>465</v>
      </c>
      <c r="D205" s="38" t="s">
        <v>34</v>
      </c>
      <c r="E205" s="43">
        <f>4*2.18</f>
        <v>8.7200000000000006</v>
      </c>
      <c r="F205" s="119">
        <v>147320</v>
      </c>
      <c r="G205" s="35">
        <f t="shared" si="12"/>
        <v>1284630.4000000001</v>
      </c>
      <c r="H205" s="27"/>
      <c r="I205" s="123"/>
      <c r="J205" s="215"/>
      <c r="L205" s="189"/>
    </row>
    <row r="206" spans="1:14" ht="42" customHeight="1" x14ac:dyDescent="0.25">
      <c r="A206" s="26"/>
      <c r="B206" s="33">
        <v>11.1</v>
      </c>
      <c r="C206" s="36" t="s">
        <v>460</v>
      </c>
      <c r="D206" s="38" t="s">
        <v>34</v>
      </c>
      <c r="E206" s="43">
        <f>+E205</f>
        <v>8.7200000000000006</v>
      </c>
      <c r="F206" s="119">
        <v>98835</v>
      </c>
      <c r="G206" s="35">
        <f t="shared" si="12"/>
        <v>861841.20000000007</v>
      </c>
      <c r="H206" s="27"/>
      <c r="I206" s="123"/>
      <c r="J206" s="215"/>
      <c r="L206" s="189"/>
    </row>
    <row r="207" spans="1:14" ht="51.75" customHeight="1" x14ac:dyDescent="0.25">
      <c r="A207" s="26"/>
      <c r="B207" s="33">
        <v>11.11</v>
      </c>
      <c r="C207" s="36" t="s">
        <v>463</v>
      </c>
      <c r="D207" s="38" t="s">
        <v>34</v>
      </c>
      <c r="E207" s="43">
        <f>9.9</f>
        <v>9.9</v>
      </c>
      <c r="F207" s="119">
        <v>375240</v>
      </c>
      <c r="G207" s="35">
        <f t="shared" si="12"/>
        <v>3714876</v>
      </c>
      <c r="H207" s="27"/>
      <c r="I207" s="123"/>
      <c r="J207" s="215"/>
      <c r="L207" s="189"/>
    </row>
    <row r="208" spans="1:14" ht="51.75" customHeight="1" x14ac:dyDescent="0.25">
      <c r="A208" s="26"/>
      <c r="B208" s="33">
        <v>11.12</v>
      </c>
      <c r="C208" s="36" t="s">
        <v>464</v>
      </c>
      <c r="D208" s="38" t="s">
        <v>27</v>
      </c>
      <c r="E208" s="43">
        <v>1</v>
      </c>
      <c r="F208" s="119">
        <v>345000</v>
      </c>
      <c r="G208" s="35">
        <f t="shared" si="12"/>
        <v>345000</v>
      </c>
      <c r="H208" s="27"/>
      <c r="I208" s="123"/>
      <c r="J208" s="215"/>
      <c r="L208" s="189"/>
    </row>
    <row r="209" spans="1:13" ht="51.75" customHeight="1" x14ac:dyDescent="0.25">
      <c r="A209" s="26"/>
      <c r="B209" s="33">
        <v>11.13</v>
      </c>
      <c r="C209" s="41" t="s">
        <v>185</v>
      </c>
      <c r="D209" s="34" t="s">
        <v>27</v>
      </c>
      <c r="E209" s="42">
        <v>1</v>
      </c>
      <c r="F209" s="119">
        <v>305000</v>
      </c>
      <c r="G209" s="35">
        <f t="shared" si="12"/>
        <v>305000</v>
      </c>
      <c r="H209" s="216"/>
      <c r="I209" s="123"/>
      <c r="J209" s="224"/>
      <c r="K209" s="218"/>
      <c r="L209" s="189"/>
    </row>
    <row r="210" spans="1:13" ht="51.75" customHeight="1" x14ac:dyDescent="0.25">
      <c r="A210" s="26"/>
      <c r="B210" s="33">
        <v>11.14</v>
      </c>
      <c r="C210" s="41" t="s">
        <v>466</v>
      </c>
      <c r="D210" s="34" t="s">
        <v>450</v>
      </c>
      <c r="E210" s="42">
        <v>4</v>
      </c>
      <c r="F210" s="119">
        <v>210000</v>
      </c>
      <c r="G210" s="35">
        <f t="shared" si="12"/>
        <v>840000</v>
      </c>
      <c r="H210" s="216"/>
      <c r="I210" s="123"/>
      <c r="J210" s="224"/>
      <c r="K210" s="218">
        <f>+J210*1.18</f>
        <v>0</v>
      </c>
      <c r="L210" s="189"/>
    </row>
    <row r="211" spans="1:13" ht="51.75" customHeight="1" x14ac:dyDescent="0.25">
      <c r="A211" s="26"/>
      <c r="B211" s="33">
        <v>11.15</v>
      </c>
      <c r="C211" s="41" t="s">
        <v>488</v>
      </c>
      <c r="D211" s="34" t="s">
        <v>450</v>
      </c>
      <c r="E211" s="42">
        <v>10.5</v>
      </c>
      <c r="F211" s="119">
        <v>90225</v>
      </c>
      <c r="G211" s="35">
        <f t="shared" si="12"/>
        <v>947362.5</v>
      </c>
      <c r="H211" s="216"/>
      <c r="I211" s="123"/>
      <c r="J211" s="224"/>
      <c r="K211" s="218">
        <f>+J211*1.18</f>
        <v>0</v>
      </c>
      <c r="L211" s="189"/>
    </row>
    <row r="212" spans="1:13" ht="51.75" customHeight="1" x14ac:dyDescent="0.25">
      <c r="A212" s="26"/>
      <c r="B212" s="33">
        <v>11.16</v>
      </c>
      <c r="C212" s="41" t="s">
        <v>472</v>
      </c>
      <c r="D212" s="34" t="s">
        <v>34</v>
      </c>
      <c r="E212" s="42">
        <v>8.6999999999999993</v>
      </c>
      <c r="F212" s="119">
        <v>113151</v>
      </c>
      <c r="G212" s="35">
        <f t="shared" si="12"/>
        <v>984413.7</v>
      </c>
      <c r="H212" s="27"/>
      <c r="I212" s="123"/>
      <c r="J212" s="215"/>
      <c r="K212" s="185">
        <f>36000+60000</f>
        <v>96000</v>
      </c>
      <c r="L212" s="189">
        <f>+K212/E212</f>
        <v>11034.48275862069</v>
      </c>
      <c r="M212" s="7">
        <f>+L212*1.65</f>
        <v>18206.896551724138</v>
      </c>
    </row>
    <row r="213" spans="1:13" ht="51.75" customHeight="1" x14ac:dyDescent="0.25">
      <c r="A213" s="26"/>
      <c r="B213" s="33">
        <v>11.17</v>
      </c>
      <c r="C213" s="41" t="s">
        <v>467</v>
      </c>
      <c r="D213" s="34" t="s">
        <v>450</v>
      </c>
      <c r="E213" s="42">
        <v>1.4</v>
      </c>
      <c r="F213" s="119">
        <v>901000</v>
      </c>
      <c r="G213" s="35">
        <f t="shared" si="12"/>
        <v>1261400</v>
      </c>
      <c r="H213" s="27"/>
      <c r="I213" s="123"/>
      <c r="J213" s="215"/>
      <c r="L213" s="189"/>
    </row>
    <row r="214" spans="1:13" ht="51.75" customHeight="1" x14ac:dyDescent="0.25">
      <c r="A214" s="26"/>
      <c r="B214" s="33">
        <v>11.18</v>
      </c>
      <c r="C214" s="41" t="s">
        <v>480</v>
      </c>
      <c r="D214" s="34" t="s">
        <v>27</v>
      </c>
      <c r="E214" s="42">
        <v>1</v>
      </c>
      <c r="F214" s="119">
        <v>990000</v>
      </c>
      <c r="G214" s="35">
        <f t="shared" si="12"/>
        <v>990000</v>
      </c>
      <c r="H214" s="27"/>
      <c r="I214" s="123"/>
      <c r="J214" s="215"/>
      <c r="L214" s="189"/>
    </row>
    <row r="215" spans="1:13" ht="51.75" customHeight="1" x14ac:dyDescent="0.25">
      <c r="A215" s="26"/>
      <c r="B215" s="33">
        <v>11.19</v>
      </c>
      <c r="C215" s="41" t="s">
        <v>506</v>
      </c>
      <c r="D215" s="34" t="s">
        <v>27</v>
      </c>
      <c r="E215" s="42">
        <v>1</v>
      </c>
      <c r="F215" s="119">
        <v>3158000</v>
      </c>
      <c r="G215" s="35">
        <f t="shared" si="12"/>
        <v>3158000</v>
      </c>
      <c r="H215" s="27"/>
      <c r="I215" s="123"/>
      <c r="J215" s="215"/>
      <c r="L215" s="189"/>
    </row>
    <row r="216" spans="1:13" ht="126.75" customHeight="1" x14ac:dyDescent="0.25">
      <c r="A216" s="26"/>
      <c r="B216" s="33">
        <v>11.2</v>
      </c>
      <c r="C216" s="41" t="s">
        <v>471</v>
      </c>
      <c r="D216" s="34" t="s">
        <v>27</v>
      </c>
      <c r="E216" s="42">
        <v>13</v>
      </c>
      <c r="F216" s="119">
        <v>294362</v>
      </c>
      <c r="G216" s="35">
        <f t="shared" si="12"/>
        <v>3826706</v>
      </c>
      <c r="H216" s="27"/>
      <c r="I216" s="123"/>
      <c r="J216" s="215"/>
      <c r="L216" s="189"/>
    </row>
    <row r="217" spans="1:13" ht="16.5" x14ac:dyDescent="0.25">
      <c r="A217" s="26"/>
      <c r="B217" s="33">
        <v>11.21</v>
      </c>
      <c r="C217" s="41" t="s">
        <v>116</v>
      </c>
      <c r="D217" s="34" t="s">
        <v>27</v>
      </c>
      <c r="E217" s="42">
        <v>2</v>
      </c>
      <c r="F217" s="119">
        <v>313458.2</v>
      </c>
      <c r="G217" s="35">
        <f t="shared" si="12"/>
        <v>626916.4</v>
      </c>
      <c r="H217" s="27"/>
      <c r="I217" s="123"/>
      <c r="J217" s="215"/>
      <c r="K217" s="185">
        <f>+J217*1.8</f>
        <v>0</v>
      </c>
      <c r="L217" s="189">
        <f>77158*1.15</f>
        <v>88731.7</v>
      </c>
    </row>
    <row r="218" spans="1:13" ht="68.45" customHeight="1" x14ac:dyDescent="0.25">
      <c r="A218" s="26"/>
      <c r="B218" s="33">
        <v>11.22</v>
      </c>
      <c r="C218" s="41" t="s">
        <v>382</v>
      </c>
      <c r="D218" s="34" t="s">
        <v>27</v>
      </c>
      <c r="E218" s="42">
        <v>3</v>
      </c>
      <c r="F218" s="119">
        <v>371741</v>
      </c>
      <c r="G218" s="35">
        <f t="shared" si="12"/>
        <v>1115223</v>
      </c>
      <c r="H218" s="27"/>
      <c r="I218" s="123"/>
      <c r="J218" s="215"/>
      <c r="L218" s="189">
        <f>90000+20000</f>
        <v>110000</v>
      </c>
      <c r="M218" s="7">
        <f>+L218*1.7</f>
        <v>187000</v>
      </c>
    </row>
    <row r="219" spans="1:13" ht="51.75" customHeight="1" x14ac:dyDescent="0.25">
      <c r="A219" s="26"/>
      <c r="B219" s="33">
        <v>11.23</v>
      </c>
      <c r="C219" s="41" t="s">
        <v>137</v>
      </c>
      <c r="D219" s="34" t="s">
        <v>34</v>
      </c>
      <c r="E219" s="42">
        <f>27.5+1.4</f>
        <v>28.9</v>
      </c>
      <c r="F219" s="119">
        <v>27730</v>
      </c>
      <c r="G219" s="35">
        <f t="shared" si="12"/>
        <v>801397</v>
      </c>
      <c r="H219" s="216"/>
      <c r="I219" s="123"/>
      <c r="J219" s="224"/>
      <c r="K219" s="218">
        <f>23500*1.18</f>
        <v>27730</v>
      </c>
      <c r="L219" s="189"/>
    </row>
    <row r="220" spans="1:13" ht="51.75" customHeight="1" x14ac:dyDescent="0.25">
      <c r="A220" s="26"/>
      <c r="B220" s="33">
        <v>11.24</v>
      </c>
      <c r="C220" s="41" t="s">
        <v>470</v>
      </c>
      <c r="D220" s="34" t="s">
        <v>34</v>
      </c>
      <c r="E220" s="42">
        <f>27.5+1.4</f>
        <v>28.9</v>
      </c>
      <c r="F220" s="119">
        <v>23836</v>
      </c>
      <c r="G220" s="35">
        <f t="shared" si="12"/>
        <v>688860.4</v>
      </c>
      <c r="H220" s="216"/>
      <c r="I220" s="123"/>
      <c r="J220" s="224"/>
      <c r="K220" s="218"/>
      <c r="L220" s="189"/>
    </row>
    <row r="221" spans="1:13" ht="51.75" customHeight="1" x14ac:dyDescent="0.25">
      <c r="A221" s="26"/>
      <c r="B221" s="33">
        <v>11.26</v>
      </c>
      <c r="C221" s="41" t="s">
        <v>481</v>
      </c>
      <c r="D221" s="34" t="s">
        <v>34</v>
      </c>
      <c r="E221" s="42">
        <v>10.07</v>
      </c>
      <c r="F221" s="119">
        <v>375240</v>
      </c>
      <c r="G221" s="35">
        <f t="shared" si="12"/>
        <v>3778666.8000000003</v>
      </c>
      <c r="H221" s="216"/>
      <c r="I221" s="123"/>
      <c r="J221" s="224"/>
      <c r="K221" s="218"/>
      <c r="L221" s="189"/>
    </row>
    <row r="222" spans="1:13" ht="51.75" customHeight="1" x14ac:dyDescent="0.25">
      <c r="A222" s="26"/>
      <c r="B222" s="33">
        <v>11.27</v>
      </c>
      <c r="C222" s="41" t="s">
        <v>496</v>
      </c>
      <c r="D222" s="34" t="s">
        <v>34</v>
      </c>
      <c r="E222" s="42">
        <f>2.5*2.26</f>
        <v>5.6499999999999995</v>
      </c>
      <c r="F222" s="119">
        <v>195000</v>
      </c>
      <c r="G222" s="35">
        <f t="shared" si="12"/>
        <v>1101750</v>
      </c>
      <c r="H222" s="216"/>
      <c r="I222" s="123"/>
      <c r="J222" s="224"/>
      <c r="K222" s="218"/>
      <c r="L222" s="189"/>
    </row>
    <row r="223" spans="1:13" ht="51.75" customHeight="1" x14ac:dyDescent="0.25">
      <c r="A223" s="26"/>
      <c r="B223" s="33">
        <v>11.28</v>
      </c>
      <c r="C223" s="41" t="s">
        <v>479</v>
      </c>
      <c r="D223" s="34" t="s">
        <v>48</v>
      </c>
      <c r="E223" s="42">
        <v>12.36</v>
      </c>
      <c r="F223" s="119">
        <v>57200</v>
      </c>
      <c r="G223" s="35">
        <f t="shared" si="12"/>
        <v>706992</v>
      </c>
      <c r="H223" s="27"/>
      <c r="I223" s="123" t="s">
        <v>469</v>
      </c>
      <c r="J223" s="215"/>
      <c r="K223" s="185">
        <f>469000*1.6</f>
        <v>750400</v>
      </c>
      <c r="L223" s="189"/>
    </row>
    <row r="224" spans="1:13" ht="51.75" customHeight="1" x14ac:dyDescent="0.25">
      <c r="A224" s="26"/>
      <c r="B224" s="33">
        <v>11.29</v>
      </c>
      <c r="C224" s="41" t="s">
        <v>482</v>
      </c>
      <c r="D224" s="34" t="s">
        <v>27</v>
      </c>
      <c r="E224" s="42">
        <v>1</v>
      </c>
      <c r="F224" s="119">
        <v>1650000</v>
      </c>
      <c r="G224" s="35">
        <f t="shared" si="12"/>
        <v>1650000</v>
      </c>
      <c r="H224" s="27"/>
      <c r="I224" s="123"/>
      <c r="J224" s="215"/>
      <c r="K224" s="185">
        <f>+J224*1.18</f>
        <v>0</v>
      </c>
      <c r="L224" s="189"/>
    </row>
    <row r="225" spans="1:12" ht="51.75" customHeight="1" x14ac:dyDescent="0.25">
      <c r="A225" s="26"/>
      <c r="B225" s="33">
        <v>11.3</v>
      </c>
      <c r="C225" s="41" t="s">
        <v>476</v>
      </c>
      <c r="D225" s="34" t="s">
        <v>27</v>
      </c>
      <c r="E225" s="42">
        <v>2</v>
      </c>
      <c r="F225" s="119">
        <v>786400</v>
      </c>
      <c r="G225" s="35">
        <f>+E225*F225</f>
        <v>1572800</v>
      </c>
      <c r="H225" s="216"/>
      <c r="I225" s="123"/>
      <c r="J225" s="224"/>
      <c r="K225" s="218"/>
      <c r="L225" s="189"/>
    </row>
    <row r="226" spans="1:12" ht="58.5" customHeight="1" x14ac:dyDescent="0.25">
      <c r="A226" s="26"/>
      <c r="B226" s="33">
        <v>11.31</v>
      </c>
      <c r="C226" s="41" t="s">
        <v>483</v>
      </c>
      <c r="D226" s="34" t="s">
        <v>149</v>
      </c>
      <c r="E226" s="42">
        <f>0.91+(3.1*2.13)</f>
        <v>7.5129999999999999</v>
      </c>
      <c r="F226" s="119">
        <v>375822</v>
      </c>
      <c r="G226" s="35">
        <f>+E226*F226</f>
        <v>2823550.6859999998</v>
      </c>
      <c r="H226" s="216"/>
      <c r="I226" s="123"/>
      <c r="J226" s="224"/>
      <c r="K226" s="218"/>
      <c r="L226" s="189"/>
    </row>
    <row r="227" spans="1:12" ht="51.75" customHeight="1" x14ac:dyDescent="0.25">
      <c r="A227" s="26"/>
      <c r="B227" s="33">
        <v>11.32</v>
      </c>
      <c r="C227" s="41" t="s">
        <v>473</v>
      </c>
      <c r="D227" s="34" t="s">
        <v>27</v>
      </c>
      <c r="E227" s="42">
        <v>1</v>
      </c>
      <c r="F227" s="119">
        <v>1460500</v>
      </c>
      <c r="G227" s="35">
        <f>+E227*F227</f>
        <v>1460500</v>
      </c>
      <c r="H227" s="27"/>
      <c r="I227" s="123"/>
      <c r="J227" s="215"/>
      <c r="L227" s="189"/>
    </row>
    <row r="228" spans="1:12" ht="42" customHeight="1" x14ac:dyDescent="0.25">
      <c r="A228" s="26"/>
      <c r="B228" s="33">
        <v>11.33</v>
      </c>
      <c r="C228" s="36" t="s">
        <v>445</v>
      </c>
      <c r="D228" s="38" t="s">
        <v>27</v>
      </c>
      <c r="E228" s="43">
        <v>1</v>
      </c>
      <c r="F228" s="119">
        <v>6050000</v>
      </c>
      <c r="G228" s="35">
        <f t="shared" si="12"/>
        <v>6050000</v>
      </c>
      <c r="H228" s="27"/>
      <c r="I228" s="123"/>
      <c r="J228" s="215"/>
      <c r="K228" s="185">
        <f>+J228/8</f>
        <v>0</v>
      </c>
      <c r="L228" s="189">
        <f>+K228-F228</f>
        <v>-6050000</v>
      </c>
    </row>
    <row r="229" spans="1:12" ht="51.75" customHeight="1" x14ac:dyDescent="0.25">
      <c r="A229" s="26"/>
      <c r="B229" s="33">
        <v>11.34</v>
      </c>
      <c r="C229" s="36" t="s">
        <v>446</v>
      </c>
      <c r="D229" s="38" t="s">
        <v>27</v>
      </c>
      <c r="E229" s="43">
        <v>1</v>
      </c>
      <c r="F229" s="119">
        <v>6000000</v>
      </c>
      <c r="G229" s="35">
        <f t="shared" si="12"/>
        <v>6000000</v>
      </c>
      <c r="H229" s="27"/>
      <c r="I229" s="123"/>
      <c r="J229" s="215"/>
      <c r="K229" s="185">
        <v>237000</v>
      </c>
      <c r="L229" s="189">
        <f t="shared" ref="L229:L239" si="13">+K229-F229</f>
        <v>-5763000</v>
      </c>
    </row>
    <row r="230" spans="1:12" s="232" customFormat="1" ht="51.75" customHeight="1" x14ac:dyDescent="0.25">
      <c r="A230" s="226"/>
      <c r="B230" s="33">
        <v>11.35</v>
      </c>
      <c r="C230" s="41" t="s">
        <v>507</v>
      </c>
      <c r="D230" s="34" t="s">
        <v>48</v>
      </c>
      <c r="E230" s="42">
        <v>5.9</v>
      </c>
      <c r="F230" s="119">
        <v>163135</v>
      </c>
      <c r="G230" s="35">
        <f t="shared" si="12"/>
        <v>962496.5</v>
      </c>
      <c r="H230" s="227"/>
      <c r="I230" s="228"/>
      <c r="J230" s="229"/>
      <c r="K230" s="230">
        <f>+J230*1.75</f>
        <v>0</v>
      </c>
      <c r="L230" s="231"/>
    </row>
    <row r="231" spans="1:12" ht="46.5" customHeight="1" x14ac:dyDescent="0.25">
      <c r="A231" s="26"/>
      <c r="B231" s="33">
        <v>11.36</v>
      </c>
      <c r="C231" s="36" t="s">
        <v>508</v>
      </c>
      <c r="D231" s="38" t="s">
        <v>27</v>
      </c>
      <c r="E231" s="43">
        <v>1</v>
      </c>
      <c r="F231" s="119">
        <v>1800000</v>
      </c>
      <c r="G231" s="35">
        <f t="shared" si="12"/>
        <v>1800000</v>
      </c>
      <c r="H231" s="27"/>
      <c r="I231" s="123"/>
      <c r="J231" s="215"/>
      <c r="K231" s="185">
        <v>65000</v>
      </c>
      <c r="L231" s="189">
        <f t="shared" si="13"/>
        <v>-1735000</v>
      </c>
    </row>
    <row r="232" spans="1:12" ht="59.25" customHeight="1" x14ac:dyDescent="0.25">
      <c r="A232" s="26"/>
      <c r="B232" s="33">
        <v>11.37</v>
      </c>
      <c r="C232" s="41" t="s">
        <v>448</v>
      </c>
      <c r="D232" s="34" t="s">
        <v>27</v>
      </c>
      <c r="E232" s="42">
        <v>2</v>
      </c>
      <c r="F232" s="119">
        <v>8400000</v>
      </c>
      <c r="G232" s="35">
        <f t="shared" ref="G232:G238" si="14">+E232*F232</f>
        <v>16800000</v>
      </c>
      <c r="H232" s="216"/>
      <c r="J232" s="217"/>
      <c r="K232" s="218">
        <v>348000</v>
      </c>
      <c r="L232" s="189">
        <f t="shared" si="13"/>
        <v>-8052000</v>
      </c>
    </row>
    <row r="233" spans="1:12" ht="46.5" customHeight="1" x14ac:dyDescent="0.25">
      <c r="A233" s="26"/>
      <c r="B233" s="33">
        <v>11.38</v>
      </c>
      <c r="C233" s="41" t="s">
        <v>667</v>
      </c>
      <c r="D233" s="34" t="s">
        <v>34</v>
      </c>
      <c r="E233" s="42">
        <v>3.4</v>
      </c>
      <c r="F233" s="119">
        <v>35000</v>
      </c>
      <c r="G233" s="35">
        <f t="shared" si="14"/>
        <v>119000</v>
      </c>
      <c r="H233" s="216"/>
      <c r="I233" s="123"/>
      <c r="J233" s="224"/>
      <c r="K233" s="218">
        <v>462500</v>
      </c>
      <c r="L233" s="189">
        <f t="shared" si="13"/>
        <v>427500</v>
      </c>
    </row>
    <row r="234" spans="1:12" ht="54.6" customHeight="1" x14ac:dyDescent="0.25">
      <c r="A234" s="26"/>
      <c r="B234" s="33">
        <v>11.39</v>
      </c>
      <c r="C234" s="41" t="s">
        <v>513</v>
      </c>
      <c r="D234" s="34" t="s">
        <v>27</v>
      </c>
      <c r="E234" s="42">
        <v>1</v>
      </c>
      <c r="F234" s="37">
        <v>2100000</v>
      </c>
      <c r="G234" s="35">
        <f t="shared" si="14"/>
        <v>2100000</v>
      </c>
      <c r="H234" s="216"/>
      <c r="I234" s="251"/>
      <c r="J234" s="251"/>
      <c r="K234" s="218">
        <v>1750000</v>
      </c>
      <c r="L234" s="189">
        <f t="shared" si="13"/>
        <v>-350000</v>
      </c>
    </row>
    <row r="235" spans="1:12" ht="54.6" customHeight="1" x14ac:dyDescent="0.25">
      <c r="A235" s="26"/>
      <c r="B235" s="33">
        <v>11.4</v>
      </c>
      <c r="C235" s="41" t="s">
        <v>664</v>
      </c>
      <c r="D235" s="34" t="s">
        <v>27</v>
      </c>
      <c r="E235" s="42">
        <v>1</v>
      </c>
      <c r="F235" s="37">
        <v>4067500</v>
      </c>
      <c r="G235" s="35">
        <f t="shared" si="14"/>
        <v>4067500</v>
      </c>
      <c r="H235" s="216"/>
      <c r="I235" s="123"/>
      <c r="J235" s="123"/>
      <c r="K235" s="218">
        <v>475000</v>
      </c>
      <c r="L235" s="189">
        <f t="shared" si="13"/>
        <v>-3592500</v>
      </c>
    </row>
    <row r="236" spans="1:12" ht="46.5" customHeight="1" x14ac:dyDescent="0.25">
      <c r="A236" s="26"/>
      <c r="B236" s="33">
        <v>11.41</v>
      </c>
      <c r="C236" s="41" t="s">
        <v>665</v>
      </c>
      <c r="D236" s="34" t="s">
        <v>27</v>
      </c>
      <c r="E236" s="252">
        <v>1</v>
      </c>
      <c r="F236" s="119">
        <v>2897400</v>
      </c>
      <c r="G236" s="35">
        <f t="shared" si="14"/>
        <v>2897400</v>
      </c>
      <c r="H236" s="216"/>
      <c r="I236" s="123"/>
      <c r="J236" s="123"/>
      <c r="K236" s="218">
        <v>9000</v>
      </c>
      <c r="L236" s="189">
        <f t="shared" si="13"/>
        <v>-2888400</v>
      </c>
    </row>
    <row r="237" spans="1:12" ht="34.15" customHeight="1" x14ac:dyDescent="0.25">
      <c r="A237" s="26"/>
      <c r="B237" s="33">
        <v>11.42</v>
      </c>
      <c r="C237" s="36" t="s">
        <v>666</v>
      </c>
      <c r="D237" s="38" t="s">
        <v>27</v>
      </c>
      <c r="E237" s="43">
        <v>1</v>
      </c>
      <c r="F237" s="37">
        <v>557200</v>
      </c>
      <c r="G237" s="35">
        <f t="shared" si="14"/>
        <v>557200</v>
      </c>
      <c r="H237" s="40"/>
      <c r="K237" s="185">
        <v>420000</v>
      </c>
      <c r="L237" s="189">
        <f t="shared" si="13"/>
        <v>-137200</v>
      </c>
    </row>
    <row r="238" spans="1:12" ht="58.5" customHeight="1" x14ac:dyDescent="0.25">
      <c r="A238" s="26"/>
      <c r="B238" s="33">
        <v>11.43</v>
      </c>
      <c r="C238" s="36" t="s">
        <v>668</v>
      </c>
      <c r="D238" s="38" t="s">
        <v>27</v>
      </c>
      <c r="E238" s="43">
        <v>1</v>
      </c>
      <c r="F238" s="37">
        <v>7550000</v>
      </c>
      <c r="G238" s="35">
        <f t="shared" si="14"/>
        <v>7550000</v>
      </c>
      <c r="H238" s="40"/>
      <c r="L238" s="189"/>
    </row>
    <row r="239" spans="1:12" ht="24" customHeight="1" x14ac:dyDescent="0.25">
      <c r="A239" s="26"/>
      <c r="B239" s="305" t="s">
        <v>492</v>
      </c>
      <c r="C239" s="306"/>
      <c r="D239" s="306"/>
      <c r="E239" s="306"/>
      <c r="F239" s="100"/>
      <c r="G239" s="101">
        <f>SUM(G197:G238)</f>
        <v>95219880.065999985</v>
      </c>
      <c r="H239" s="27"/>
      <c r="L239" s="189">
        <f t="shared" si="13"/>
        <v>0</v>
      </c>
    </row>
    <row r="240" spans="1:12" ht="19.149999999999999" customHeight="1" x14ac:dyDescent="0.25">
      <c r="A240" s="26"/>
      <c r="B240" s="190"/>
      <c r="C240" s="82" t="s">
        <v>78</v>
      </c>
      <c r="D240" s="80"/>
      <c r="E240" s="90"/>
      <c r="F240" s="80"/>
      <c r="G240" s="81"/>
      <c r="H240" s="27"/>
      <c r="L240" s="189">
        <f>+K240-F240</f>
        <v>0</v>
      </c>
    </row>
    <row r="241" spans="1:12" ht="26.25" customHeight="1" x14ac:dyDescent="0.25">
      <c r="A241" s="26"/>
      <c r="B241" s="28">
        <v>17</v>
      </c>
      <c r="C241" s="29"/>
      <c r="D241" s="30" t="s">
        <v>27</v>
      </c>
      <c r="E241" s="83" t="s">
        <v>28</v>
      </c>
      <c r="F241" s="30" t="s">
        <v>29</v>
      </c>
      <c r="G241" s="32" t="s">
        <v>30</v>
      </c>
      <c r="H241" s="27"/>
      <c r="K241" s="185" t="s">
        <v>29</v>
      </c>
      <c r="L241" s="189"/>
    </row>
    <row r="242" spans="1:12" s="40" customFormat="1" ht="45.75" customHeight="1" x14ac:dyDescent="0.25">
      <c r="A242" s="39"/>
      <c r="B242" s="33" t="s">
        <v>280</v>
      </c>
      <c r="C242" s="41" t="s">
        <v>398</v>
      </c>
      <c r="D242" s="34" t="s">
        <v>32</v>
      </c>
      <c r="E242" s="42" t="e">
        <f>+#REF!</f>
        <v>#REF!</v>
      </c>
      <c r="F242" s="37">
        <v>3850000</v>
      </c>
      <c r="G242" s="35" t="e">
        <f>+E242*F242</f>
        <v>#REF!</v>
      </c>
      <c r="H242" s="27"/>
      <c r="I242" s="124"/>
      <c r="J242" s="124"/>
      <c r="K242" s="187">
        <v>1849092</v>
      </c>
      <c r="L242" s="189">
        <f>+K242-F242</f>
        <v>-2000908</v>
      </c>
    </row>
    <row r="243" spans="1:12" ht="24" customHeight="1" x14ac:dyDescent="0.25">
      <c r="A243" s="26"/>
      <c r="B243" s="305" t="s">
        <v>127</v>
      </c>
      <c r="C243" s="306"/>
      <c r="D243" s="306"/>
      <c r="E243" s="306"/>
      <c r="F243" s="100"/>
      <c r="G243" s="101" t="e">
        <f>SUM(G242)</f>
        <v>#REF!</v>
      </c>
      <c r="H243" s="27"/>
      <c r="L243" s="189">
        <f>SUM(L240:L242)</f>
        <v>-2000908</v>
      </c>
    </row>
    <row r="244" spans="1:12" s="40" customFormat="1" ht="30.6" customHeight="1" thickBot="1" x14ac:dyDescent="0.3">
      <c r="A244" s="39"/>
      <c r="B244" s="191"/>
      <c r="C244" s="44"/>
      <c r="D244" s="45"/>
      <c r="E244" s="312" t="s">
        <v>128</v>
      </c>
      <c r="F244" s="312"/>
      <c r="G244" s="109" t="e">
        <f>+G26+G55+G82+G111+G137+G163+G195+G239+G243</f>
        <v>#REF!</v>
      </c>
      <c r="H244" s="27"/>
      <c r="I244" s="124"/>
      <c r="J244" s="124"/>
      <c r="K244" s="187"/>
    </row>
    <row r="245" spans="1:12" s="40" customFormat="1" ht="9.75" customHeight="1" thickBot="1" x14ac:dyDescent="0.3">
      <c r="A245" s="39"/>
      <c r="B245" s="95"/>
      <c r="C245" s="63"/>
      <c r="D245" s="62"/>
      <c r="E245" s="95"/>
      <c r="F245" s="64"/>
      <c r="G245" s="65"/>
      <c r="H245" s="27"/>
      <c r="I245" s="124"/>
      <c r="J245" s="124"/>
      <c r="K245" s="187"/>
    </row>
    <row r="246" spans="1:12" s="40" customFormat="1" ht="25.15" customHeight="1" x14ac:dyDescent="0.25">
      <c r="A246" s="39"/>
      <c r="B246" s="313" t="s">
        <v>79</v>
      </c>
      <c r="C246" s="314"/>
      <c r="D246" s="47" t="s">
        <v>80</v>
      </c>
      <c r="E246" s="91"/>
      <c r="F246" s="48"/>
      <c r="G246" s="49" t="e">
        <f>G244</f>
        <v>#REF!</v>
      </c>
      <c r="H246" s="27"/>
      <c r="I246" s="124"/>
      <c r="J246" s="124"/>
      <c r="K246" s="187"/>
    </row>
    <row r="247" spans="1:12" s="40" customFormat="1" ht="21.6" customHeight="1" x14ac:dyDescent="0.25">
      <c r="A247" s="39"/>
      <c r="B247" s="315" t="s">
        <v>81</v>
      </c>
      <c r="C247" s="316"/>
      <c r="D247" s="319" t="s">
        <v>82</v>
      </c>
      <c r="E247" s="320"/>
      <c r="F247" s="50">
        <v>0.15</v>
      </c>
      <c r="G247" s="51" t="e">
        <f>G246*F247</f>
        <v>#REF!</v>
      </c>
      <c r="H247" s="27"/>
      <c r="I247" s="124"/>
      <c r="J247" s="124"/>
      <c r="K247" s="187">
        <v>0.15</v>
      </c>
    </row>
    <row r="248" spans="1:12" s="40" customFormat="1" ht="22.15" customHeight="1" x14ac:dyDescent="0.25">
      <c r="A248" s="39"/>
      <c r="B248" s="317"/>
      <c r="C248" s="318"/>
      <c r="D248" s="319" t="s">
        <v>83</v>
      </c>
      <c r="E248" s="320"/>
      <c r="F248" s="50">
        <v>0.05</v>
      </c>
      <c r="G248" s="51" t="e">
        <f>G246*F248</f>
        <v>#REF!</v>
      </c>
      <c r="H248" s="27"/>
      <c r="I248" s="124"/>
      <c r="J248" s="124"/>
      <c r="K248" s="187">
        <v>0.05</v>
      </c>
    </row>
    <row r="249" spans="1:12" s="40" customFormat="1" ht="21" customHeight="1" x14ac:dyDescent="0.25">
      <c r="A249" s="39"/>
      <c r="B249" s="325" t="s">
        <v>84</v>
      </c>
      <c r="C249" s="326"/>
      <c r="D249" s="319" t="s">
        <v>85</v>
      </c>
      <c r="E249" s="320"/>
      <c r="F249" s="50">
        <v>0.05</v>
      </c>
      <c r="G249" s="51" t="e">
        <f>G246*F249</f>
        <v>#REF!</v>
      </c>
      <c r="H249" s="27"/>
      <c r="I249" s="124"/>
      <c r="J249" s="124"/>
      <c r="K249" s="187">
        <v>0.05</v>
      </c>
    </row>
    <row r="250" spans="1:12" s="40" customFormat="1" ht="24" customHeight="1" x14ac:dyDescent="0.25">
      <c r="A250" s="39"/>
      <c r="B250" s="327"/>
      <c r="C250" s="328"/>
      <c r="D250" s="319" t="s">
        <v>86</v>
      </c>
      <c r="E250" s="320"/>
      <c r="F250" s="50">
        <v>0.19</v>
      </c>
      <c r="G250" s="52" t="e">
        <f>G249*F250</f>
        <v>#REF!</v>
      </c>
      <c r="H250" s="27"/>
      <c r="I250" s="124"/>
      <c r="J250" s="124"/>
      <c r="K250" s="187">
        <v>0.19</v>
      </c>
    </row>
    <row r="251" spans="1:12" s="40" customFormat="1" ht="34.9" customHeight="1" thickBot="1" x14ac:dyDescent="0.3">
      <c r="A251" s="39"/>
      <c r="B251" s="329"/>
      <c r="C251" s="330"/>
      <c r="D251" s="53" t="s">
        <v>87</v>
      </c>
      <c r="E251" s="92"/>
      <c r="F251" s="54"/>
      <c r="G251" s="166" t="e">
        <f>ROUND((SUM(G246:G250)),0)</f>
        <v>#REF!</v>
      </c>
      <c r="H251" s="27"/>
      <c r="I251" s="124"/>
      <c r="J251" s="124"/>
      <c r="K251" s="187"/>
    </row>
    <row r="252" spans="1:12" s="40" customFormat="1" ht="9.75" customHeight="1" thickBot="1" x14ac:dyDescent="0.3">
      <c r="A252" s="39"/>
      <c r="B252" s="95"/>
      <c r="C252" s="63"/>
      <c r="D252" s="62"/>
      <c r="E252" s="95"/>
      <c r="F252" s="64"/>
      <c r="G252" s="65"/>
      <c r="H252" s="27"/>
      <c r="I252" s="124"/>
      <c r="J252" s="124"/>
      <c r="K252" s="187"/>
    </row>
    <row r="253" spans="1:12" s="40" customFormat="1" ht="21" customHeight="1" x14ac:dyDescent="0.25">
      <c r="A253" s="39"/>
      <c r="B253" s="192">
        <v>18</v>
      </c>
      <c r="C253" s="106" t="s">
        <v>88</v>
      </c>
      <c r="D253" s="55" t="s">
        <v>27</v>
      </c>
      <c r="E253" s="93" t="s">
        <v>28</v>
      </c>
      <c r="F253" s="55" t="s">
        <v>29</v>
      </c>
      <c r="G253" s="56" t="s">
        <v>30</v>
      </c>
      <c r="H253" s="27"/>
      <c r="I253" s="124"/>
      <c r="J253" s="124"/>
      <c r="K253" s="187" t="s">
        <v>29</v>
      </c>
    </row>
    <row r="254" spans="1:12" s="40" customFormat="1" x14ac:dyDescent="0.25">
      <c r="A254" s="39"/>
      <c r="B254" s="193" t="s">
        <v>284</v>
      </c>
      <c r="C254" s="103" t="s">
        <v>146</v>
      </c>
      <c r="D254" s="58" t="s">
        <v>27</v>
      </c>
      <c r="E254" s="104">
        <v>1</v>
      </c>
      <c r="F254" s="59" t="e">
        <f>+G244*0.035</f>
        <v>#REF!</v>
      </c>
      <c r="G254" s="57" t="e">
        <f>+E254*F254</f>
        <v>#REF!</v>
      </c>
      <c r="H254" s="27"/>
      <c r="I254" s="124"/>
      <c r="J254" s="124"/>
      <c r="K254" s="187">
        <v>27567555.359999999</v>
      </c>
    </row>
    <row r="255" spans="1:12" s="40" customFormat="1" ht="23.45" customHeight="1" thickBot="1" x14ac:dyDescent="0.3">
      <c r="A255" s="39"/>
      <c r="B255" s="191" t="s">
        <v>89</v>
      </c>
      <c r="C255" s="60"/>
      <c r="D255" s="61"/>
      <c r="E255" s="94"/>
      <c r="F255" s="46"/>
      <c r="G255" s="110" t="e">
        <f>ROUND((SUM(G254:G254)),0)</f>
        <v>#REF!</v>
      </c>
      <c r="H255" s="27"/>
      <c r="I255" s="124"/>
      <c r="J255" s="124"/>
      <c r="K255" s="187"/>
    </row>
    <row r="256" spans="1:12" s="40" customFormat="1" ht="9.75" customHeight="1" thickBot="1" x14ac:dyDescent="0.3">
      <c r="A256" s="39"/>
      <c r="B256" s="95"/>
      <c r="C256" s="63"/>
      <c r="D256" s="62"/>
      <c r="E256" s="95"/>
      <c r="F256" s="64"/>
      <c r="G256" s="65"/>
      <c r="H256" s="27"/>
      <c r="I256" s="124"/>
      <c r="J256" s="124"/>
      <c r="K256" s="187"/>
    </row>
    <row r="257" spans="1:11" s="40" customFormat="1" ht="27.6" customHeight="1" thickBot="1" x14ac:dyDescent="0.3">
      <c r="A257" s="39"/>
      <c r="B257" s="331" t="s">
        <v>90</v>
      </c>
      <c r="C257" s="332"/>
      <c r="D257" s="108"/>
      <c r="E257" s="108"/>
      <c r="F257" s="333" t="e">
        <f>+G251+G255</f>
        <v>#REF!</v>
      </c>
      <c r="G257" s="334"/>
      <c r="H257" s="27"/>
      <c r="I257" s="125">
        <v>946486067</v>
      </c>
      <c r="J257" s="125"/>
      <c r="K257" s="187">
        <v>946486067</v>
      </c>
    </row>
    <row r="258" spans="1:11" s="40" customFormat="1" ht="9.75" customHeight="1" thickBot="1" x14ac:dyDescent="0.3">
      <c r="A258" s="39"/>
      <c r="B258" s="95"/>
      <c r="C258" s="63"/>
      <c r="D258" s="62"/>
      <c r="E258" s="95"/>
      <c r="F258" s="64"/>
      <c r="G258" s="65"/>
      <c r="H258" s="27"/>
      <c r="I258" s="124"/>
      <c r="J258" s="124"/>
      <c r="K258" s="187"/>
    </row>
    <row r="259" spans="1:11" s="40" customFormat="1" x14ac:dyDescent="0.25">
      <c r="A259" s="39"/>
      <c r="B259" s="307" t="s">
        <v>91</v>
      </c>
      <c r="C259" s="66"/>
      <c r="D259" s="67"/>
      <c r="E259" s="96"/>
      <c r="F259" s="67"/>
      <c r="G259" s="67"/>
      <c r="H259" s="27"/>
      <c r="I259" s="125" t="e">
        <f>+I257-F257</f>
        <v>#REF!</v>
      </c>
      <c r="J259" s="125"/>
      <c r="K259" s="187"/>
    </row>
    <row r="260" spans="1:11" s="40" customFormat="1" x14ac:dyDescent="0.25">
      <c r="A260" s="39"/>
      <c r="B260" s="308"/>
      <c r="C260" s="68"/>
      <c r="D260" s="67"/>
      <c r="E260" s="96"/>
      <c r="F260" s="67"/>
      <c r="G260" s="67"/>
      <c r="H260" s="27"/>
      <c r="I260" s="124"/>
      <c r="J260" s="124"/>
      <c r="K260" s="187"/>
    </row>
    <row r="261" spans="1:11" s="40" customFormat="1" x14ac:dyDescent="0.25">
      <c r="A261" s="39"/>
      <c r="B261" s="309"/>
      <c r="C261" s="69"/>
      <c r="D261" s="67"/>
      <c r="E261" s="97" t="s">
        <v>92</v>
      </c>
      <c r="F261" s="310" t="s">
        <v>93</v>
      </c>
      <c r="G261" s="311"/>
      <c r="H261" s="27"/>
      <c r="I261" s="124"/>
      <c r="J261" s="124"/>
      <c r="K261" s="187" t="s">
        <v>93</v>
      </c>
    </row>
    <row r="262" spans="1:11" s="40" customFormat="1" x14ac:dyDescent="0.25">
      <c r="A262" s="39"/>
      <c r="B262" s="194" t="s">
        <v>18</v>
      </c>
      <c r="C262" s="70"/>
      <c r="D262" s="67"/>
      <c r="E262" s="98" t="s">
        <v>94</v>
      </c>
      <c r="F262" s="71" t="s">
        <v>95</v>
      </c>
      <c r="G262" s="71" t="s">
        <v>96</v>
      </c>
      <c r="H262" s="27"/>
      <c r="I262" s="124"/>
      <c r="J262" s="124"/>
      <c r="K262" s="187" t="s">
        <v>95</v>
      </c>
    </row>
    <row r="263" spans="1:11" s="40" customFormat="1" x14ac:dyDescent="0.25">
      <c r="A263" s="39"/>
      <c r="B263" s="195" t="s">
        <v>97</v>
      </c>
      <c r="C263" s="72"/>
      <c r="D263" s="67"/>
      <c r="E263" s="98" t="s">
        <v>98</v>
      </c>
      <c r="F263" s="71" t="s">
        <v>99</v>
      </c>
      <c r="G263" s="71" t="s">
        <v>100</v>
      </c>
      <c r="H263" s="27"/>
      <c r="I263" s="124"/>
      <c r="J263" s="124"/>
      <c r="K263" s="187" t="s">
        <v>99</v>
      </c>
    </row>
    <row r="264" spans="1:11" s="40" customFormat="1" ht="26.25" thickBot="1" x14ac:dyDescent="0.3">
      <c r="A264" s="39"/>
      <c r="B264" s="196" t="s">
        <v>101</v>
      </c>
      <c r="C264" s="73"/>
      <c r="D264" s="67"/>
      <c r="E264" s="98" t="s">
        <v>102</v>
      </c>
      <c r="F264" s="310" t="s">
        <v>103</v>
      </c>
      <c r="G264" s="311"/>
      <c r="H264" s="27"/>
      <c r="I264" s="124"/>
      <c r="J264" s="124"/>
      <c r="K264" s="187" t="s">
        <v>103</v>
      </c>
    </row>
    <row r="265" spans="1:11" s="40" customFormat="1" ht="8.25" customHeight="1" thickBot="1" x14ac:dyDescent="0.3">
      <c r="A265" s="74"/>
      <c r="B265" s="99"/>
      <c r="C265" s="76"/>
      <c r="D265" s="75"/>
      <c r="E265" s="99"/>
      <c r="F265" s="77"/>
      <c r="G265" s="78"/>
      <c r="H265" s="79"/>
      <c r="I265" s="124"/>
      <c r="J265" s="124"/>
      <c r="K265" s="187"/>
    </row>
    <row r="266" spans="1:11" s="40" customFormat="1" x14ac:dyDescent="0.25">
      <c r="B266" s="95"/>
      <c r="C266" s="63"/>
      <c r="D266" s="62"/>
      <c r="E266" s="95"/>
      <c r="F266" s="64"/>
      <c r="G266" s="65"/>
      <c r="I266" s="124"/>
      <c r="J266" s="124"/>
      <c r="K266" s="187"/>
    </row>
    <row r="267" spans="1:11" s="40" customFormat="1" x14ac:dyDescent="0.25">
      <c r="B267" s="95"/>
      <c r="C267" s="62"/>
      <c r="D267" s="62"/>
      <c r="E267" s="95"/>
      <c r="F267" s="64"/>
      <c r="G267" s="65"/>
      <c r="I267" s="124"/>
      <c r="J267" s="124"/>
      <c r="K267" s="187"/>
    </row>
  </sheetData>
  <mergeCells count="36">
    <mergeCell ref="B19:C19"/>
    <mergeCell ref="B2:C2"/>
    <mergeCell ref="D2:G2"/>
    <mergeCell ref="B3:G3"/>
    <mergeCell ref="B4:G4"/>
    <mergeCell ref="D8:F8"/>
    <mergeCell ref="B9:B10"/>
    <mergeCell ref="C9:G10"/>
    <mergeCell ref="B11:G11"/>
    <mergeCell ref="B12:G12"/>
    <mergeCell ref="B16:G16"/>
    <mergeCell ref="B17:G17"/>
    <mergeCell ref="B18:C18"/>
    <mergeCell ref="B26:E26"/>
    <mergeCell ref="B55:E55"/>
    <mergeCell ref="B82:E82"/>
    <mergeCell ref="B111:E111"/>
    <mergeCell ref="B137:E137"/>
    <mergeCell ref="B249:C249"/>
    <mergeCell ref="D249:E249"/>
    <mergeCell ref="B163:E163"/>
    <mergeCell ref="B195:E195"/>
    <mergeCell ref="B239:E239"/>
    <mergeCell ref="B243:E243"/>
    <mergeCell ref="E244:F244"/>
    <mergeCell ref="B246:C246"/>
    <mergeCell ref="B247:C248"/>
    <mergeCell ref="D247:E247"/>
    <mergeCell ref="D248:E248"/>
    <mergeCell ref="F264:G264"/>
    <mergeCell ref="B250:C251"/>
    <mergeCell ref="D250:E250"/>
    <mergeCell ref="B257:C257"/>
    <mergeCell ref="F257:G257"/>
    <mergeCell ref="B259:B261"/>
    <mergeCell ref="F261:G261"/>
  </mergeCells>
  <printOptions horizontalCentered="1"/>
  <pageMargins left="0.19685039370078741" right="0.19685039370078741" top="0.39370078740157483" bottom="0.39370078740157483" header="0" footer="0"/>
  <pageSetup scale="56" fitToHeight="0" orientation="portrait" r:id="rId1"/>
  <rowBreaks count="1" manualBreakCount="1">
    <brk id="55" max="7" man="1"/>
  </rowBreaks>
  <colBreaks count="1" manualBreakCount="1">
    <brk id="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36A78-E1ED-465E-8529-D3646F422483}">
  <sheetPr>
    <tabColor theme="4" tint="-0.249977111117893"/>
    <pageSetUpPr fitToPage="1"/>
  </sheetPr>
  <dimension ref="A1:O289"/>
  <sheetViews>
    <sheetView tabSelected="1" view="pageBreakPreview" zoomScale="70" zoomScaleNormal="70" zoomScaleSheetLayoutView="70" workbookViewId="0">
      <selection activeCell="C20" sqref="C20"/>
    </sheetView>
  </sheetViews>
  <sheetFormatPr baseColWidth="10" defaultColWidth="10.7109375" defaultRowHeight="25.5" x14ac:dyDescent="0.25"/>
  <cols>
    <col min="1" max="1" width="1.7109375" style="7" customWidth="1"/>
    <col min="2" max="2" width="21.85546875" style="289" customWidth="1"/>
    <col min="3" max="3" width="83.5703125" style="63" customWidth="1"/>
    <col min="4" max="4" width="17.85546875" style="62" customWidth="1"/>
    <col min="5" max="5" width="16.28515625" style="95" customWidth="1"/>
    <col min="6" max="6" width="21.85546875" style="64" customWidth="1"/>
    <col min="7" max="7" width="32.85546875" style="65" customWidth="1"/>
    <col min="8" max="8" width="38.5703125" style="254" customWidth="1"/>
    <col min="9" max="9" width="31.42578125" style="277" customWidth="1"/>
    <col min="10" max="10" width="31.42578125" style="185" customWidth="1"/>
    <col min="11" max="11" width="23.140625" style="7" customWidth="1"/>
    <col min="12" max="12" width="12.85546875" style="7" bestFit="1" customWidth="1"/>
    <col min="13" max="13" width="15.85546875" style="7" customWidth="1"/>
    <col min="14" max="14" width="17.140625" style="7" bestFit="1" customWidth="1"/>
    <col min="15" max="15" width="20.140625" style="7" customWidth="1"/>
    <col min="16" max="16" width="12.5703125" style="7" bestFit="1" customWidth="1"/>
    <col min="17" max="18" width="15.42578125" style="7" bestFit="1" customWidth="1"/>
    <col min="19" max="16384" width="10.7109375" style="7"/>
  </cols>
  <sheetData>
    <row r="1" spans="1:15" ht="9.9499999999999993" customHeight="1" thickBot="1" x14ac:dyDescent="0.3">
      <c r="A1" s="1"/>
      <c r="B1" s="283"/>
      <c r="C1" s="3"/>
      <c r="D1" s="2"/>
      <c r="E1" s="84"/>
      <c r="F1" s="4"/>
      <c r="G1" s="5"/>
    </row>
    <row r="2" spans="1:15" s="10" customFormat="1" ht="99.95" customHeight="1" thickBot="1" x14ac:dyDescent="0.35">
      <c r="A2" s="8"/>
      <c r="B2" s="337"/>
      <c r="C2" s="338"/>
      <c r="D2" s="339" t="s">
        <v>0</v>
      </c>
      <c r="E2" s="339"/>
      <c r="F2" s="339"/>
      <c r="G2" s="340"/>
      <c r="H2" s="255"/>
      <c r="I2" s="278"/>
      <c r="J2" s="186"/>
    </row>
    <row r="3" spans="1:15" s="10" customFormat="1" ht="9.9499999999999993" customHeight="1" thickBot="1" x14ac:dyDescent="0.35">
      <c r="A3" s="8"/>
      <c r="B3" s="338"/>
      <c r="C3" s="338"/>
      <c r="D3" s="338"/>
      <c r="E3" s="338"/>
      <c r="F3" s="338"/>
      <c r="G3" s="338"/>
      <c r="H3" s="255"/>
      <c r="I3" s="278"/>
      <c r="J3" s="186"/>
    </row>
    <row r="4" spans="1:15" s="10" customFormat="1" ht="20.100000000000001" customHeight="1" x14ac:dyDescent="0.25">
      <c r="A4" s="8"/>
      <c r="B4" s="341" t="s">
        <v>1</v>
      </c>
      <c r="C4" s="342"/>
      <c r="D4" s="342"/>
      <c r="E4" s="342"/>
      <c r="F4" s="342"/>
      <c r="G4" s="343"/>
      <c r="H4" s="255"/>
      <c r="I4" s="278"/>
      <c r="J4" s="186"/>
    </row>
    <row r="5" spans="1:15" s="10" customFormat="1" ht="20.100000000000001" customHeight="1" x14ac:dyDescent="0.25">
      <c r="A5" s="8"/>
      <c r="B5" s="284" t="s">
        <v>2</v>
      </c>
      <c r="C5" s="12" t="s">
        <v>716</v>
      </c>
      <c r="D5" s="13" t="s">
        <v>4</v>
      </c>
      <c r="E5" s="85"/>
      <c r="F5" s="14" t="s">
        <v>5</v>
      </c>
      <c r="G5" s="15" t="s">
        <v>715</v>
      </c>
      <c r="H5" s="255"/>
      <c r="I5" s="278"/>
      <c r="J5" s="186"/>
    </row>
    <row r="6" spans="1:15" s="10" customFormat="1" ht="28.15" customHeight="1" x14ac:dyDescent="0.25">
      <c r="A6" s="8"/>
      <c r="B6" s="284" t="s">
        <v>7</v>
      </c>
      <c r="C6" s="16" t="s">
        <v>8</v>
      </c>
      <c r="D6" s="13" t="s">
        <v>9</v>
      </c>
      <c r="E6" s="85"/>
      <c r="F6" s="13" t="s">
        <v>10</v>
      </c>
      <c r="G6" s="17"/>
      <c r="H6" s="255"/>
      <c r="I6" s="278"/>
      <c r="J6" s="186"/>
    </row>
    <row r="7" spans="1:15" s="10" customFormat="1" ht="30.75" customHeight="1" x14ac:dyDescent="0.25">
      <c r="A7" s="8"/>
      <c r="B7" s="284" t="s">
        <v>11</v>
      </c>
      <c r="C7" s="16"/>
      <c r="D7" s="165" t="s">
        <v>12</v>
      </c>
      <c r="E7" s="86"/>
      <c r="F7" s="165" t="s">
        <v>13</v>
      </c>
      <c r="G7" s="18"/>
      <c r="H7" s="255"/>
      <c r="I7" s="278"/>
      <c r="J7" s="186"/>
    </row>
    <row r="8" spans="1:15" s="10" customFormat="1" ht="29.45" customHeight="1" x14ac:dyDescent="0.25">
      <c r="A8" s="8"/>
      <c r="B8" s="284" t="s">
        <v>14</v>
      </c>
      <c r="C8" s="16"/>
      <c r="D8" s="344" t="s">
        <v>15</v>
      </c>
      <c r="E8" s="345"/>
      <c r="F8" s="345"/>
      <c r="G8" s="19"/>
      <c r="H8" s="255"/>
      <c r="I8" s="278"/>
      <c r="J8" s="208"/>
      <c r="O8" s="207"/>
    </row>
    <row r="9" spans="1:15" s="10" customFormat="1" ht="20.100000000000001" customHeight="1" x14ac:dyDescent="0.25">
      <c r="A9" s="8"/>
      <c r="B9" s="357" t="s">
        <v>16</v>
      </c>
      <c r="C9" s="348" t="s">
        <v>714</v>
      </c>
      <c r="D9" s="348"/>
      <c r="E9" s="348"/>
      <c r="F9" s="348"/>
      <c r="G9" s="349"/>
      <c r="H9" s="255"/>
      <c r="I9" s="278"/>
      <c r="J9" s="186"/>
    </row>
    <row r="10" spans="1:15" s="10" customFormat="1" ht="42.75" customHeight="1" thickBot="1" x14ac:dyDescent="0.3">
      <c r="A10" s="8"/>
      <c r="B10" s="358"/>
      <c r="C10" s="350"/>
      <c r="D10" s="350"/>
      <c r="E10" s="350"/>
      <c r="F10" s="350"/>
      <c r="G10" s="351"/>
      <c r="H10" s="255"/>
      <c r="I10" s="278"/>
      <c r="J10" s="208"/>
      <c r="N10" s="206"/>
      <c r="O10" s="206"/>
    </row>
    <row r="11" spans="1:15" s="10" customFormat="1" ht="9.9499999999999993" customHeight="1" thickBot="1" x14ac:dyDescent="0.3">
      <c r="A11" s="8"/>
      <c r="B11" s="352"/>
      <c r="C11" s="352"/>
      <c r="D11" s="352"/>
      <c r="E11" s="352"/>
      <c r="F11" s="352"/>
      <c r="G11" s="352"/>
      <c r="H11" s="255"/>
      <c r="I11" s="278"/>
      <c r="J11" s="186"/>
    </row>
    <row r="12" spans="1:15" s="10" customFormat="1" ht="20.100000000000001" customHeight="1" x14ac:dyDescent="0.25">
      <c r="A12" s="8"/>
      <c r="B12" s="341" t="s">
        <v>17</v>
      </c>
      <c r="C12" s="342"/>
      <c r="D12" s="342"/>
      <c r="E12" s="342"/>
      <c r="F12" s="342"/>
      <c r="G12" s="343"/>
      <c r="H12" s="255"/>
      <c r="I12" s="278"/>
      <c r="J12" s="186"/>
    </row>
    <row r="13" spans="1:15" s="10" customFormat="1" ht="20.100000000000001" customHeight="1" x14ac:dyDescent="0.25">
      <c r="A13" s="8"/>
      <c r="B13" s="285" t="s">
        <v>18</v>
      </c>
      <c r="C13" s="16"/>
      <c r="D13" s="21" t="s">
        <v>19</v>
      </c>
      <c r="E13" s="87"/>
      <c r="F13" s="21" t="s">
        <v>20</v>
      </c>
      <c r="G13" s="22"/>
      <c r="H13" s="255"/>
      <c r="I13" s="278"/>
      <c r="J13" s="186"/>
    </row>
    <row r="14" spans="1:15" s="10" customFormat="1" ht="20.25" customHeight="1" x14ac:dyDescent="0.25">
      <c r="A14" s="8"/>
      <c r="B14" s="285" t="s">
        <v>21</v>
      </c>
      <c r="C14" s="16"/>
      <c r="D14" s="21" t="s">
        <v>22</v>
      </c>
      <c r="E14" s="88"/>
      <c r="F14" s="21" t="s">
        <v>23</v>
      </c>
      <c r="G14" s="18"/>
      <c r="H14" s="255"/>
      <c r="I14" s="278"/>
      <c r="J14" s="186"/>
    </row>
    <row r="15" spans="1:15" s="10" customFormat="1" ht="29.45" customHeight="1" thickBot="1" x14ac:dyDescent="0.3">
      <c r="A15" s="8"/>
      <c r="B15" s="286" t="s">
        <v>24</v>
      </c>
      <c r="C15" s="24"/>
      <c r="D15" s="25" t="s">
        <v>25</v>
      </c>
      <c r="E15" s="89"/>
      <c r="F15" s="25" t="s">
        <v>26</v>
      </c>
      <c r="G15" s="168"/>
      <c r="H15" s="255"/>
      <c r="I15" s="278"/>
      <c r="J15" s="186"/>
    </row>
    <row r="16" spans="1:15" s="10" customFormat="1" ht="9.9499999999999993" customHeight="1" thickBot="1" x14ac:dyDescent="0.3">
      <c r="A16" s="8"/>
      <c r="B16" s="353"/>
      <c r="C16" s="353"/>
      <c r="D16" s="353"/>
      <c r="E16" s="353"/>
      <c r="F16" s="353"/>
      <c r="G16" s="353"/>
      <c r="H16" s="255"/>
      <c r="I16" s="278"/>
      <c r="J16" s="186"/>
    </row>
    <row r="17" spans="1:14" ht="35.25" customHeight="1" x14ac:dyDescent="0.25">
      <c r="A17" s="26"/>
      <c r="B17" s="287" t="s">
        <v>719</v>
      </c>
      <c r="C17" s="29" t="s">
        <v>720</v>
      </c>
      <c r="D17" s="30" t="s">
        <v>27</v>
      </c>
      <c r="E17" s="83" t="s">
        <v>28</v>
      </c>
      <c r="F17" s="30" t="s">
        <v>29</v>
      </c>
      <c r="G17" s="32" t="s">
        <v>30</v>
      </c>
      <c r="K17" s="189"/>
      <c r="N17" s="204"/>
    </row>
    <row r="18" spans="1:14" ht="69.75" customHeight="1" x14ac:dyDescent="0.25">
      <c r="A18" s="26"/>
      <c r="B18" s="294">
        <v>1</v>
      </c>
      <c r="C18" s="295" t="s">
        <v>718</v>
      </c>
      <c r="D18" s="296" t="s">
        <v>27</v>
      </c>
      <c r="E18" s="297">
        <v>50</v>
      </c>
      <c r="F18" s="298" t="e">
        <f>#REF!</f>
        <v>#REF!</v>
      </c>
      <c r="G18" s="299" t="e">
        <f t="shared" ref="G18:G20" si="0">+E18*F18</f>
        <v>#REF!</v>
      </c>
      <c r="H18" s="253"/>
      <c r="I18" s="253"/>
      <c r="J18" s="122"/>
      <c r="K18" s="185"/>
      <c r="L18" s="189"/>
    </row>
    <row r="19" spans="1:14" ht="69.75" customHeight="1" x14ac:dyDescent="0.25">
      <c r="A19" s="26"/>
      <c r="B19" s="300">
        <v>2</v>
      </c>
      <c r="C19" s="301" t="s">
        <v>721</v>
      </c>
      <c r="D19" s="302" t="s">
        <v>27</v>
      </c>
      <c r="E19" s="303">
        <v>80</v>
      </c>
      <c r="F19" s="304" t="e">
        <f>#REF!</f>
        <v>#REF!</v>
      </c>
      <c r="G19" s="299" t="e">
        <f t="shared" si="0"/>
        <v>#REF!</v>
      </c>
      <c r="H19" s="253"/>
      <c r="I19" s="253"/>
      <c r="J19" s="122"/>
      <c r="K19" s="185"/>
      <c r="L19" s="189"/>
    </row>
    <row r="20" spans="1:14" ht="69.75" customHeight="1" x14ac:dyDescent="0.25">
      <c r="A20" s="26"/>
      <c r="B20" s="300">
        <v>3</v>
      </c>
      <c r="C20" s="301" t="s">
        <v>722</v>
      </c>
      <c r="D20" s="302" t="s">
        <v>27</v>
      </c>
      <c r="E20" s="303">
        <v>11</v>
      </c>
      <c r="F20" s="304" t="e">
        <f>#REF!</f>
        <v>#REF!</v>
      </c>
      <c r="G20" s="299" t="e">
        <f t="shared" si="0"/>
        <v>#REF!</v>
      </c>
      <c r="H20" s="253"/>
      <c r="I20" s="253"/>
      <c r="J20" s="122"/>
      <c r="K20" s="185"/>
      <c r="L20" s="189"/>
    </row>
    <row r="21" spans="1:14" s="40" customFormat="1" ht="30.6" customHeight="1" thickBot="1" x14ac:dyDescent="0.3">
      <c r="A21" s="39"/>
      <c r="B21" s="288"/>
      <c r="C21" s="44"/>
      <c r="D21" s="45"/>
      <c r="E21" s="312" t="s">
        <v>724</v>
      </c>
      <c r="F21" s="312"/>
      <c r="G21" s="109" t="e">
        <f>SUM(G18:G20)</f>
        <v>#REF!</v>
      </c>
      <c r="H21" s="258"/>
      <c r="I21" s="279"/>
      <c r="J21" s="187"/>
    </row>
    <row r="22" spans="1:14" s="40" customFormat="1" ht="9.75" customHeight="1" thickBot="1" x14ac:dyDescent="0.3">
      <c r="A22" s="39"/>
      <c r="B22" s="289"/>
      <c r="C22" s="63"/>
      <c r="D22" s="62"/>
      <c r="E22" s="95"/>
      <c r="F22" s="64"/>
      <c r="G22" s="65"/>
      <c r="H22" s="258"/>
      <c r="I22" s="279"/>
      <c r="J22" s="187"/>
    </row>
    <row r="23" spans="1:14" s="40" customFormat="1" ht="25.15" customHeight="1" x14ac:dyDescent="0.25">
      <c r="A23" s="39"/>
      <c r="B23" s="313" t="s">
        <v>79</v>
      </c>
      <c r="C23" s="314"/>
      <c r="D23" s="47" t="s">
        <v>80</v>
      </c>
      <c r="E23" s="91"/>
      <c r="F23" s="48"/>
      <c r="G23" s="49" t="e">
        <f>G21</f>
        <v>#REF!</v>
      </c>
      <c r="H23" s="258"/>
      <c r="I23" s="279"/>
      <c r="J23" s="187"/>
    </row>
    <row r="24" spans="1:14" s="40" customFormat="1" ht="21.6" customHeight="1" x14ac:dyDescent="0.25">
      <c r="A24" s="39"/>
      <c r="B24" s="315" t="s">
        <v>81</v>
      </c>
      <c r="C24" s="316"/>
      <c r="D24" s="319" t="s">
        <v>82</v>
      </c>
      <c r="E24" s="320"/>
      <c r="F24" s="50">
        <v>0.2</v>
      </c>
      <c r="G24" s="51" t="e">
        <f>G23*F24</f>
        <v>#REF!</v>
      </c>
      <c r="H24" s="258"/>
      <c r="I24" s="279"/>
      <c r="J24" s="187"/>
    </row>
    <row r="25" spans="1:14" s="40" customFormat="1" ht="22.15" customHeight="1" x14ac:dyDescent="0.25">
      <c r="A25" s="39"/>
      <c r="B25" s="317"/>
      <c r="C25" s="318"/>
      <c r="D25" s="319" t="s">
        <v>83</v>
      </c>
      <c r="E25" s="320"/>
      <c r="F25" s="50">
        <v>0.05</v>
      </c>
      <c r="G25" s="51" t="e">
        <f>G23*F25</f>
        <v>#REF!</v>
      </c>
      <c r="H25" s="258"/>
      <c r="I25" s="279"/>
      <c r="J25" s="187"/>
    </row>
    <row r="26" spans="1:14" s="40" customFormat="1" ht="21" customHeight="1" x14ac:dyDescent="0.25">
      <c r="A26" s="39"/>
      <c r="B26" s="325" t="s">
        <v>84</v>
      </c>
      <c r="C26" s="326"/>
      <c r="D26" s="319" t="s">
        <v>85</v>
      </c>
      <c r="E26" s="320"/>
      <c r="F26" s="50">
        <v>0.05</v>
      </c>
      <c r="G26" s="51" t="e">
        <f>G23*F26</f>
        <v>#REF!</v>
      </c>
      <c r="H26" s="258"/>
      <c r="I26" s="279"/>
      <c r="J26" s="187"/>
    </row>
    <row r="27" spans="1:14" s="40" customFormat="1" ht="24" customHeight="1" x14ac:dyDescent="0.25">
      <c r="A27" s="39"/>
      <c r="B27" s="327"/>
      <c r="C27" s="328"/>
      <c r="D27" s="319" t="s">
        <v>86</v>
      </c>
      <c r="E27" s="320"/>
      <c r="F27" s="50">
        <v>0.19</v>
      </c>
      <c r="G27" s="52" t="e">
        <f>G26*F27</f>
        <v>#REF!</v>
      </c>
      <c r="H27" s="258"/>
      <c r="I27" s="279"/>
      <c r="J27" s="187"/>
    </row>
    <row r="28" spans="1:14" s="40" customFormat="1" ht="34.9" customHeight="1" thickBot="1" x14ac:dyDescent="0.3">
      <c r="A28" s="39"/>
      <c r="B28" s="329"/>
      <c r="C28" s="330"/>
      <c r="D28" s="53" t="s">
        <v>723</v>
      </c>
      <c r="E28" s="92"/>
      <c r="F28" s="54"/>
      <c r="G28" s="166" t="e">
        <f>ROUND((SUM(G23:G27)),0)</f>
        <v>#REF!</v>
      </c>
      <c r="H28" s="257"/>
      <c r="I28" s="279"/>
      <c r="J28" s="187"/>
    </row>
    <row r="29" spans="1:14" s="40" customFormat="1" ht="9.75" customHeight="1" thickBot="1" x14ac:dyDescent="0.3">
      <c r="A29" s="39"/>
      <c r="B29" s="289"/>
      <c r="C29" s="63"/>
      <c r="D29" s="62"/>
      <c r="E29" s="95"/>
      <c r="F29" s="64"/>
      <c r="G29" s="65"/>
      <c r="H29" s="256"/>
      <c r="I29" s="279"/>
      <c r="J29" s="187"/>
    </row>
    <row r="30" spans="1:14" s="40" customFormat="1" ht="27.6" customHeight="1" thickBot="1" x14ac:dyDescent="0.3">
      <c r="A30" s="39"/>
      <c r="B30" s="331" t="s">
        <v>90</v>
      </c>
      <c r="C30" s="332"/>
      <c r="D30" s="108"/>
      <c r="E30" s="108"/>
      <c r="F30" s="333" t="e">
        <f>G28</f>
        <v>#REF!</v>
      </c>
      <c r="G30" s="334"/>
      <c r="H30" s="259"/>
      <c r="I30" s="279"/>
      <c r="J30" s="187"/>
    </row>
    <row r="31" spans="1:14" s="40" customFormat="1" ht="9.75" customHeight="1" thickBot="1" x14ac:dyDescent="0.3">
      <c r="A31" s="39"/>
      <c r="B31" s="289"/>
      <c r="C31" s="63"/>
      <c r="D31" s="62"/>
      <c r="E31" s="95"/>
      <c r="F31" s="64"/>
      <c r="G31" s="65"/>
      <c r="H31" s="256"/>
      <c r="I31" s="279"/>
      <c r="J31" s="187"/>
    </row>
    <row r="32" spans="1:14" s="40" customFormat="1" x14ac:dyDescent="0.25">
      <c r="A32" s="39"/>
      <c r="B32" s="359" t="s">
        <v>91</v>
      </c>
      <c r="C32" s="66"/>
      <c r="D32" s="67"/>
      <c r="E32" s="96"/>
      <c r="F32" s="67"/>
      <c r="G32" s="67"/>
      <c r="H32" s="259"/>
      <c r="I32" s="279"/>
      <c r="J32" s="187"/>
    </row>
    <row r="33" spans="1:10" s="40" customFormat="1" x14ac:dyDescent="0.25">
      <c r="A33" s="39"/>
      <c r="B33" s="360"/>
      <c r="C33" s="68"/>
      <c r="D33" s="67"/>
      <c r="E33" s="96"/>
      <c r="F33" s="67"/>
      <c r="G33" s="67"/>
      <c r="H33" s="256"/>
      <c r="I33" s="279"/>
      <c r="J33" s="187"/>
    </row>
    <row r="34" spans="1:10" s="40" customFormat="1" x14ac:dyDescent="0.25">
      <c r="A34" s="39"/>
      <c r="B34" s="361"/>
      <c r="C34" s="69"/>
      <c r="D34" s="67"/>
      <c r="E34" s="97" t="s">
        <v>92</v>
      </c>
      <c r="F34" s="310"/>
      <c r="G34" s="311"/>
      <c r="H34" s="256"/>
      <c r="I34" s="279"/>
      <c r="J34" s="187"/>
    </row>
    <row r="35" spans="1:10" s="40" customFormat="1" x14ac:dyDescent="0.25">
      <c r="A35" s="39"/>
      <c r="B35" s="290" t="s">
        <v>18</v>
      </c>
      <c r="C35" s="70"/>
      <c r="D35" s="67"/>
      <c r="E35" s="98" t="s">
        <v>94</v>
      </c>
      <c r="F35" s="71"/>
      <c r="G35" s="71"/>
      <c r="H35" s="256"/>
      <c r="I35" s="279"/>
      <c r="J35" s="187"/>
    </row>
    <row r="36" spans="1:10" s="40" customFormat="1" x14ac:dyDescent="0.25">
      <c r="A36" s="39"/>
      <c r="B36" s="291" t="s">
        <v>97</v>
      </c>
      <c r="C36" s="72"/>
      <c r="D36" s="67"/>
      <c r="E36" s="98" t="s">
        <v>98</v>
      </c>
      <c r="F36" s="71" t="s">
        <v>99</v>
      </c>
      <c r="G36" s="71" t="s">
        <v>717</v>
      </c>
      <c r="H36" s="256"/>
      <c r="I36" s="279"/>
      <c r="J36" s="187"/>
    </row>
    <row r="37" spans="1:10" s="40" customFormat="1" ht="26.25" thickBot="1" x14ac:dyDescent="0.3">
      <c r="A37" s="39"/>
      <c r="B37" s="292" t="s">
        <v>101</v>
      </c>
      <c r="C37" s="73"/>
      <c r="D37" s="67"/>
      <c r="E37" s="98" t="s">
        <v>102</v>
      </c>
      <c r="F37" s="310" t="s">
        <v>103</v>
      </c>
      <c r="G37" s="311"/>
      <c r="H37" s="256"/>
      <c r="I37" s="279"/>
      <c r="J37" s="187"/>
    </row>
    <row r="38" spans="1:10" s="40" customFormat="1" ht="8.25" customHeight="1" thickBot="1" x14ac:dyDescent="0.3">
      <c r="A38" s="74"/>
      <c r="B38" s="293"/>
      <c r="C38" s="76"/>
      <c r="D38" s="75"/>
      <c r="E38" s="99"/>
      <c r="F38" s="77"/>
      <c r="G38" s="78"/>
      <c r="H38" s="256"/>
      <c r="I38" s="279"/>
      <c r="J38" s="187"/>
    </row>
    <row r="39" spans="1:10" s="40" customFormat="1" x14ac:dyDescent="0.25">
      <c r="B39" s="289"/>
      <c r="C39" s="63"/>
      <c r="D39" s="62"/>
      <c r="E39" s="95"/>
      <c r="F39" s="64"/>
      <c r="G39" s="65"/>
      <c r="H39" s="256"/>
      <c r="I39" s="279"/>
      <c r="J39" s="187"/>
    </row>
    <row r="40" spans="1:10" s="40" customFormat="1" x14ac:dyDescent="0.25">
      <c r="B40" s="289"/>
      <c r="C40" s="62"/>
      <c r="D40" s="62"/>
      <c r="E40" s="95"/>
      <c r="F40" s="64"/>
      <c r="G40" s="65"/>
      <c r="H40" s="256"/>
      <c r="I40" s="279"/>
      <c r="J40" s="187"/>
    </row>
    <row r="274" spans="2:8" x14ac:dyDescent="0.25">
      <c r="B274" s="289">
        <v>4.0399999999999991</v>
      </c>
    </row>
    <row r="286" spans="2:8" x14ac:dyDescent="0.25">
      <c r="B286" s="362" t="s">
        <v>682</v>
      </c>
      <c r="C286" s="363"/>
      <c r="D286" s="363"/>
      <c r="E286" s="160"/>
      <c r="F286" s="161" t="s">
        <v>27</v>
      </c>
      <c r="G286" s="160">
        <v>2800</v>
      </c>
      <c r="H286" s="143"/>
    </row>
    <row r="287" spans="2:8" x14ac:dyDescent="0.25">
      <c r="B287" s="362" t="s">
        <v>378</v>
      </c>
      <c r="C287" s="363"/>
      <c r="D287" s="363"/>
      <c r="E287" s="160"/>
      <c r="F287" s="161" t="s">
        <v>316</v>
      </c>
      <c r="G287" s="160"/>
      <c r="H287" s="143"/>
    </row>
    <row r="288" spans="2:8" x14ac:dyDescent="0.25">
      <c r="B288" s="362" t="s">
        <v>379</v>
      </c>
      <c r="C288" s="363"/>
      <c r="D288" s="363"/>
      <c r="E288" s="160"/>
      <c r="F288" s="161" t="s">
        <v>171</v>
      </c>
      <c r="G288" s="160">
        <v>250000</v>
      </c>
      <c r="H288" s="143"/>
    </row>
    <row r="289" spans="2:8" x14ac:dyDescent="0.25">
      <c r="B289" s="364" t="s">
        <v>683</v>
      </c>
      <c r="C289" s="365"/>
      <c r="D289" s="366"/>
      <c r="E289" s="160"/>
      <c r="F289" s="161" t="s">
        <v>316</v>
      </c>
      <c r="G289" s="160"/>
      <c r="H289" s="143"/>
    </row>
  </sheetData>
  <mergeCells count="28">
    <mergeCell ref="B286:D286"/>
    <mergeCell ref="B287:D287"/>
    <mergeCell ref="B288:D288"/>
    <mergeCell ref="B289:D289"/>
    <mergeCell ref="B26:C26"/>
    <mergeCell ref="D26:E26"/>
    <mergeCell ref="E21:F21"/>
    <mergeCell ref="B23:C23"/>
    <mergeCell ref="B24:C25"/>
    <mergeCell ref="D24:E24"/>
    <mergeCell ref="D25:E25"/>
    <mergeCell ref="F37:G37"/>
    <mergeCell ref="B27:C28"/>
    <mergeCell ref="D27:E27"/>
    <mergeCell ref="B30:C30"/>
    <mergeCell ref="F30:G30"/>
    <mergeCell ref="B32:B34"/>
    <mergeCell ref="F34:G34"/>
    <mergeCell ref="B2:C2"/>
    <mergeCell ref="D2:G2"/>
    <mergeCell ref="B3:G3"/>
    <mergeCell ref="B4:G4"/>
    <mergeCell ref="D8:F8"/>
    <mergeCell ref="B9:B10"/>
    <mergeCell ref="C9:G10"/>
    <mergeCell ref="B11:G11"/>
    <mergeCell ref="B12:G12"/>
    <mergeCell ref="B16:G16"/>
  </mergeCells>
  <printOptions horizontalCentered="1"/>
  <pageMargins left="0.19685039370078741" right="0.19685039370078741" top="0.39370078740157483" bottom="0.39370078740157483" header="0" footer="0"/>
  <pageSetup scale="53" fitToHeight="0" orientation="portrait" r:id="rId1"/>
  <colBreaks count="1" manualBreakCount="1">
    <brk id="7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D61F3-0661-4249-A7FC-A8CB795AC7AD}">
  <dimension ref="B1:O4035"/>
  <sheetViews>
    <sheetView view="pageBreakPreview" topLeftCell="A3291" zoomScale="115" zoomScaleNormal="100" zoomScaleSheetLayoutView="115" workbookViewId="0">
      <selection activeCell="A3315" sqref="A3315:XFD4034"/>
    </sheetView>
  </sheetViews>
  <sheetFormatPr baseColWidth="10" defaultRowHeight="15" x14ac:dyDescent="0.25"/>
  <cols>
    <col min="2" max="2" width="10.85546875" style="266"/>
    <col min="10" max="10" width="13.42578125" customWidth="1"/>
    <col min="11" max="11" width="15.7109375" bestFit="1" customWidth="1"/>
    <col min="12" max="12" width="12.85546875" bestFit="1" customWidth="1"/>
  </cols>
  <sheetData>
    <row r="1" spans="2:13" ht="5.25" customHeight="1" thickBot="1" x14ac:dyDescent="0.3"/>
    <row r="2" spans="2:13" ht="45" customHeight="1" thickBot="1" x14ac:dyDescent="0.3">
      <c r="B2" s="401"/>
      <c r="C2" s="402"/>
      <c r="D2" s="402"/>
      <c r="E2" s="402"/>
      <c r="F2" s="403" t="s">
        <v>0</v>
      </c>
      <c r="G2" s="403"/>
      <c r="H2" s="403"/>
      <c r="I2" s="404"/>
    </row>
    <row r="3" spans="2:13" ht="6" customHeight="1" thickBot="1" x14ac:dyDescent="0.3">
      <c r="B3" s="373"/>
      <c r="C3" s="373"/>
      <c r="D3" s="373"/>
      <c r="E3" s="373"/>
      <c r="F3" s="373"/>
      <c r="G3" s="373"/>
      <c r="H3" s="373"/>
      <c r="I3" s="373"/>
    </row>
    <row r="4" spans="2:13" ht="10.5" customHeight="1" x14ac:dyDescent="0.25">
      <c r="B4" s="405" t="s">
        <v>294</v>
      </c>
      <c r="C4" s="406"/>
      <c r="D4" s="407" t="s">
        <v>295</v>
      </c>
      <c r="E4" s="409" t="s">
        <v>296</v>
      </c>
      <c r="F4" s="410"/>
      <c r="G4" s="410"/>
      <c r="H4" s="410"/>
      <c r="I4" s="411"/>
    </row>
    <row r="5" spans="2:13" ht="9" customHeight="1" thickBot="1" x14ac:dyDescent="0.3">
      <c r="B5" s="415"/>
      <c r="C5" s="416"/>
      <c r="D5" s="408"/>
      <c r="E5" s="412"/>
      <c r="F5" s="413"/>
      <c r="G5" s="413"/>
      <c r="H5" s="413"/>
      <c r="I5" s="414"/>
    </row>
    <row r="6" spans="2:13" ht="6" customHeight="1" thickBot="1" x14ac:dyDescent="0.3">
      <c r="B6" s="373"/>
      <c r="C6" s="373"/>
      <c r="D6" s="373"/>
      <c r="E6" s="373"/>
      <c r="F6" s="373"/>
      <c r="G6" s="373"/>
      <c r="H6" s="373"/>
      <c r="I6" s="373"/>
    </row>
    <row r="7" spans="2:13" ht="17.25" customHeight="1" thickBot="1" x14ac:dyDescent="0.3">
      <c r="B7" s="390" t="s">
        <v>297</v>
      </c>
      <c r="C7" s="391"/>
      <c r="D7" s="392"/>
      <c r="E7" s="393"/>
      <c r="F7" s="393"/>
      <c r="G7" s="394"/>
      <c r="H7" s="127" t="s">
        <v>298</v>
      </c>
      <c r="I7" s="128"/>
    </row>
    <row r="8" spans="2:13" ht="6" customHeight="1" thickBot="1" x14ac:dyDescent="0.3">
      <c r="B8" s="373"/>
      <c r="C8" s="373"/>
      <c r="D8" s="373"/>
      <c r="E8" s="373"/>
      <c r="F8" s="373"/>
      <c r="G8" s="373"/>
      <c r="H8" s="373"/>
      <c r="I8" s="373"/>
    </row>
    <row r="9" spans="2:13" ht="19.5" customHeight="1" x14ac:dyDescent="0.25">
      <c r="B9" s="261" t="s">
        <v>299</v>
      </c>
      <c r="C9" s="129" t="s">
        <v>300</v>
      </c>
      <c r="D9" s="130" t="s">
        <v>301</v>
      </c>
      <c r="E9" s="130" t="s">
        <v>302</v>
      </c>
      <c r="F9" s="398" t="s">
        <v>303</v>
      </c>
      <c r="G9" s="399"/>
      <c r="H9" s="400"/>
      <c r="I9" s="131" t="s">
        <v>304</v>
      </c>
    </row>
    <row r="10" spans="2:13" ht="11.25" customHeight="1" x14ac:dyDescent="0.25">
      <c r="B10" s="262"/>
      <c r="C10" s="132"/>
      <c r="D10" s="132" t="s">
        <v>305</v>
      </c>
      <c r="E10" s="132" t="s">
        <v>306</v>
      </c>
      <c r="F10" s="395" t="s">
        <v>339</v>
      </c>
      <c r="G10" s="396"/>
      <c r="H10" s="397"/>
      <c r="I10" s="133"/>
    </row>
    <row r="11" spans="2:13" ht="28.5" customHeight="1" x14ac:dyDescent="0.25">
      <c r="B11" s="263" t="s">
        <v>307</v>
      </c>
      <c r="C11" s="383" t="s">
        <v>414</v>
      </c>
      <c r="D11" s="384"/>
      <c r="E11" s="384"/>
      <c r="F11" s="384"/>
      <c r="G11" s="384"/>
      <c r="H11" s="384"/>
      <c r="I11" s="385"/>
    </row>
    <row r="12" spans="2:13" ht="10.5" customHeight="1" x14ac:dyDescent="0.25">
      <c r="B12" s="264" t="s">
        <v>129</v>
      </c>
      <c r="C12" s="388" t="s">
        <v>308</v>
      </c>
      <c r="D12" s="389"/>
      <c r="E12" s="389"/>
      <c r="F12" s="389"/>
      <c r="G12" s="389"/>
      <c r="H12" s="389"/>
      <c r="I12" s="134" t="s">
        <v>130</v>
      </c>
    </row>
    <row r="13" spans="2:13" ht="36" customHeight="1" thickBot="1" x14ac:dyDescent="0.3">
      <c r="B13" s="265">
        <v>3.01</v>
      </c>
      <c r="C13" s="386" t="s">
        <v>670</v>
      </c>
      <c r="D13" s="387"/>
      <c r="E13" s="387"/>
      <c r="F13" s="387"/>
      <c r="G13" s="387"/>
      <c r="H13" s="387"/>
      <c r="I13" s="135" t="s">
        <v>27</v>
      </c>
    </row>
    <row r="14" spans="2:13" ht="6" customHeight="1" thickBot="1" x14ac:dyDescent="0.3">
      <c r="B14" s="373"/>
      <c r="C14" s="373"/>
      <c r="D14" s="373"/>
      <c r="E14" s="373"/>
      <c r="F14" s="373"/>
      <c r="G14" s="373"/>
      <c r="H14" s="373"/>
      <c r="I14" s="373"/>
    </row>
    <row r="15" spans="2:13" x14ac:dyDescent="0.25">
      <c r="B15" s="380" t="s">
        <v>309</v>
      </c>
      <c r="C15" s="381"/>
      <c r="D15" s="381"/>
      <c r="E15" s="381"/>
      <c r="F15" s="381"/>
      <c r="G15" s="381"/>
      <c r="H15" s="381"/>
      <c r="I15" s="382"/>
      <c r="K15" s="182"/>
    </row>
    <row r="16" spans="2:13" ht="11.25" customHeight="1" x14ac:dyDescent="0.25">
      <c r="B16" s="377" t="s">
        <v>310</v>
      </c>
      <c r="C16" s="378"/>
      <c r="D16" s="379"/>
      <c r="E16" s="136"/>
      <c r="F16" s="137" t="s">
        <v>311</v>
      </c>
      <c r="G16" s="137" t="s">
        <v>312</v>
      </c>
      <c r="H16" s="137" t="s">
        <v>313</v>
      </c>
      <c r="I16" s="138" t="s">
        <v>314</v>
      </c>
      <c r="L16" s="139"/>
      <c r="M16" s="139"/>
    </row>
    <row r="17" spans="2:15" ht="11.25" customHeight="1" x14ac:dyDescent="0.25">
      <c r="B17" s="362" t="s">
        <v>315</v>
      </c>
      <c r="C17" s="363"/>
      <c r="D17" s="363"/>
      <c r="E17" s="160"/>
      <c r="F17" s="161" t="s">
        <v>316</v>
      </c>
      <c r="G17" s="160">
        <v>5000</v>
      </c>
      <c r="H17" s="142">
        <v>0.5</v>
      </c>
      <c r="I17" s="143">
        <f>G17*H17</f>
        <v>2500</v>
      </c>
    </row>
    <row r="18" spans="2:15" ht="16.5" customHeight="1" x14ac:dyDescent="0.25">
      <c r="B18" s="362" t="s">
        <v>355</v>
      </c>
      <c r="C18" s="363"/>
      <c r="D18" s="363"/>
      <c r="E18" s="160"/>
      <c r="F18" s="161" t="s">
        <v>317</v>
      </c>
      <c r="G18" s="160">
        <v>90000</v>
      </c>
      <c r="H18" s="142">
        <v>0.5</v>
      </c>
      <c r="I18" s="143">
        <f>G18*H18</f>
        <v>45000</v>
      </c>
    </row>
    <row r="19" spans="2:15" ht="11.25" customHeight="1" x14ac:dyDescent="0.25">
      <c r="B19" s="362"/>
      <c r="C19" s="363"/>
      <c r="D19" s="363"/>
      <c r="E19" s="160"/>
      <c r="F19" s="161"/>
      <c r="G19" s="160"/>
      <c r="H19" s="142"/>
      <c r="I19" s="143">
        <f>G19*H19</f>
        <v>0</v>
      </c>
    </row>
    <row r="20" spans="2:15" ht="10.5" customHeight="1" thickBot="1" x14ac:dyDescent="0.3">
      <c r="B20" s="371" t="s">
        <v>318</v>
      </c>
      <c r="C20" s="372"/>
      <c r="D20" s="372"/>
      <c r="E20" s="372"/>
      <c r="F20" s="372"/>
      <c r="G20" s="372"/>
      <c r="H20" s="372"/>
      <c r="I20" s="144">
        <f>SUM(I17:I19)</f>
        <v>47500</v>
      </c>
      <c r="N20" s="150"/>
    </row>
    <row r="21" spans="2:15" ht="6" customHeight="1" thickBot="1" x14ac:dyDescent="0.3">
      <c r="B21" s="373"/>
      <c r="C21" s="373"/>
      <c r="D21" s="373"/>
      <c r="E21" s="373"/>
      <c r="F21" s="373"/>
      <c r="G21" s="373"/>
      <c r="H21" s="373"/>
      <c r="I21" s="373"/>
    </row>
    <row r="22" spans="2:15" s="145" customFormat="1" x14ac:dyDescent="0.25">
      <c r="B22" s="380" t="s">
        <v>319</v>
      </c>
      <c r="C22" s="381"/>
      <c r="D22" s="381"/>
      <c r="E22" s="381"/>
      <c r="F22" s="381"/>
      <c r="G22" s="381"/>
      <c r="H22" s="381"/>
      <c r="I22" s="382"/>
    </row>
    <row r="23" spans="2:15" s="145" customFormat="1" ht="15.75" customHeight="1" x14ac:dyDescent="0.25">
      <c r="B23" s="377" t="s">
        <v>310</v>
      </c>
      <c r="C23" s="378"/>
      <c r="D23" s="379"/>
      <c r="E23" s="137"/>
      <c r="F23" s="137" t="s">
        <v>320</v>
      </c>
      <c r="G23" s="137" t="s">
        <v>321</v>
      </c>
      <c r="H23" s="137" t="s">
        <v>322</v>
      </c>
      <c r="I23" s="138" t="s">
        <v>314</v>
      </c>
    </row>
    <row r="24" spans="2:15" ht="54.75" customHeight="1" x14ac:dyDescent="0.25">
      <c r="B24" s="436" t="s">
        <v>670</v>
      </c>
      <c r="C24" s="437"/>
      <c r="D24" s="438"/>
      <c r="E24" s="163"/>
      <c r="F24" s="161" t="s">
        <v>27</v>
      </c>
      <c r="G24" s="160">
        <f>965500-38000-15000</f>
        <v>912500</v>
      </c>
      <c r="H24" s="142">
        <v>1</v>
      </c>
      <c r="I24" s="143">
        <f>G24*H24</f>
        <v>912500</v>
      </c>
    </row>
    <row r="25" spans="2:15" ht="11.25" customHeight="1" x14ac:dyDescent="0.25">
      <c r="B25" s="267"/>
      <c r="C25" s="171"/>
      <c r="D25" s="172"/>
      <c r="E25" s="173"/>
      <c r="F25" s="174"/>
      <c r="G25" s="175"/>
      <c r="H25" s="176"/>
      <c r="I25" s="143">
        <f>G25*H25</f>
        <v>0</v>
      </c>
    </row>
    <row r="26" spans="2:15" ht="10.5" customHeight="1" thickBot="1" x14ac:dyDescent="0.3">
      <c r="B26" s="371" t="s">
        <v>318</v>
      </c>
      <c r="C26" s="372"/>
      <c r="D26" s="372"/>
      <c r="E26" s="372"/>
      <c r="F26" s="372"/>
      <c r="G26" s="372"/>
      <c r="H26" s="372"/>
      <c r="I26" s="144">
        <f>SUM(I24:I25)</f>
        <v>912500</v>
      </c>
      <c r="N26" s="150"/>
    </row>
    <row r="27" spans="2:15" ht="6" customHeight="1" thickBot="1" x14ac:dyDescent="0.3">
      <c r="B27" s="373"/>
      <c r="C27" s="373"/>
      <c r="D27" s="373"/>
      <c r="E27" s="373"/>
      <c r="F27" s="373"/>
      <c r="G27" s="373"/>
      <c r="H27" s="373"/>
      <c r="I27" s="373"/>
    </row>
    <row r="28" spans="2:15" s="145" customFormat="1" x14ac:dyDescent="0.25">
      <c r="B28" s="380" t="s">
        <v>323</v>
      </c>
      <c r="C28" s="381"/>
      <c r="D28" s="381"/>
      <c r="E28" s="381"/>
      <c r="F28" s="381"/>
      <c r="G28" s="381"/>
      <c r="H28" s="381"/>
      <c r="I28" s="382"/>
      <c r="L28" s="146"/>
      <c r="M28" s="146"/>
    </row>
    <row r="29" spans="2:15" s="145" customFormat="1" x14ac:dyDescent="0.25">
      <c r="B29" s="377" t="s">
        <v>324</v>
      </c>
      <c r="C29" s="378"/>
      <c r="D29" s="379"/>
      <c r="E29" s="137" t="s">
        <v>325</v>
      </c>
      <c r="F29" s="137" t="s">
        <v>326</v>
      </c>
      <c r="G29" s="137" t="s">
        <v>130</v>
      </c>
      <c r="H29" s="137" t="s">
        <v>327</v>
      </c>
      <c r="I29" s="138" t="s">
        <v>314</v>
      </c>
      <c r="K29" s="260"/>
      <c r="N29" s="183"/>
      <c r="O29" s="148"/>
    </row>
    <row r="30" spans="2:15" ht="11.25" customHeight="1" x14ac:dyDescent="0.25">
      <c r="B30" s="362" t="s">
        <v>711</v>
      </c>
      <c r="C30" s="363"/>
      <c r="D30" s="363"/>
      <c r="E30" s="170">
        <v>1</v>
      </c>
      <c r="F30" s="164"/>
      <c r="G30" s="161"/>
      <c r="H30" s="162">
        <v>15000</v>
      </c>
      <c r="I30" s="143">
        <f>H30*E30</f>
        <v>15000</v>
      </c>
    </row>
    <row r="31" spans="2:15" ht="10.5" customHeight="1" thickBot="1" x14ac:dyDescent="0.3">
      <c r="B31" s="371" t="s">
        <v>318</v>
      </c>
      <c r="C31" s="372"/>
      <c r="D31" s="372"/>
      <c r="E31" s="372"/>
      <c r="F31" s="372"/>
      <c r="G31" s="372"/>
      <c r="H31" s="372"/>
      <c r="I31" s="144">
        <f>SUM(I30:I30)</f>
        <v>15000</v>
      </c>
      <c r="N31" s="150"/>
    </row>
    <row r="32" spans="2:15" ht="6" customHeight="1" thickBot="1" x14ac:dyDescent="0.3">
      <c r="B32" s="373"/>
      <c r="C32" s="373"/>
      <c r="D32" s="373"/>
      <c r="E32" s="373"/>
      <c r="F32" s="373"/>
      <c r="G32" s="373"/>
      <c r="H32" s="373"/>
      <c r="I32" s="373"/>
    </row>
    <row r="33" spans="2:15" s="145" customFormat="1" ht="20.100000000000001" customHeight="1" x14ac:dyDescent="0.25">
      <c r="B33" s="380" t="s">
        <v>328</v>
      </c>
      <c r="C33" s="381"/>
      <c r="D33" s="381"/>
      <c r="E33" s="381"/>
      <c r="F33" s="381"/>
      <c r="G33" s="381"/>
      <c r="H33" s="381"/>
      <c r="I33" s="382"/>
      <c r="N33" s="148"/>
      <c r="O33" s="149"/>
    </row>
    <row r="34" spans="2:15" s="145" customFormat="1" ht="20.100000000000001" customHeight="1" x14ac:dyDescent="0.25">
      <c r="B34" s="377" t="s">
        <v>329</v>
      </c>
      <c r="C34" s="379"/>
      <c r="D34" s="137" t="s">
        <v>322</v>
      </c>
      <c r="E34" s="137" t="s">
        <v>330</v>
      </c>
      <c r="F34" s="137" t="s">
        <v>331</v>
      </c>
      <c r="G34" s="137" t="s">
        <v>332</v>
      </c>
      <c r="H34" s="137" t="s">
        <v>313</v>
      </c>
      <c r="I34" s="138" t="s">
        <v>314</v>
      </c>
      <c r="O34" s="179"/>
    </row>
    <row r="35" spans="2:15" s="151" customFormat="1" ht="9.75" customHeight="1" x14ac:dyDescent="0.25">
      <c r="B35" s="367" t="s">
        <v>356</v>
      </c>
      <c r="C35" s="368"/>
      <c r="D35" s="180">
        <v>1</v>
      </c>
      <c r="E35" s="141">
        <v>140000</v>
      </c>
      <c r="F35" s="141">
        <f>+E35*0.8</f>
        <v>112000</v>
      </c>
      <c r="G35" s="178">
        <f>D35*E35+F35*D35</f>
        <v>252000</v>
      </c>
      <c r="H35" s="184">
        <v>2</v>
      </c>
      <c r="I35" s="143">
        <f>+G35/H35</f>
        <v>126000</v>
      </c>
      <c r="J35" s="145"/>
      <c r="K35" s="147"/>
    </row>
    <row r="36" spans="2:15" s="151" customFormat="1" ht="11.25" customHeight="1" x14ac:dyDescent="0.25">
      <c r="B36" s="367" t="s">
        <v>374</v>
      </c>
      <c r="C36" s="368"/>
      <c r="D36" s="180">
        <v>1</v>
      </c>
      <c r="E36" s="141">
        <v>80000</v>
      </c>
      <c r="F36" s="141">
        <f>+E36*0.8</f>
        <v>64000</v>
      </c>
      <c r="G36" s="178">
        <f>D36*E36+F36*D36</f>
        <v>144000</v>
      </c>
      <c r="H36" s="184">
        <f>+H35</f>
        <v>2</v>
      </c>
      <c r="I36" s="143">
        <f>+G36/H36</f>
        <v>72000</v>
      </c>
      <c r="J36" s="145"/>
      <c r="K36" s="147"/>
      <c r="L36" s="179"/>
      <c r="M36" s="179"/>
    </row>
    <row r="37" spans="2:15" s="145" customFormat="1" ht="10.5" customHeight="1" x14ac:dyDescent="0.25">
      <c r="B37" s="367" t="s">
        <v>333</v>
      </c>
      <c r="C37" s="368"/>
      <c r="D37" s="180">
        <v>2</v>
      </c>
      <c r="E37" s="141">
        <v>55000</v>
      </c>
      <c r="F37" s="141">
        <f>+E37*0.8</f>
        <v>44000</v>
      </c>
      <c r="G37" s="178">
        <f>D37*E37+F37*D37</f>
        <v>198000</v>
      </c>
      <c r="H37" s="184">
        <f>+H35</f>
        <v>2</v>
      </c>
      <c r="I37" s="143">
        <f>+G37/H37</f>
        <v>99000</v>
      </c>
      <c r="K37" s="147"/>
    </row>
    <row r="38" spans="2:15" s="151" customFormat="1" ht="11.25" customHeight="1" x14ac:dyDescent="0.25">
      <c r="B38" s="367"/>
      <c r="C38" s="368"/>
      <c r="D38" s="180"/>
      <c r="E38" s="141"/>
      <c r="F38" s="141"/>
      <c r="G38" s="178"/>
      <c r="H38" s="184"/>
      <c r="I38" s="143"/>
      <c r="L38" s="179"/>
      <c r="M38" s="179"/>
    </row>
    <row r="39" spans="2:15" ht="10.5" customHeight="1" thickBot="1" x14ac:dyDescent="0.3">
      <c r="B39" s="371" t="s">
        <v>318</v>
      </c>
      <c r="C39" s="372"/>
      <c r="D39" s="372"/>
      <c r="E39" s="372"/>
      <c r="F39" s="372"/>
      <c r="G39" s="372"/>
      <c r="H39" s="372"/>
      <c r="I39" s="144">
        <f>SUM(I35:I38)</f>
        <v>297000</v>
      </c>
      <c r="N39" s="150"/>
    </row>
    <row r="40" spans="2:15" ht="6" customHeight="1" thickBot="1" x14ac:dyDescent="0.3">
      <c r="B40" s="373"/>
      <c r="C40" s="373"/>
      <c r="D40" s="373"/>
      <c r="E40" s="373"/>
      <c r="F40" s="373"/>
      <c r="G40" s="373"/>
      <c r="H40" s="373"/>
      <c r="I40" s="373"/>
    </row>
    <row r="41" spans="2:15" ht="10.5" customHeight="1" thickBot="1" x14ac:dyDescent="0.3">
      <c r="B41" s="374" t="s">
        <v>334</v>
      </c>
      <c r="C41" s="375"/>
      <c r="D41" s="375"/>
      <c r="E41" s="375"/>
      <c r="F41" s="375"/>
      <c r="G41" s="375"/>
      <c r="H41" s="376"/>
      <c r="I41" s="152">
        <f>ROUND(+I20+I26+I31+I39,0)</f>
        <v>1272000</v>
      </c>
      <c r="K41" s="169"/>
      <c r="L41" s="181"/>
      <c r="M41" s="181"/>
      <c r="N41" s="153"/>
    </row>
    <row r="42" spans="2:15" ht="6" customHeight="1" thickBot="1" x14ac:dyDescent="0.3">
      <c r="B42" s="373"/>
      <c r="C42" s="373"/>
      <c r="D42" s="373"/>
      <c r="E42" s="373"/>
      <c r="F42" s="373"/>
      <c r="G42" s="373"/>
      <c r="H42" s="373"/>
      <c r="I42" s="373"/>
    </row>
    <row r="43" spans="2:15" ht="8.25" customHeight="1" x14ac:dyDescent="0.25">
      <c r="B43" s="433" t="s">
        <v>335</v>
      </c>
      <c r="C43" s="417"/>
      <c r="D43" s="418"/>
      <c r="E43" s="418"/>
      <c r="F43" s="419"/>
      <c r="G43" s="369" t="s">
        <v>336</v>
      </c>
      <c r="H43" s="370"/>
      <c r="I43" s="370"/>
    </row>
    <row r="44" spans="2:15" ht="33.75" customHeight="1" x14ac:dyDescent="0.25">
      <c r="B44" s="434"/>
      <c r="C44" s="420"/>
      <c r="D44" s="421"/>
      <c r="E44" s="421"/>
      <c r="F44" s="422"/>
      <c r="G44" s="430" t="s">
        <v>337</v>
      </c>
      <c r="H44" s="431"/>
      <c r="I44" s="431"/>
      <c r="L44" s="181"/>
      <c r="M44" s="181"/>
      <c r="N44" s="179"/>
    </row>
    <row r="45" spans="2:15" ht="13.5" customHeight="1" x14ac:dyDescent="0.25">
      <c r="B45" s="434"/>
      <c r="C45" s="420"/>
      <c r="D45" s="421"/>
      <c r="E45" s="421"/>
      <c r="F45" s="422"/>
      <c r="G45" s="154" t="s">
        <v>92</v>
      </c>
      <c r="H45" s="432" t="s">
        <v>93</v>
      </c>
      <c r="I45" s="432"/>
    </row>
    <row r="46" spans="2:15" ht="16.5" customHeight="1" x14ac:dyDescent="0.25">
      <c r="B46" s="435"/>
      <c r="C46" s="420"/>
      <c r="D46" s="421"/>
      <c r="E46" s="421"/>
      <c r="F46" s="422"/>
      <c r="G46" s="155" t="s">
        <v>94</v>
      </c>
      <c r="H46" s="156" t="s">
        <v>95</v>
      </c>
      <c r="I46" s="157" t="s">
        <v>96</v>
      </c>
    </row>
    <row r="47" spans="2:15" x14ac:dyDescent="0.25">
      <c r="B47" s="268" t="s">
        <v>18</v>
      </c>
      <c r="C47" s="427"/>
      <c r="D47" s="428"/>
      <c r="E47" s="428"/>
      <c r="F47" s="429"/>
      <c r="G47" s="155" t="s">
        <v>98</v>
      </c>
      <c r="H47" s="157" t="s">
        <v>99</v>
      </c>
      <c r="I47" s="157" t="s">
        <v>100</v>
      </c>
    </row>
    <row r="48" spans="2:15" x14ac:dyDescent="0.25">
      <c r="B48" s="269" t="s">
        <v>97</v>
      </c>
      <c r="C48" s="427"/>
      <c r="D48" s="428"/>
      <c r="E48" s="428"/>
      <c r="F48" s="429"/>
      <c r="G48" s="154" t="s">
        <v>338</v>
      </c>
      <c r="H48" s="426"/>
      <c r="I48" s="426"/>
    </row>
    <row r="49" spans="2:11" ht="15.75" thickBot="1" x14ac:dyDescent="0.3">
      <c r="B49" s="270" t="s">
        <v>101</v>
      </c>
      <c r="C49" s="423"/>
      <c r="D49" s="424"/>
      <c r="E49" s="424"/>
      <c r="F49" s="425"/>
      <c r="G49" s="154" t="s">
        <v>102</v>
      </c>
      <c r="H49" s="426" t="s">
        <v>103</v>
      </c>
      <c r="I49" s="426"/>
    </row>
    <row r="50" spans="2:11" ht="6" customHeight="1" thickBot="1" x14ac:dyDescent="0.3"/>
    <row r="51" spans="2:11" ht="45" customHeight="1" thickBot="1" x14ac:dyDescent="0.3">
      <c r="B51" s="401"/>
      <c r="C51" s="402"/>
      <c r="D51" s="402"/>
      <c r="E51" s="402"/>
      <c r="F51" s="403" t="s">
        <v>0</v>
      </c>
      <c r="G51" s="403"/>
      <c r="H51" s="403"/>
      <c r="I51" s="404"/>
    </row>
    <row r="52" spans="2:11" ht="6" customHeight="1" thickBot="1" x14ac:dyDescent="0.3">
      <c r="B52" s="373"/>
      <c r="C52" s="373"/>
      <c r="D52" s="373"/>
      <c r="E52" s="373"/>
      <c r="F52" s="373"/>
      <c r="G52" s="373"/>
      <c r="H52" s="373"/>
      <c r="I52" s="373"/>
    </row>
    <row r="53" spans="2:11" ht="10.5" customHeight="1" x14ac:dyDescent="0.25">
      <c r="B53" s="405" t="s">
        <v>294</v>
      </c>
      <c r="C53" s="406"/>
      <c r="D53" s="407" t="s">
        <v>295</v>
      </c>
      <c r="E53" s="409" t="s">
        <v>296</v>
      </c>
      <c r="F53" s="410"/>
      <c r="G53" s="410"/>
      <c r="H53" s="410"/>
      <c r="I53" s="411"/>
    </row>
    <row r="54" spans="2:11" ht="9" customHeight="1" thickBot="1" x14ac:dyDescent="0.3">
      <c r="B54" s="415"/>
      <c r="C54" s="416"/>
      <c r="D54" s="408"/>
      <c r="E54" s="412"/>
      <c r="F54" s="413"/>
      <c r="G54" s="413"/>
      <c r="H54" s="413"/>
      <c r="I54" s="414"/>
    </row>
    <row r="55" spans="2:11" ht="6" customHeight="1" thickBot="1" x14ac:dyDescent="0.3">
      <c r="B55" s="373"/>
      <c r="C55" s="373"/>
      <c r="D55" s="373"/>
      <c r="E55" s="373"/>
      <c r="F55" s="373"/>
      <c r="G55" s="373"/>
      <c r="H55" s="373"/>
      <c r="I55" s="373"/>
    </row>
    <row r="56" spans="2:11" ht="17.25" customHeight="1" thickBot="1" x14ac:dyDescent="0.3">
      <c r="B56" s="390" t="s">
        <v>297</v>
      </c>
      <c r="C56" s="391"/>
      <c r="D56" s="392"/>
      <c r="E56" s="393"/>
      <c r="F56" s="393"/>
      <c r="G56" s="394"/>
      <c r="H56" s="127" t="s">
        <v>298</v>
      </c>
      <c r="I56" s="128"/>
    </row>
    <row r="57" spans="2:11" ht="6" customHeight="1" thickBot="1" x14ac:dyDescent="0.3">
      <c r="B57" s="373"/>
      <c r="C57" s="373"/>
      <c r="D57" s="373"/>
      <c r="E57" s="373"/>
      <c r="F57" s="373"/>
      <c r="G57" s="373"/>
      <c r="H57" s="373"/>
      <c r="I57" s="373"/>
    </row>
    <row r="58" spans="2:11" ht="19.5" customHeight="1" x14ac:dyDescent="0.25">
      <c r="B58" s="261" t="s">
        <v>299</v>
      </c>
      <c r="C58" s="129" t="s">
        <v>300</v>
      </c>
      <c r="D58" s="130" t="s">
        <v>301</v>
      </c>
      <c r="E58" s="130" t="s">
        <v>302</v>
      </c>
      <c r="F58" s="398" t="s">
        <v>303</v>
      </c>
      <c r="G58" s="399"/>
      <c r="H58" s="400"/>
      <c r="I58" s="131" t="s">
        <v>304</v>
      </c>
    </row>
    <row r="59" spans="2:11" ht="11.25" customHeight="1" x14ac:dyDescent="0.25">
      <c r="B59" s="262"/>
      <c r="C59" s="132"/>
      <c r="D59" s="132" t="s">
        <v>305</v>
      </c>
      <c r="E59" s="132" t="s">
        <v>306</v>
      </c>
      <c r="F59" s="395" t="s">
        <v>339</v>
      </c>
      <c r="G59" s="396"/>
      <c r="H59" s="397"/>
      <c r="I59" s="133"/>
    </row>
    <row r="60" spans="2:11" ht="28.5" customHeight="1" x14ac:dyDescent="0.25">
      <c r="B60" s="263" t="s">
        <v>307</v>
      </c>
      <c r="C60" s="383" t="s">
        <v>414</v>
      </c>
      <c r="D60" s="384"/>
      <c r="E60" s="384"/>
      <c r="F60" s="384"/>
      <c r="G60" s="384"/>
      <c r="H60" s="384"/>
      <c r="I60" s="385"/>
    </row>
    <row r="61" spans="2:11" ht="10.5" customHeight="1" x14ac:dyDescent="0.25">
      <c r="B61" s="264" t="s">
        <v>129</v>
      </c>
      <c r="C61" s="388" t="s">
        <v>308</v>
      </c>
      <c r="D61" s="389"/>
      <c r="E61" s="389"/>
      <c r="F61" s="389"/>
      <c r="G61" s="389"/>
      <c r="H61" s="389"/>
      <c r="I61" s="134" t="s">
        <v>130</v>
      </c>
    </row>
    <row r="62" spans="2:11" ht="50.25" customHeight="1" thickBot="1" x14ac:dyDescent="0.3">
      <c r="B62" s="265">
        <v>4.01</v>
      </c>
      <c r="C62" s="386" t="s">
        <v>669</v>
      </c>
      <c r="D62" s="387"/>
      <c r="E62" s="387"/>
      <c r="F62" s="387"/>
      <c r="G62" s="387"/>
      <c r="H62" s="387"/>
      <c r="I62" s="135" t="s">
        <v>27</v>
      </c>
    </row>
    <row r="63" spans="2:11" ht="6" customHeight="1" thickBot="1" x14ac:dyDescent="0.3">
      <c r="B63" s="373"/>
      <c r="C63" s="373"/>
      <c r="D63" s="373"/>
      <c r="E63" s="373"/>
      <c r="F63" s="373"/>
      <c r="G63" s="373"/>
      <c r="H63" s="373"/>
      <c r="I63" s="373"/>
    </row>
    <row r="64" spans="2:11" x14ac:dyDescent="0.25">
      <c r="B64" s="380" t="s">
        <v>309</v>
      </c>
      <c r="C64" s="381"/>
      <c r="D64" s="381"/>
      <c r="E64" s="381"/>
      <c r="F64" s="381"/>
      <c r="G64" s="381"/>
      <c r="H64" s="381"/>
      <c r="I64" s="382"/>
      <c r="K64" s="182"/>
    </row>
    <row r="65" spans="2:15" ht="11.25" customHeight="1" x14ac:dyDescent="0.25">
      <c r="B65" s="377" t="s">
        <v>310</v>
      </c>
      <c r="C65" s="378"/>
      <c r="D65" s="379"/>
      <c r="E65" s="136"/>
      <c r="F65" s="137" t="s">
        <v>311</v>
      </c>
      <c r="G65" s="137" t="s">
        <v>312</v>
      </c>
      <c r="H65" s="137" t="s">
        <v>313</v>
      </c>
      <c r="I65" s="138" t="s">
        <v>314</v>
      </c>
      <c r="L65" s="139"/>
      <c r="M65" s="139"/>
    </row>
    <row r="66" spans="2:15" ht="11.25" customHeight="1" x14ac:dyDescent="0.25">
      <c r="B66" s="362" t="s">
        <v>315</v>
      </c>
      <c r="C66" s="363"/>
      <c r="D66" s="363"/>
      <c r="E66" s="160"/>
      <c r="F66" s="161" t="s">
        <v>316</v>
      </c>
      <c r="G66" s="160">
        <v>5000</v>
      </c>
      <c r="H66" s="142">
        <v>0.5</v>
      </c>
      <c r="I66" s="143">
        <f>G66*H66</f>
        <v>2500</v>
      </c>
    </row>
    <row r="67" spans="2:15" ht="16.5" customHeight="1" x14ac:dyDescent="0.25">
      <c r="B67" s="362" t="s">
        <v>355</v>
      </c>
      <c r="C67" s="363"/>
      <c r="D67" s="363"/>
      <c r="E67" s="160"/>
      <c r="F67" s="161" t="s">
        <v>317</v>
      </c>
      <c r="G67" s="160">
        <v>90000</v>
      </c>
      <c r="H67" s="142">
        <v>0.5</v>
      </c>
      <c r="I67" s="143">
        <f>G67*H67</f>
        <v>45000</v>
      </c>
    </row>
    <row r="68" spans="2:15" ht="11.25" customHeight="1" x14ac:dyDescent="0.25">
      <c r="B68" s="362"/>
      <c r="C68" s="363"/>
      <c r="D68" s="363"/>
      <c r="E68" s="160"/>
      <c r="F68" s="161"/>
      <c r="G68" s="160"/>
      <c r="H68" s="142"/>
      <c r="I68" s="143">
        <f>G68*H68</f>
        <v>0</v>
      </c>
    </row>
    <row r="69" spans="2:15" ht="10.5" customHeight="1" thickBot="1" x14ac:dyDescent="0.3">
      <c r="B69" s="371" t="s">
        <v>318</v>
      </c>
      <c r="C69" s="372"/>
      <c r="D69" s="372"/>
      <c r="E69" s="372"/>
      <c r="F69" s="372"/>
      <c r="G69" s="372"/>
      <c r="H69" s="372"/>
      <c r="I69" s="144">
        <f>SUM(I66:I68)</f>
        <v>47500</v>
      </c>
      <c r="N69" s="150"/>
    </row>
    <row r="70" spans="2:15" ht="6" customHeight="1" thickBot="1" x14ac:dyDescent="0.3">
      <c r="B70" s="373"/>
      <c r="C70" s="373"/>
      <c r="D70" s="373"/>
      <c r="E70" s="373"/>
      <c r="F70" s="373"/>
      <c r="G70" s="373"/>
      <c r="H70" s="373"/>
      <c r="I70" s="373"/>
    </row>
    <row r="71" spans="2:15" s="145" customFormat="1" x14ac:dyDescent="0.25">
      <c r="B71" s="380" t="s">
        <v>319</v>
      </c>
      <c r="C71" s="381"/>
      <c r="D71" s="381"/>
      <c r="E71" s="381"/>
      <c r="F71" s="381"/>
      <c r="G71" s="381"/>
      <c r="H71" s="381"/>
      <c r="I71" s="382"/>
    </row>
    <row r="72" spans="2:15" s="145" customFormat="1" ht="15.75" customHeight="1" x14ac:dyDescent="0.25">
      <c r="B72" s="377" t="s">
        <v>310</v>
      </c>
      <c r="C72" s="378"/>
      <c r="D72" s="379"/>
      <c r="E72" s="137"/>
      <c r="F72" s="137" t="s">
        <v>320</v>
      </c>
      <c r="G72" s="137" t="s">
        <v>321</v>
      </c>
      <c r="H72" s="137" t="s">
        <v>322</v>
      </c>
      <c r="I72" s="138" t="s">
        <v>314</v>
      </c>
    </row>
    <row r="73" spans="2:15" ht="54.75" customHeight="1" x14ac:dyDescent="0.25">
      <c r="B73" s="436" t="s">
        <v>670</v>
      </c>
      <c r="C73" s="437"/>
      <c r="D73" s="438"/>
      <c r="E73" s="163"/>
      <c r="F73" s="161" t="s">
        <v>27</v>
      </c>
      <c r="G73" s="160">
        <f>965500-38000-15000+68000</f>
        <v>980500</v>
      </c>
      <c r="H73" s="142">
        <v>1</v>
      </c>
      <c r="I73" s="143">
        <f>G73*H73</f>
        <v>980500</v>
      </c>
    </row>
    <row r="74" spans="2:15" ht="11.25" customHeight="1" x14ac:dyDescent="0.25">
      <c r="B74" s="267"/>
      <c r="C74" s="171"/>
      <c r="D74" s="172"/>
      <c r="E74" s="173"/>
      <c r="F74" s="174"/>
      <c r="G74" s="175"/>
      <c r="H74" s="176"/>
      <c r="I74" s="143">
        <f>G74*H74</f>
        <v>0</v>
      </c>
    </row>
    <row r="75" spans="2:15" ht="10.5" customHeight="1" thickBot="1" x14ac:dyDescent="0.3">
      <c r="B75" s="371" t="s">
        <v>318</v>
      </c>
      <c r="C75" s="372"/>
      <c r="D75" s="372"/>
      <c r="E75" s="372"/>
      <c r="F75" s="372"/>
      <c r="G75" s="372"/>
      <c r="H75" s="372"/>
      <c r="I75" s="144">
        <f>SUM(I73:I74)</f>
        <v>980500</v>
      </c>
      <c r="N75" s="150"/>
    </row>
    <row r="76" spans="2:15" ht="6" customHeight="1" thickBot="1" x14ac:dyDescent="0.3">
      <c r="B76" s="373"/>
      <c r="C76" s="373"/>
      <c r="D76" s="373"/>
      <c r="E76" s="373"/>
      <c r="F76" s="373"/>
      <c r="G76" s="373"/>
      <c r="H76" s="373"/>
      <c r="I76" s="373"/>
    </row>
    <row r="77" spans="2:15" s="145" customFormat="1" x14ac:dyDescent="0.25">
      <c r="B77" s="380" t="s">
        <v>323</v>
      </c>
      <c r="C77" s="381"/>
      <c r="D77" s="381"/>
      <c r="E77" s="381"/>
      <c r="F77" s="381"/>
      <c r="G77" s="381"/>
      <c r="H77" s="381"/>
      <c r="I77" s="382"/>
      <c r="L77" s="146"/>
      <c r="M77" s="146"/>
    </row>
    <row r="78" spans="2:15" s="145" customFormat="1" x14ac:dyDescent="0.25">
      <c r="B78" s="377" t="s">
        <v>324</v>
      </c>
      <c r="C78" s="378"/>
      <c r="D78" s="379"/>
      <c r="E78" s="137" t="s">
        <v>325</v>
      </c>
      <c r="F78" s="137" t="s">
        <v>326</v>
      </c>
      <c r="G78" s="137" t="s">
        <v>130</v>
      </c>
      <c r="H78" s="137" t="s">
        <v>327</v>
      </c>
      <c r="I78" s="138" t="s">
        <v>314</v>
      </c>
      <c r="K78" s="260"/>
      <c r="N78" s="183"/>
      <c r="O78" s="148"/>
    </row>
    <row r="79" spans="2:15" ht="11.25" customHeight="1" x14ac:dyDescent="0.25">
      <c r="B79" s="362" t="s">
        <v>711</v>
      </c>
      <c r="C79" s="363"/>
      <c r="D79" s="363"/>
      <c r="E79" s="170">
        <v>1</v>
      </c>
      <c r="F79" s="164"/>
      <c r="G79" s="161"/>
      <c r="H79" s="162">
        <v>15000</v>
      </c>
      <c r="I79" s="143">
        <f>H79*E79</f>
        <v>15000</v>
      </c>
    </row>
    <row r="80" spans="2:15" ht="10.5" customHeight="1" thickBot="1" x14ac:dyDescent="0.3">
      <c r="B80" s="371" t="s">
        <v>318</v>
      </c>
      <c r="C80" s="372"/>
      <c r="D80" s="372"/>
      <c r="E80" s="372"/>
      <c r="F80" s="372"/>
      <c r="G80" s="372"/>
      <c r="H80" s="372"/>
      <c r="I80" s="144">
        <f>SUM(I79:I79)</f>
        <v>15000</v>
      </c>
      <c r="N80" s="150"/>
    </row>
    <row r="81" spans="2:15" ht="6" customHeight="1" thickBot="1" x14ac:dyDescent="0.3">
      <c r="B81" s="373"/>
      <c r="C81" s="373"/>
      <c r="D81" s="373"/>
      <c r="E81" s="373"/>
      <c r="F81" s="373"/>
      <c r="G81" s="373"/>
      <c r="H81" s="373"/>
      <c r="I81" s="373"/>
    </row>
    <row r="82" spans="2:15" s="145" customFormat="1" ht="20.100000000000001" customHeight="1" x14ac:dyDescent="0.25">
      <c r="B82" s="380" t="s">
        <v>328</v>
      </c>
      <c r="C82" s="381"/>
      <c r="D82" s="381"/>
      <c r="E82" s="381"/>
      <c r="F82" s="381"/>
      <c r="G82" s="381"/>
      <c r="H82" s="381"/>
      <c r="I82" s="382"/>
      <c r="N82" s="148"/>
      <c r="O82" s="149"/>
    </row>
    <row r="83" spans="2:15" s="145" customFormat="1" ht="20.100000000000001" customHeight="1" x14ac:dyDescent="0.25">
      <c r="B83" s="377" t="s">
        <v>329</v>
      </c>
      <c r="C83" s="379"/>
      <c r="D83" s="137" t="s">
        <v>322</v>
      </c>
      <c r="E83" s="137" t="s">
        <v>330</v>
      </c>
      <c r="F83" s="137" t="s">
        <v>331</v>
      </c>
      <c r="G83" s="137" t="s">
        <v>332</v>
      </c>
      <c r="H83" s="137" t="s">
        <v>313</v>
      </c>
      <c r="I83" s="138" t="s">
        <v>314</v>
      </c>
      <c r="O83" s="179"/>
    </row>
    <row r="84" spans="2:15" s="151" customFormat="1" ht="9.75" customHeight="1" x14ac:dyDescent="0.25">
      <c r="B84" s="367" t="s">
        <v>356</v>
      </c>
      <c r="C84" s="368"/>
      <c r="D84" s="180">
        <v>1</v>
      </c>
      <c r="E84" s="141">
        <v>140000</v>
      </c>
      <c r="F84" s="141">
        <f>+E84*0.8</f>
        <v>112000</v>
      </c>
      <c r="G84" s="178">
        <f>D84*E84+F84*D84</f>
        <v>252000</v>
      </c>
      <c r="H84" s="184">
        <v>2</v>
      </c>
      <c r="I84" s="143">
        <f>+G84/H84</f>
        <v>126000</v>
      </c>
      <c r="J84" s="145"/>
      <c r="K84" s="147"/>
    </row>
    <row r="85" spans="2:15" s="151" customFormat="1" ht="11.25" customHeight="1" x14ac:dyDescent="0.25">
      <c r="B85" s="367" t="s">
        <v>374</v>
      </c>
      <c r="C85" s="368"/>
      <c r="D85" s="180">
        <v>1</v>
      </c>
      <c r="E85" s="141">
        <v>80000</v>
      </c>
      <c r="F85" s="141">
        <f>+E85*0.8</f>
        <v>64000</v>
      </c>
      <c r="G85" s="178">
        <f>D85*E85+F85*D85</f>
        <v>144000</v>
      </c>
      <c r="H85" s="184">
        <f>+H84</f>
        <v>2</v>
      </c>
      <c r="I85" s="143">
        <f>+G85/H85</f>
        <v>72000</v>
      </c>
      <c r="J85" s="145"/>
      <c r="K85" s="147"/>
      <c r="L85" s="179"/>
      <c r="M85" s="179"/>
    </row>
    <row r="86" spans="2:15" s="145" customFormat="1" ht="10.5" customHeight="1" x14ac:dyDescent="0.25">
      <c r="B86" s="367" t="s">
        <v>333</v>
      </c>
      <c r="C86" s="368"/>
      <c r="D86" s="180">
        <v>2</v>
      </c>
      <c r="E86" s="141">
        <v>55000</v>
      </c>
      <c r="F86" s="141">
        <f>+E86*0.8</f>
        <v>44000</v>
      </c>
      <c r="G86" s="178">
        <f>D86*E86+F86*D86</f>
        <v>198000</v>
      </c>
      <c r="H86" s="184">
        <f>+H84</f>
        <v>2</v>
      </c>
      <c r="I86" s="143">
        <f>+G86/H86</f>
        <v>99000</v>
      </c>
      <c r="K86" s="147"/>
    </row>
    <row r="87" spans="2:15" s="151" customFormat="1" ht="11.25" customHeight="1" x14ac:dyDescent="0.25">
      <c r="B87" s="367"/>
      <c r="C87" s="368"/>
      <c r="D87" s="180"/>
      <c r="E87" s="141"/>
      <c r="F87" s="141"/>
      <c r="G87" s="178"/>
      <c r="H87" s="184"/>
      <c r="I87" s="143"/>
      <c r="L87" s="179"/>
      <c r="M87" s="179"/>
    </row>
    <row r="88" spans="2:15" ht="10.5" customHeight="1" thickBot="1" x14ac:dyDescent="0.3">
      <c r="B88" s="371" t="s">
        <v>318</v>
      </c>
      <c r="C88" s="372"/>
      <c r="D88" s="372"/>
      <c r="E88" s="372"/>
      <c r="F88" s="372"/>
      <c r="G88" s="372"/>
      <c r="H88" s="372"/>
      <c r="I88" s="144">
        <f>SUM(I84:I87)</f>
        <v>297000</v>
      </c>
      <c r="N88" s="150"/>
    </row>
    <row r="89" spans="2:15" ht="6" customHeight="1" thickBot="1" x14ac:dyDescent="0.3">
      <c r="B89" s="373"/>
      <c r="C89" s="373"/>
      <c r="D89" s="373"/>
      <c r="E89" s="373"/>
      <c r="F89" s="373"/>
      <c r="G89" s="373"/>
      <c r="H89" s="373"/>
      <c r="I89" s="373"/>
    </row>
    <row r="90" spans="2:15" ht="10.5" customHeight="1" thickBot="1" x14ac:dyDescent="0.3">
      <c r="B90" s="374" t="s">
        <v>334</v>
      </c>
      <c r="C90" s="375"/>
      <c r="D90" s="375"/>
      <c r="E90" s="375"/>
      <c r="F90" s="375"/>
      <c r="G90" s="375"/>
      <c r="H90" s="376"/>
      <c r="I90" s="152">
        <f>ROUND(+I69+I75+I80+I88,0)</f>
        <v>1340000</v>
      </c>
      <c r="K90" s="169">
        <f>+I90-1340000</f>
        <v>0</v>
      </c>
      <c r="L90" s="181"/>
      <c r="M90" s="181"/>
      <c r="N90" s="153"/>
    </row>
    <row r="91" spans="2:15" ht="6" customHeight="1" thickBot="1" x14ac:dyDescent="0.3">
      <c r="B91" s="373"/>
      <c r="C91" s="373"/>
      <c r="D91" s="373"/>
      <c r="E91" s="373"/>
      <c r="F91" s="373"/>
      <c r="G91" s="373"/>
      <c r="H91" s="373"/>
      <c r="I91" s="373"/>
    </row>
    <row r="92" spans="2:15" ht="8.25" customHeight="1" x14ac:dyDescent="0.25">
      <c r="B92" s="433" t="s">
        <v>335</v>
      </c>
      <c r="C92" s="417"/>
      <c r="D92" s="418"/>
      <c r="E92" s="418"/>
      <c r="F92" s="419"/>
      <c r="G92" s="369" t="s">
        <v>336</v>
      </c>
      <c r="H92" s="370"/>
      <c r="I92" s="370"/>
    </row>
    <row r="93" spans="2:15" ht="33.75" customHeight="1" x14ac:dyDescent="0.25">
      <c r="B93" s="434"/>
      <c r="C93" s="420"/>
      <c r="D93" s="421"/>
      <c r="E93" s="421"/>
      <c r="F93" s="422"/>
      <c r="G93" s="430" t="s">
        <v>337</v>
      </c>
      <c r="H93" s="431"/>
      <c r="I93" s="431"/>
      <c r="L93" s="181"/>
      <c r="M93" s="181"/>
      <c r="N93" s="179"/>
    </row>
    <row r="94" spans="2:15" ht="13.5" customHeight="1" x14ac:dyDescent="0.25">
      <c r="B94" s="434"/>
      <c r="C94" s="420"/>
      <c r="D94" s="421"/>
      <c r="E94" s="421"/>
      <c r="F94" s="422"/>
      <c r="G94" s="154" t="s">
        <v>92</v>
      </c>
      <c r="H94" s="432" t="s">
        <v>93</v>
      </c>
      <c r="I94" s="432"/>
    </row>
    <row r="95" spans="2:15" ht="16.5" customHeight="1" x14ac:dyDescent="0.25">
      <c r="B95" s="435"/>
      <c r="C95" s="420"/>
      <c r="D95" s="421"/>
      <c r="E95" s="421"/>
      <c r="F95" s="422"/>
      <c r="G95" s="155" t="s">
        <v>94</v>
      </c>
      <c r="H95" s="156" t="s">
        <v>95</v>
      </c>
      <c r="I95" s="157" t="s">
        <v>96</v>
      </c>
    </row>
    <row r="96" spans="2:15" x14ac:dyDescent="0.25">
      <c r="B96" s="268" t="s">
        <v>18</v>
      </c>
      <c r="C96" s="427"/>
      <c r="D96" s="428"/>
      <c r="E96" s="428"/>
      <c r="F96" s="429"/>
      <c r="G96" s="155" t="s">
        <v>98</v>
      </c>
      <c r="H96" s="157" t="s">
        <v>99</v>
      </c>
      <c r="I96" s="157" t="s">
        <v>100</v>
      </c>
    </row>
    <row r="97" spans="2:9" x14ac:dyDescent="0.25">
      <c r="B97" s="269" t="s">
        <v>97</v>
      </c>
      <c r="C97" s="427"/>
      <c r="D97" s="428"/>
      <c r="E97" s="428"/>
      <c r="F97" s="429"/>
      <c r="G97" s="154" t="s">
        <v>338</v>
      </c>
      <c r="H97" s="426"/>
      <c r="I97" s="426"/>
    </row>
    <row r="98" spans="2:9" ht="15.75" thickBot="1" x14ac:dyDescent="0.3">
      <c r="B98" s="270" t="s">
        <v>101</v>
      </c>
      <c r="C98" s="423"/>
      <c r="D98" s="424"/>
      <c r="E98" s="424"/>
      <c r="F98" s="425"/>
      <c r="G98" s="154" t="s">
        <v>102</v>
      </c>
      <c r="H98" s="426" t="s">
        <v>103</v>
      </c>
      <c r="I98" s="426"/>
    </row>
    <row r="99" spans="2:9" ht="6" customHeight="1" thickBot="1" x14ac:dyDescent="0.3"/>
    <row r="100" spans="2:9" ht="45" customHeight="1" thickBot="1" x14ac:dyDescent="0.3">
      <c r="B100" s="401"/>
      <c r="C100" s="402"/>
      <c r="D100" s="402"/>
      <c r="E100" s="402"/>
      <c r="F100" s="403" t="s">
        <v>0</v>
      </c>
      <c r="G100" s="403"/>
      <c r="H100" s="403"/>
      <c r="I100" s="404"/>
    </row>
    <row r="101" spans="2:9" ht="6" customHeight="1" thickBot="1" x14ac:dyDescent="0.3">
      <c r="B101" s="373"/>
      <c r="C101" s="373"/>
      <c r="D101" s="373"/>
      <c r="E101" s="373"/>
      <c r="F101" s="373"/>
      <c r="G101" s="373"/>
      <c r="H101" s="373"/>
      <c r="I101" s="373"/>
    </row>
    <row r="102" spans="2:9" ht="10.5" customHeight="1" x14ac:dyDescent="0.25">
      <c r="B102" s="405" t="s">
        <v>294</v>
      </c>
      <c r="C102" s="406"/>
      <c r="D102" s="407" t="s">
        <v>295</v>
      </c>
      <c r="E102" s="409" t="s">
        <v>296</v>
      </c>
      <c r="F102" s="410"/>
      <c r="G102" s="410"/>
      <c r="H102" s="410"/>
      <c r="I102" s="411"/>
    </row>
    <row r="103" spans="2:9" ht="9" customHeight="1" thickBot="1" x14ac:dyDescent="0.3">
      <c r="B103" s="415"/>
      <c r="C103" s="416"/>
      <c r="D103" s="408"/>
      <c r="E103" s="412"/>
      <c r="F103" s="413"/>
      <c r="G103" s="413"/>
      <c r="H103" s="413"/>
      <c r="I103" s="414"/>
    </row>
    <row r="104" spans="2:9" ht="6" customHeight="1" thickBot="1" x14ac:dyDescent="0.3">
      <c r="B104" s="373"/>
      <c r="C104" s="373"/>
      <c r="D104" s="373"/>
      <c r="E104" s="373"/>
      <c r="F104" s="373"/>
      <c r="G104" s="373"/>
      <c r="H104" s="373"/>
      <c r="I104" s="373"/>
    </row>
    <row r="105" spans="2:9" ht="17.25" customHeight="1" thickBot="1" x14ac:dyDescent="0.3">
      <c r="B105" s="390" t="s">
        <v>297</v>
      </c>
      <c r="C105" s="391"/>
      <c r="D105" s="392"/>
      <c r="E105" s="393"/>
      <c r="F105" s="393"/>
      <c r="G105" s="394"/>
      <c r="H105" s="127" t="s">
        <v>298</v>
      </c>
      <c r="I105" s="128"/>
    </row>
    <row r="106" spans="2:9" ht="6" customHeight="1" thickBot="1" x14ac:dyDescent="0.3">
      <c r="B106" s="373"/>
      <c r="C106" s="373"/>
      <c r="D106" s="373"/>
      <c r="E106" s="373"/>
      <c r="F106" s="373"/>
      <c r="G106" s="373"/>
      <c r="H106" s="373"/>
      <c r="I106" s="373"/>
    </row>
    <row r="107" spans="2:9" ht="19.5" customHeight="1" x14ac:dyDescent="0.25">
      <c r="B107" s="261" t="s">
        <v>299</v>
      </c>
      <c r="C107" s="129" t="s">
        <v>300</v>
      </c>
      <c r="D107" s="130" t="s">
        <v>301</v>
      </c>
      <c r="E107" s="130" t="s">
        <v>302</v>
      </c>
      <c r="F107" s="398" t="s">
        <v>303</v>
      </c>
      <c r="G107" s="399"/>
      <c r="H107" s="400"/>
      <c r="I107" s="131" t="s">
        <v>304</v>
      </c>
    </row>
    <row r="108" spans="2:9" ht="11.25" customHeight="1" x14ac:dyDescent="0.25">
      <c r="B108" s="262"/>
      <c r="C108" s="132"/>
      <c r="D108" s="132" t="s">
        <v>305</v>
      </c>
      <c r="E108" s="132" t="s">
        <v>306</v>
      </c>
      <c r="F108" s="395" t="s">
        <v>339</v>
      </c>
      <c r="G108" s="396"/>
      <c r="H108" s="397"/>
      <c r="I108" s="133"/>
    </row>
    <row r="109" spans="2:9" ht="28.5" customHeight="1" x14ac:dyDescent="0.25">
      <c r="B109" s="263" t="s">
        <v>307</v>
      </c>
      <c r="C109" s="383" t="s">
        <v>414</v>
      </c>
      <c r="D109" s="384"/>
      <c r="E109" s="384"/>
      <c r="F109" s="384"/>
      <c r="G109" s="384"/>
      <c r="H109" s="384"/>
      <c r="I109" s="385"/>
    </row>
    <row r="110" spans="2:9" ht="10.5" customHeight="1" x14ac:dyDescent="0.25">
      <c r="B110" s="264" t="s">
        <v>129</v>
      </c>
      <c r="C110" s="388" t="s">
        <v>308</v>
      </c>
      <c r="D110" s="389"/>
      <c r="E110" s="389"/>
      <c r="F110" s="389"/>
      <c r="G110" s="389"/>
      <c r="H110" s="389"/>
      <c r="I110" s="134" t="s">
        <v>130</v>
      </c>
    </row>
    <row r="111" spans="2:9" ht="50.25" customHeight="1" thickBot="1" x14ac:dyDescent="0.3">
      <c r="B111" s="265">
        <v>5.14</v>
      </c>
      <c r="C111" s="386" t="s">
        <v>547</v>
      </c>
      <c r="D111" s="387"/>
      <c r="E111" s="387"/>
      <c r="F111" s="387"/>
      <c r="G111" s="387"/>
      <c r="H111" s="387"/>
      <c r="I111" s="135" t="s">
        <v>27</v>
      </c>
    </row>
    <row r="112" spans="2:9" ht="6" customHeight="1" thickBot="1" x14ac:dyDescent="0.3">
      <c r="B112" s="373"/>
      <c r="C112" s="373"/>
      <c r="D112" s="373"/>
      <c r="E112" s="373"/>
      <c r="F112" s="373"/>
      <c r="G112" s="373"/>
      <c r="H112" s="373"/>
      <c r="I112" s="373"/>
    </row>
    <row r="113" spans="2:15" x14ac:dyDescent="0.25">
      <c r="B113" s="380" t="s">
        <v>309</v>
      </c>
      <c r="C113" s="381"/>
      <c r="D113" s="381"/>
      <c r="E113" s="381"/>
      <c r="F113" s="381"/>
      <c r="G113" s="381"/>
      <c r="H113" s="381"/>
      <c r="I113" s="382"/>
      <c r="K113" s="182"/>
    </row>
    <row r="114" spans="2:15" ht="11.25" customHeight="1" x14ac:dyDescent="0.25">
      <c r="B114" s="377" t="s">
        <v>310</v>
      </c>
      <c r="C114" s="378"/>
      <c r="D114" s="379"/>
      <c r="E114" s="136"/>
      <c r="F114" s="137" t="s">
        <v>311</v>
      </c>
      <c r="G114" s="137" t="s">
        <v>312</v>
      </c>
      <c r="H114" s="137" t="s">
        <v>313</v>
      </c>
      <c r="I114" s="138" t="s">
        <v>314</v>
      </c>
      <c r="L114" s="139"/>
      <c r="M114" s="139"/>
    </row>
    <row r="115" spans="2:15" ht="11.25" customHeight="1" x14ac:dyDescent="0.25">
      <c r="B115" s="362" t="s">
        <v>315</v>
      </c>
      <c r="C115" s="363"/>
      <c r="D115" s="363"/>
      <c r="E115" s="160"/>
      <c r="F115" s="161" t="s">
        <v>316</v>
      </c>
      <c r="G115" s="160">
        <v>5000</v>
      </c>
      <c r="H115" s="142">
        <v>0.7</v>
      </c>
      <c r="I115" s="143">
        <f>G115*H115</f>
        <v>3500</v>
      </c>
    </row>
    <row r="116" spans="2:15" ht="16.5" customHeight="1" x14ac:dyDescent="0.25">
      <c r="B116" s="362" t="s">
        <v>355</v>
      </c>
      <c r="C116" s="363"/>
      <c r="D116" s="363"/>
      <c r="E116" s="160"/>
      <c r="F116" s="161" t="s">
        <v>317</v>
      </c>
      <c r="G116" s="160">
        <v>90000</v>
      </c>
      <c r="H116" s="142">
        <v>0.7</v>
      </c>
      <c r="I116" s="143">
        <f>G116*H116</f>
        <v>62999.999999999993</v>
      </c>
    </row>
    <row r="117" spans="2:15" ht="11.25" customHeight="1" x14ac:dyDescent="0.25">
      <c r="B117" s="362"/>
      <c r="C117" s="363"/>
      <c r="D117" s="363"/>
      <c r="E117" s="160"/>
      <c r="F117" s="161"/>
      <c r="G117" s="160"/>
      <c r="H117" s="142"/>
      <c r="I117" s="143">
        <f>G117*H117</f>
        <v>0</v>
      </c>
    </row>
    <row r="118" spans="2:15" ht="10.5" customHeight="1" thickBot="1" x14ac:dyDescent="0.3">
      <c r="B118" s="371" t="s">
        <v>318</v>
      </c>
      <c r="C118" s="372"/>
      <c r="D118" s="372"/>
      <c r="E118" s="372"/>
      <c r="F118" s="372"/>
      <c r="G118" s="372"/>
      <c r="H118" s="372"/>
      <c r="I118" s="144">
        <f>SUM(I115:I117)</f>
        <v>66500</v>
      </c>
      <c r="N118" s="150"/>
    </row>
    <row r="119" spans="2:15" ht="6" customHeight="1" thickBot="1" x14ac:dyDescent="0.3">
      <c r="B119" s="373"/>
      <c r="C119" s="373"/>
      <c r="D119" s="373"/>
      <c r="E119" s="373"/>
      <c r="F119" s="373"/>
      <c r="G119" s="373"/>
      <c r="H119" s="373"/>
      <c r="I119" s="373"/>
    </row>
    <row r="120" spans="2:15" s="145" customFormat="1" x14ac:dyDescent="0.25">
      <c r="B120" s="380" t="s">
        <v>319</v>
      </c>
      <c r="C120" s="381"/>
      <c r="D120" s="381"/>
      <c r="E120" s="381"/>
      <c r="F120" s="381"/>
      <c r="G120" s="381"/>
      <c r="H120" s="381"/>
      <c r="I120" s="382"/>
    </row>
    <row r="121" spans="2:15" s="145" customFormat="1" ht="15.75" customHeight="1" x14ac:dyDescent="0.25">
      <c r="B121" s="377" t="s">
        <v>310</v>
      </c>
      <c r="C121" s="378"/>
      <c r="D121" s="379"/>
      <c r="E121" s="137"/>
      <c r="F121" s="137" t="s">
        <v>320</v>
      </c>
      <c r="G121" s="137" t="s">
        <v>321</v>
      </c>
      <c r="H121" s="137" t="s">
        <v>322</v>
      </c>
      <c r="I121" s="138" t="s">
        <v>314</v>
      </c>
    </row>
    <row r="122" spans="2:15" ht="65.25" customHeight="1" x14ac:dyDescent="0.25">
      <c r="B122" s="436" t="s">
        <v>547</v>
      </c>
      <c r="C122" s="437"/>
      <c r="D122" s="438"/>
      <c r="E122" s="163"/>
      <c r="F122" s="161" t="s">
        <v>27</v>
      </c>
      <c r="G122" s="160">
        <f>965500-38000-15000+68000+431993</f>
        <v>1412493</v>
      </c>
      <c r="H122" s="142">
        <v>1</v>
      </c>
      <c r="I122" s="143">
        <f>G122*H122</f>
        <v>1412493</v>
      </c>
    </row>
    <row r="123" spans="2:15" ht="11.25" customHeight="1" x14ac:dyDescent="0.25">
      <c r="B123" s="267"/>
      <c r="C123" s="171"/>
      <c r="D123" s="172"/>
      <c r="E123" s="173"/>
      <c r="F123" s="174"/>
      <c r="G123" s="175"/>
      <c r="H123" s="176"/>
      <c r="I123" s="143">
        <f>G123*H123</f>
        <v>0</v>
      </c>
    </row>
    <row r="124" spans="2:15" ht="10.5" customHeight="1" thickBot="1" x14ac:dyDescent="0.3">
      <c r="B124" s="371" t="s">
        <v>318</v>
      </c>
      <c r="C124" s="372"/>
      <c r="D124" s="372"/>
      <c r="E124" s="372"/>
      <c r="F124" s="372"/>
      <c r="G124" s="372"/>
      <c r="H124" s="372"/>
      <c r="I124" s="144">
        <f>SUM(I122:I123)</f>
        <v>1412493</v>
      </c>
      <c r="N124" s="150"/>
    </row>
    <row r="125" spans="2:15" ht="6" customHeight="1" thickBot="1" x14ac:dyDescent="0.3">
      <c r="B125" s="373"/>
      <c r="C125" s="373"/>
      <c r="D125" s="373"/>
      <c r="E125" s="373"/>
      <c r="F125" s="373"/>
      <c r="G125" s="373"/>
      <c r="H125" s="373"/>
      <c r="I125" s="373"/>
    </row>
    <row r="126" spans="2:15" s="145" customFormat="1" x14ac:dyDescent="0.25">
      <c r="B126" s="380" t="s">
        <v>323</v>
      </c>
      <c r="C126" s="381"/>
      <c r="D126" s="381"/>
      <c r="E126" s="381"/>
      <c r="F126" s="381"/>
      <c r="G126" s="381"/>
      <c r="H126" s="381"/>
      <c r="I126" s="382"/>
      <c r="L126" s="146"/>
      <c r="M126" s="146"/>
    </row>
    <row r="127" spans="2:15" s="145" customFormat="1" x14ac:dyDescent="0.25">
      <c r="B127" s="377" t="s">
        <v>324</v>
      </c>
      <c r="C127" s="378"/>
      <c r="D127" s="379"/>
      <c r="E127" s="137" t="s">
        <v>325</v>
      </c>
      <c r="F127" s="137" t="s">
        <v>326</v>
      </c>
      <c r="G127" s="137" t="s">
        <v>130</v>
      </c>
      <c r="H127" s="137" t="s">
        <v>327</v>
      </c>
      <c r="I127" s="138" t="s">
        <v>314</v>
      </c>
      <c r="K127" s="260"/>
      <c r="N127" s="183"/>
      <c r="O127" s="148"/>
    </row>
    <row r="128" spans="2:15" ht="11.25" customHeight="1" x14ac:dyDescent="0.25">
      <c r="B128" s="362" t="s">
        <v>711</v>
      </c>
      <c r="C128" s="363"/>
      <c r="D128" s="363"/>
      <c r="E128" s="170">
        <v>1</v>
      </c>
      <c r="F128" s="164"/>
      <c r="G128" s="161"/>
      <c r="H128" s="162">
        <v>18000</v>
      </c>
      <c r="I128" s="143">
        <f>H128*E128</f>
        <v>18000</v>
      </c>
    </row>
    <row r="129" spans="2:15" ht="10.5" customHeight="1" thickBot="1" x14ac:dyDescent="0.3">
      <c r="B129" s="371" t="s">
        <v>318</v>
      </c>
      <c r="C129" s="372"/>
      <c r="D129" s="372"/>
      <c r="E129" s="372"/>
      <c r="F129" s="372"/>
      <c r="G129" s="372"/>
      <c r="H129" s="372"/>
      <c r="I129" s="144">
        <f>SUM(I128:I128)</f>
        <v>18000</v>
      </c>
      <c r="N129" s="150"/>
    </row>
    <row r="130" spans="2:15" ht="6" customHeight="1" thickBot="1" x14ac:dyDescent="0.3">
      <c r="B130" s="373"/>
      <c r="C130" s="373"/>
      <c r="D130" s="373"/>
      <c r="E130" s="373"/>
      <c r="F130" s="373"/>
      <c r="G130" s="373"/>
      <c r="H130" s="373"/>
      <c r="I130" s="373"/>
    </row>
    <row r="131" spans="2:15" s="145" customFormat="1" ht="20.100000000000001" customHeight="1" x14ac:dyDescent="0.25">
      <c r="B131" s="380" t="s">
        <v>328</v>
      </c>
      <c r="C131" s="381"/>
      <c r="D131" s="381"/>
      <c r="E131" s="381"/>
      <c r="F131" s="381"/>
      <c r="G131" s="381"/>
      <c r="H131" s="381"/>
      <c r="I131" s="382"/>
      <c r="N131" s="148"/>
      <c r="O131" s="149"/>
    </row>
    <row r="132" spans="2:15" s="145" customFormat="1" ht="20.100000000000001" customHeight="1" x14ac:dyDescent="0.25">
      <c r="B132" s="377" t="s">
        <v>329</v>
      </c>
      <c r="C132" s="379"/>
      <c r="D132" s="137" t="s">
        <v>322</v>
      </c>
      <c r="E132" s="137" t="s">
        <v>330</v>
      </c>
      <c r="F132" s="137" t="s">
        <v>331</v>
      </c>
      <c r="G132" s="137" t="s">
        <v>332</v>
      </c>
      <c r="H132" s="137" t="s">
        <v>313</v>
      </c>
      <c r="I132" s="138" t="s">
        <v>314</v>
      </c>
      <c r="O132" s="179"/>
    </row>
    <row r="133" spans="2:15" s="151" customFormat="1" ht="9.75" customHeight="1" x14ac:dyDescent="0.25">
      <c r="B133" s="367" t="s">
        <v>356</v>
      </c>
      <c r="C133" s="368"/>
      <c r="D133" s="180">
        <v>1</v>
      </c>
      <c r="E133" s="141">
        <v>140000</v>
      </c>
      <c r="F133" s="141">
        <f>+E133*0.8</f>
        <v>112000</v>
      </c>
      <c r="G133" s="178">
        <f>D133*E133+F133*D133</f>
        <v>252000</v>
      </c>
      <c r="H133" s="184">
        <v>1.5</v>
      </c>
      <c r="I133" s="143">
        <f>+G133/H133</f>
        <v>168000</v>
      </c>
      <c r="J133" s="145"/>
      <c r="K133" s="147"/>
    </row>
    <row r="134" spans="2:15" s="151" customFormat="1" ht="11.25" customHeight="1" x14ac:dyDescent="0.25">
      <c r="B134" s="367" t="s">
        <v>374</v>
      </c>
      <c r="C134" s="368"/>
      <c r="D134" s="180">
        <v>1</v>
      </c>
      <c r="E134" s="141">
        <v>80000</v>
      </c>
      <c r="F134" s="141">
        <f>+E134*0.8</f>
        <v>64000</v>
      </c>
      <c r="G134" s="178">
        <f>D134*E134+F134*D134</f>
        <v>144000</v>
      </c>
      <c r="H134" s="184">
        <f>+H133</f>
        <v>1.5</v>
      </c>
      <c r="I134" s="143">
        <f>+G134/H134</f>
        <v>96000</v>
      </c>
      <c r="J134" s="145"/>
      <c r="K134" s="147"/>
      <c r="L134" s="179"/>
      <c r="M134" s="179"/>
    </row>
    <row r="135" spans="2:15" s="145" customFormat="1" ht="10.5" customHeight="1" x14ac:dyDescent="0.25">
      <c r="B135" s="367" t="s">
        <v>333</v>
      </c>
      <c r="C135" s="368"/>
      <c r="D135" s="180">
        <v>2</v>
      </c>
      <c r="E135" s="141">
        <v>55000</v>
      </c>
      <c r="F135" s="141">
        <f>+E135*0.8</f>
        <v>44000</v>
      </c>
      <c r="G135" s="178">
        <f>D135*E135+F135*D135</f>
        <v>198000</v>
      </c>
      <c r="H135" s="184">
        <f>+H133</f>
        <v>1.5</v>
      </c>
      <c r="I135" s="143">
        <f>+G135/H135</f>
        <v>132000</v>
      </c>
      <c r="K135" s="147"/>
    </row>
    <row r="136" spans="2:15" s="151" customFormat="1" ht="11.25" customHeight="1" x14ac:dyDescent="0.25">
      <c r="B136" s="367"/>
      <c r="C136" s="368"/>
      <c r="D136" s="180"/>
      <c r="E136" s="141"/>
      <c r="F136" s="141"/>
      <c r="G136" s="178"/>
      <c r="H136" s="184"/>
      <c r="I136" s="143"/>
      <c r="L136" s="179"/>
      <c r="M136" s="179"/>
    </row>
    <row r="137" spans="2:15" ht="10.5" customHeight="1" thickBot="1" x14ac:dyDescent="0.3">
      <c r="B137" s="371" t="s">
        <v>318</v>
      </c>
      <c r="C137" s="372"/>
      <c r="D137" s="372"/>
      <c r="E137" s="372"/>
      <c r="F137" s="372"/>
      <c r="G137" s="372"/>
      <c r="H137" s="372"/>
      <c r="I137" s="144">
        <f>SUM(I133:I136)</f>
        <v>396000</v>
      </c>
      <c r="N137" s="150"/>
    </row>
    <row r="138" spans="2:15" ht="6" customHeight="1" thickBot="1" x14ac:dyDescent="0.3">
      <c r="B138" s="373"/>
      <c r="C138" s="373"/>
      <c r="D138" s="373"/>
      <c r="E138" s="373"/>
      <c r="F138" s="373"/>
      <c r="G138" s="373"/>
      <c r="H138" s="373"/>
      <c r="I138" s="373"/>
    </row>
    <row r="139" spans="2:15" ht="10.5" customHeight="1" thickBot="1" x14ac:dyDescent="0.3">
      <c r="B139" s="374" t="s">
        <v>334</v>
      </c>
      <c r="C139" s="375"/>
      <c r="D139" s="375"/>
      <c r="E139" s="375"/>
      <c r="F139" s="375"/>
      <c r="G139" s="375"/>
      <c r="H139" s="376"/>
      <c r="I139" s="152">
        <f>ROUND(+I118+I124+I129+I137,0)</f>
        <v>1892993</v>
      </c>
      <c r="K139" s="169"/>
      <c r="L139" s="181"/>
      <c r="M139" s="181"/>
      <c r="N139" s="153"/>
    </row>
    <row r="140" spans="2:15" ht="6" customHeight="1" thickBot="1" x14ac:dyDescent="0.3">
      <c r="B140" s="373"/>
      <c r="C140" s="373"/>
      <c r="D140" s="373"/>
      <c r="E140" s="373"/>
      <c r="F140" s="373"/>
      <c r="G140" s="373"/>
      <c r="H140" s="373"/>
      <c r="I140" s="373"/>
    </row>
    <row r="141" spans="2:15" ht="8.25" customHeight="1" x14ac:dyDescent="0.25">
      <c r="B141" s="433" t="s">
        <v>335</v>
      </c>
      <c r="C141" s="417"/>
      <c r="D141" s="418"/>
      <c r="E141" s="418"/>
      <c r="F141" s="419"/>
      <c r="G141" s="369" t="s">
        <v>336</v>
      </c>
      <c r="H141" s="370"/>
      <c r="I141" s="370"/>
    </row>
    <row r="142" spans="2:15" ht="33.75" customHeight="1" x14ac:dyDescent="0.25">
      <c r="B142" s="434"/>
      <c r="C142" s="420"/>
      <c r="D142" s="421"/>
      <c r="E142" s="421"/>
      <c r="F142" s="422"/>
      <c r="G142" s="430" t="s">
        <v>337</v>
      </c>
      <c r="H142" s="431"/>
      <c r="I142" s="431"/>
      <c r="L142" s="181"/>
      <c r="M142" s="181"/>
      <c r="N142" s="179"/>
    </row>
    <row r="143" spans="2:15" ht="13.5" customHeight="1" x14ac:dyDescent="0.25">
      <c r="B143" s="434"/>
      <c r="C143" s="420"/>
      <c r="D143" s="421"/>
      <c r="E143" s="421"/>
      <c r="F143" s="422"/>
      <c r="G143" s="154" t="s">
        <v>92</v>
      </c>
      <c r="H143" s="432" t="s">
        <v>93</v>
      </c>
      <c r="I143" s="432"/>
    </row>
    <row r="144" spans="2:15" ht="16.5" customHeight="1" x14ac:dyDescent="0.25">
      <c r="B144" s="435"/>
      <c r="C144" s="420"/>
      <c r="D144" s="421"/>
      <c r="E144" s="421"/>
      <c r="F144" s="422"/>
      <c r="G144" s="155" t="s">
        <v>94</v>
      </c>
      <c r="H144" s="156" t="s">
        <v>95</v>
      </c>
      <c r="I144" s="157" t="s">
        <v>96</v>
      </c>
    </row>
    <row r="145" spans="2:9" x14ac:dyDescent="0.25">
      <c r="B145" s="268" t="s">
        <v>18</v>
      </c>
      <c r="C145" s="427"/>
      <c r="D145" s="428"/>
      <c r="E145" s="428"/>
      <c r="F145" s="429"/>
      <c r="G145" s="155" t="s">
        <v>98</v>
      </c>
      <c r="H145" s="157" t="s">
        <v>99</v>
      </c>
      <c r="I145" s="157" t="s">
        <v>100</v>
      </c>
    </row>
    <row r="146" spans="2:9" x14ac:dyDescent="0.25">
      <c r="B146" s="269" t="s">
        <v>97</v>
      </c>
      <c r="C146" s="427"/>
      <c r="D146" s="428"/>
      <c r="E146" s="428"/>
      <c r="F146" s="429"/>
      <c r="G146" s="154" t="s">
        <v>338</v>
      </c>
      <c r="H146" s="426"/>
      <c r="I146" s="426"/>
    </row>
    <row r="147" spans="2:9" ht="15.75" thickBot="1" x14ac:dyDescent="0.3">
      <c r="B147" s="270" t="s">
        <v>101</v>
      </c>
      <c r="C147" s="423"/>
      <c r="D147" s="424"/>
      <c r="E147" s="424"/>
      <c r="F147" s="425"/>
      <c r="G147" s="154" t="s">
        <v>102</v>
      </c>
      <c r="H147" s="426" t="s">
        <v>103</v>
      </c>
      <c r="I147" s="426"/>
    </row>
    <row r="148" spans="2:9" ht="45" customHeight="1" thickBot="1" x14ac:dyDescent="0.3">
      <c r="B148" s="401"/>
      <c r="C148" s="402"/>
      <c r="D148" s="402"/>
      <c r="E148" s="402"/>
      <c r="F148" s="403" t="s">
        <v>0</v>
      </c>
      <c r="G148" s="403"/>
      <c r="H148" s="403"/>
      <c r="I148" s="404"/>
    </row>
    <row r="149" spans="2:9" ht="6" customHeight="1" thickBot="1" x14ac:dyDescent="0.3">
      <c r="B149" s="373"/>
      <c r="C149" s="373"/>
      <c r="D149" s="373"/>
      <c r="E149" s="373"/>
      <c r="F149" s="373"/>
      <c r="G149" s="373"/>
      <c r="H149" s="373"/>
      <c r="I149" s="373"/>
    </row>
    <row r="150" spans="2:9" ht="10.5" customHeight="1" x14ac:dyDescent="0.25">
      <c r="B150" s="405" t="s">
        <v>294</v>
      </c>
      <c r="C150" s="406"/>
      <c r="D150" s="407" t="s">
        <v>295</v>
      </c>
      <c r="E150" s="409" t="s">
        <v>296</v>
      </c>
      <c r="F150" s="410"/>
      <c r="G150" s="410"/>
      <c r="H150" s="410"/>
      <c r="I150" s="411"/>
    </row>
    <row r="151" spans="2:9" ht="9" customHeight="1" thickBot="1" x14ac:dyDescent="0.3">
      <c r="B151" s="415"/>
      <c r="C151" s="416"/>
      <c r="D151" s="408"/>
      <c r="E151" s="412"/>
      <c r="F151" s="413"/>
      <c r="G151" s="413"/>
      <c r="H151" s="413"/>
      <c r="I151" s="414"/>
    </row>
    <row r="152" spans="2:9" ht="6" customHeight="1" thickBot="1" x14ac:dyDescent="0.3">
      <c r="B152" s="373"/>
      <c r="C152" s="373"/>
      <c r="D152" s="373"/>
      <c r="E152" s="373"/>
      <c r="F152" s="373"/>
      <c r="G152" s="373"/>
      <c r="H152" s="373"/>
      <c r="I152" s="373"/>
    </row>
    <row r="153" spans="2:9" ht="17.25" customHeight="1" thickBot="1" x14ac:dyDescent="0.3">
      <c r="B153" s="390" t="s">
        <v>297</v>
      </c>
      <c r="C153" s="391"/>
      <c r="D153" s="392"/>
      <c r="E153" s="393"/>
      <c r="F153" s="393"/>
      <c r="G153" s="394"/>
      <c r="H153" s="127" t="s">
        <v>298</v>
      </c>
      <c r="I153" s="128"/>
    </row>
    <row r="154" spans="2:9" ht="6" customHeight="1" thickBot="1" x14ac:dyDescent="0.3">
      <c r="B154" s="373"/>
      <c r="C154" s="373"/>
      <c r="D154" s="373"/>
      <c r="E154" s="373"/>
      <c r="F154" s="373"/>
      <c r="G154" s="373"/>
      <c r="H154" s="373"/>
      <c r="I154" s="373"/>
    </row>
    <row r="155" spans="2:9" ht="19.5" customHeight="1" x14ac:dyDescent="0.25">
      <c r="B155" s="261" t="s">
        <v>299</v>
      </c>
      <c r="C155" s="129" t="s">
        <v>300</v>
      </c>
      <c r="D155" s="130" t="s">
        <v>301</v>
      </c>
      <c r="E155" s="130" t="s">
        <v>302</v>
      </c>
      <c r="F155" s="398" t="s">
        <v>303</v>
      </c>
      <c r="G155" s="399"/>
      <c r="H155" s="400"/>
      <c r="I155" s="131" t="s">
        <v>304</v>
      </c>
    </row>
    <row r="156" spans="2:9" ht="11.25" customHeight="1" x14ac:dyDescent="0.25">
      <c r="B156" s="262"/>
      <c r="C156" s="132"/>
      <c r="D156" s="132" t="s">
        <v>305</v>
      </c>
      <c r="E156" s="132" t="s">
        <v>306</v>
      </c>
      <c r="F156" s="395" t="s">
        <v>339</v>
      </c>
      <c r="G156" s="396"/>
      <c r="H156" s="397"/>
      <c r="I156" s="133"/>
    </row>
    <row r="157" spans="2:9" ht="28.5" customHeight="1" x14ac:dyDescent="0.25">
      <c r="B157" s="263" t="s">
        <v>307</v>
      </c>
      <c r="C157" s="383" t="s">
        <v>414</v>
      </c>
      <c r="D157" s="384"/>
      <c r="E157" s="384"/>
      <c r="F157" s="384"/>
      <c r="G157" s="384"/>
      <c r="H157" s="384"/>
      <c r="I157" s="385"/>
    </row>
    <row r="158" spans="2:9" ht="10.5" customHeight="1" x14ac:dyDescent="0.25">
      <c r="B158" s="264" t="s">
        <v>129</v>
      </c>
      <c r="C158" s="388" t="s">
        <v>308</v>
      </c>
      <c r="D158" s="389"/>
      <c r="E158" s="389"/>
      <c r="F158" s="389"/>
      <c r="G158" s="389"/>
      <c r="H158" s="389"/>
      <c r="I158" s="134" t="s">
        <v>130</v>
      </c>
    </row>
    <row r="159" spans="2:9" ht="50.25" customHeight="1" thickBot="1" x14ac:dyDescent="0.3">
      <c r="B159" s="280">
        <v>5.1499999999999995</v>
      </c>
      <c r="C159" s="386" t="s">
        <v>548</v>
      </c>
      <c r="D159" s="387"/>
      <c r="E159" s="387"/>
      <c r="F159" s="387"/>
      <c r="G159" s="387"/>
      <c r="H159" s="387"/>
      <c r="I159" s="135" t="s">
        <v>27</v>
      </c>
    </row>
    <row r="160" spans="2:9" ht="6" customHeight="1" thickBot="1" x14ac:dyDescent="0.3">
      <c r="B160" s="373"/>
      <c r="C160" s="373"/>
      <c r="D160" s="373"/>
      <c r="E160" s="373"/>
      <c r="F160" s="373"/>
      <c r="G160" s="373"/>
      <c r="H160" s="373"/>
      <c r="I160" s="373"/>
    </row>
    <row r="161" spans="2:15" x14ac:dyDescent="0.25">
      <c r="B161" s="380" t="s">
        <v>309</v>
      </c>
      <c r="C161" s="381"/>
      <c r="D161" s="381"/>
      <c r="E161" s="381"/>
      <c r="F161" s="381"/>
      <c r="G161" s="381"/>
      <c r="H161" s="381"/>
      <c r="I161" s="382"/>
      <c r="K161" s="182"/>
    </row>
    <row r="162" spans="2:15" ht="11.25" customHeight="1" x14ac:dyDescent="0.25">
      <c r="B162" s="377" t="s">
        <v>310</v>
      </c>
      <c r="C162" s="378"/>
      <c r="D162" s="379"/>
      <c r="E162" s="136"/>
      <c r="F162" s="137" t="s">
        <v>311</v>
      </c>
      <c r="G162" s="137" t="s">
        <v>312</v>
      </c>
      <c r="H162" s="137" t="s">
        <v>313</v>
      </c>
      <c r="I162" s="138" t="s">
        <v>314</v>
      </c>
      <c r="L162" s="139"/>
      <c r="M162" s="139"/>
    </row>
    <row r="163" spans="2:15" ht="11.25" customHeight="1" x14ac:dyDescent="0.25">
      <c r="B163" s="362" t="s">
        <v>315</v>
      </c>
      <c r="C163" s="363"/>
      <c r="D163" s="363"/>
      <c r="E163" s="160"/>
      <c r="F163" s="161" t="s">
        <v>316</v>
      </c>
      <c r="G163" s="160">
        <v>5000</v>
      </c>
      <c r="H163" s="142">
        <v>0.8</v>
      </c>
      <c r="I163" s="143">
        <f>G163*H163</f>
        <v>4000</v>
      </c>
    </row>
    <row r="164" spans="2:15" ht="16.5" customHeight="1" x14ac:dyDescent="0.25">
      <c r="B164" s="362" t="s">
        <v>355</v>
      </c>
      <c r="C164" s="363"/>
      <c r="D164" s="363"/>
      <c r="E164" s="160"/>
      <c r="F164" s="161" t="s">
        <v>317</v>
      </c>
      <c r="G164" s="160">
        <v>90000</v>
      </c>
      <c r="H164" s="142">
        <v>0.8</v>
      </c>
      <c r="I164" s="143">
        <f>G164*H164</f>
        <v>72000</v>
      </c>
    </row>
    <row r="165" spans="2:15" ht="11.25" customHeight="1" x14ac:dyDescent="0.25">
      <c r="B165" s="362"/>
      <c r="C165" s="363"/>
      <c r="D165" s="363"/>
      <c r="E165" s="160"/>
      <c r="F165" s="161"/>
      <c r="G165" s="160"/>
      <c r="H165" s="142"/>
      <c r="I165" s="143">
        <f>G165*H165</f>
        <v>0</v>
      </c>
    </row>
    <row r="166" spans="2:15" ht="10.5" customHeight="1" thickBot="1" x14ac:dyDescent="0.3">
      <c r="B166" s="371" t="s">
        <v>318</v>
      </c>
      <c r="C166" s="372"/>
      <c r="D166" s="372"/>
      <c r="E166" s="372"/>
      <c r="F166" s="372"/>
      <c r="G166" s="372"/>
      <c r="H166" s="372"/>
      <c r="I166" s="144">
        <f>SUM(I163:I165)</f>
        <v>76000</v>
      </c>
      <c r="N166" s="150"/>
    </row>
    <row r="167" spans="2:15" ht="6" customHeight="1" thickBot="1" x14ac:dyDescent="0.3">
      <c r="B167" s="373"/>
      <c r="C167" s="373"/>
      <c r="D167" s="373"/>
      <c r="E167" s="373"/>
      <c r="F167" s="373"/>
      <c r="G167" s="373"/>
      <c r="H167" s="373"/>
      <c r="I167" s="373"/>
    </row>
    <row r="168" spans="2:15" s="145" customFormat="1" x14ac:dyDescent="0.25">
      <c r="B168" s="380" t="s">
        <v>319</v>
      </c>
      <c r="C168" s="381"/>
      <c r="D168" s="381"/>
      <c r="E168" s="381"/>
      <c r="F168" s="381"/>
      <c r="G168" s="381"/>
      <c r="H168" s="381"/>
      <c r="I168" s="382"/>
    </row>
    <row r="169" spans="2:15" s="145" customFormat="1" ht="15.75" customHeight="1" x14ac:dyDescent="0.25">
      <c r="B169" s="377" t="s">
        <v>310</v>
      </c>
      <c r="C169" s="378"/>
      <c r="D169" s="379"/>
      <c r="E169" s="137"/>
      <c r="F169" s="137" t="s">
        <v>320</v>
      </c>
      <c r="G169" s="137" t="s">
        <v>321</v>
      </c>
      <c r="H169" s="137" t="s">
        <v>322</v>
      </c>
      <c r="I169" s="138" t="s">
        <v>314</v>
      </c>
    </row>
    <row r="170" spans="2:15" ht="73.5" customHeight="1" x14ac:dyDescent="0.25">
      <c r="B170" s="436" t="s">
        <v>548</v>
      </c>
      <c r="C170" s="437"/>
      <c r="D170" s="438"/>
      <c r="E170" s="163"/>
      <c r="F170" s="161" t="s">
        <v>27</v>
      </c>
      <c r="G170" s="160">
        <f>965500-38000-15000+68000+431993+1126495</f>
        <v>2538988</v>
      </c>
      <c r="H170" s="142">
        <v>1</v>
      </c>
      <c r="I170" s="143">
        <f>G170*H170</f>
        <v>2538988</v>
      </c>
    </row>
    <row r="171" spans="2:15" ht="11.25" customHeight="1" x14ac:dyDescent="0.25">
      <c r="B171" s="267"/>
      <c r="C171" s="171"/>
      <c r="D171" s="172"/>
      <c r="E171" s="173"/>
      <c r="F171" s="174"/>
      <c r="G171" s="175"/>
      <c r="H171" s="176"/>
      <c r="I171" s="143">
        <f>G171*H171</f>
        <v>0</v>
      </c>
    </row>
    <row r="172" spans="2:15" ht="10.5" customHeight="1" thickBot="1" x14ac:dyDescent="0.3">
      <c r="B172" s="371" t="s">
        <v>318</v>
      </c>
      <c r="C172" s="372"/>
      <c r="D172" s="372"/>
      <c r="E172" s="372"/>
      <c r="F172" s="372"/>
      <c r="G172" s="372"/>
      <c r="H172" s="372"/>
      <c r="I172" s="144">
        <f>SUM(I170:I171)</f>
        <v>2538988</v>
      </c>
      <c r="N172" s="150"/>
    </row>
    <row r="173" spans="2:15" ht="6" customHeight="1" thickBot="1" x14ac:dyDescent="0.3">
      <c r="B173" s="373"/>
      <c r="C173" s="373"/>
      <c r="D173" s="373"/>
      <c r="E173" s="373"/>
      <c r="F173" s="373"/>
      <c r="G173" s="373"/>
      <c r="H173" s="373"/>
      <c r="I173" s="373"/>
    </row>
    <row r="174" spans="2:15" s="145" customFormat="1" x14ac:dyDescent="0.25">
      <c r="B174" s="380" t="s">
        <v>323</v>
      </c>
      <c r="C174" s="381"/>
      <c r="D174" s="381"/>
      <c r="E174" s="381"/>
      <c r="F174" s="381"/>
      <c r="G174" s="381"/>
      <c r="H174" s="381"/>
      <c r="I174" s="382"/>
      <c r="L174" s="146"/>
      <c r="M174" s="146"/>
    </row>
    <row r="175" spans="2:15" s="145" customFormat="1" x14ac:dyDescent="0.25">
      <c r="B175" s="377" t="s">
        <v>324</v>
      </c>
      <c r="C175" s="378"/>
      <c r="D175" s="379"/>
      <c r="E175" s="137" t="s">
        <v>325</v>
      </c>
      <c r="F175" s="137" t="s">
        <v>326</v>
      </c>
      <c r="G175" s="137" t="s">
        <v>130</v>
      </c>
      <c r="H175" s="137" t="s">
        <v>327</v>
      </c>
      <c r="I175" s="138" t="s">
        <v>314</v>
      </c>
      <c r="K175" s="260"/>
      <c r="N175" s="183"/>
      <c r="O175" s="148"/>
    </row>
    <row r="176" spans="2:15" ht="11.25" customHeight="1" x14ac:dyDescent="0.25">
      <c r="B176" s="362" t="s">
        <v>711</v>
      </c>
      <c r="C176" s="363"/>
      <c r="D176" s="363"/>
      <c r="E176" s="170">
        <v>1</v>
      </c>
      <c r="F176" s="164"/>
      <c r="G176" s="161"/>
      <c r="H176" s="162">
        <v>45000</v>
      </c>
      <c r="I176" s="143">
        <f>H176*E176</f>
        <v>45000</v>
      </c>
    </row>
    <row r="177" spans="2:15" ht="10.5" customHeight="1" thickBot="1" x14ac:dyDescent="0.3">
      <c r="B177" s="371" t="s">
        <v>318</v>
      </c>
      <c r="C177" s="372"/>
      <c r="D177" s="372"/>
      <c r="E177" s="372"/>
      <c r="F177" s="372"/>
      <c r="G177" s="372"/>
      <c r="H177" s="372"/>
      <c r="I177" s="144">
        <f>SUM(I176:I176)</f>
        <v>45000</v>
      </c>
      <c r="N177" s="150"/>
    </row>
    <row r="178" spans="2:15" ht="6" customHeight="1" thickBot="1" x14ac:dyDescent="0.3">
      <c r="B178" s="373"/>
      <c r="C178" s="373"/>
      <c r="D178" s="373"/>
      <c r="E178" s="373"/>
      <c r="F178" s="373"/>
      <c r="G178" s="373"/>
      <c r="H178" s="373"/>
      <c r="I178" s="373"/>
    </row>
    <row r="179" spans="2:15" s="145" customFormat="1" ht="20.100000000000001" customHeight="1" x14ac:dyDescent="0.25">
      <c r="B179" s="380" t="s">
        <v>328</v>
      </c>
      <c r="C179" s="381"/>
      <c r="D179" s="381"/>
      <c r="E179" s="381"/>
      <c r="F179" s="381"/>
      <c r="G179" s="381"/>
      <c r="H179" s="381"/>
      <c r="I179" s="382"/>
      <c r="N179" s="148"/>
      <c r="O179" s="149"/>
    </row>
    <row r="180" spans="2:15" s="145" customFormat="1" ht="20.100000000000001" customHeight="1" x14ac:dyDescent="0.25">
      <c r="B180" s="377" t="s">
        <v>329</v>
      </c>
      <c r="C180" s="379"/>
      <c r="D180" s="137" t="s">
        <v>322</v>
      </c>
      <c r="E180" s="137" t="s">
        <v>330</v>
      </c>
      <c r="F180" s="137" t="s">
        <v>331</v>
      </c>
      <c r="G180" s="137" t="s">
        <v>332</v>
      </c>
      <c r="H180" s="137" t="s">
        <v>313</v>
      </c>
      <c r="I180" s="138" t="s">
        <v>314</v>
      </c>
      <c r="O180" s="179"/>
    </row>
    <row r="181" spans="2:15" s="151" customFormat="1" ht="9.75" customHeight="1" x14ac:dyDescent="0.25">
      <c r="B181" s="367" t="s">
        <v>356</v>
      </c>
      <c r="C181" s="368"/>
      <c r="D181" s="180">
        <v>1</v>
      </c>
      <c r="E181" s="141">
        <v>140000</v>
      </c>
      <c r="F181" s="141">
        <f>+E181*0.8</f>
        <v>112000</v>
      </c>
      <c r="G181" s="178">
        <f>D181*E181+F181*D181</f>
        <v>252000</v>
      </c>
      <c r="H181" s="184">
        <v>1.2</v>
      </c>
      <c r="I181" s="143">
        <f>+G181/H181</f>
        <v>210000</v>
      </c>
      <c r="J181" s="145"/>
      <c r="K181" s="147"/>
    </row>
    <row r="182" spans="2:15" s="151" customFormat="1" ht="11.25" customHeight="1" x14ac:dyDescent="0.25">
      <c r="B182" s="367" t="s">
        <v>374</v>
      </c>
      <c r="C182" s="368"/>
      <c r="D182" s="180">
        <v>1</v>
      </c>
      <c r="E182" s="141">
        <v>80000</v>
      </c>
      <c r="F182" s="141">
        <f>+E182*0.8</f>
        <v>64000</v>
      </c>
      <c r="G182" s="178">
        <f>D182*E182+F182*D182</f>
        <v>144000</v>
      </c>
      <c r="H182" s="184">
        <f>+H181</f>
        <v>1.2</v>
      </c>
      <c r="I182" s="143">
        <f>+G182/H182</f>
        <v>120000</v>
      </c>
      <c r="J182" s="145"/>
      <c r="K182" s="147"/>
      <c r="L182" s="179"/>
      <c r="M182" s="179"/>
    </row>
    <row r="183" spans="2:15" s="145" customFormat="1" ht="10.5" customHeight="1" x14ac:dyDescent="0.25">
      <c r="B183" s="367" t="s">
        <v>333</v>
      </c>
      <c r="C183" s="368"/>
      <c r="D183" s="180">
        <v>2</v>
      </c>
      <c r="E183" s="141">
        <v>55000</v>
      </c>
      <c r="F183" s="141">
        <f>+E183*0.8</f>
        <v>44000</v>
      </c>
      <c r="G183" s="178">
        <f>D183*E183+F183*D183</f>
        <v>198000</v>
      </c>
      <c r="H183" s="184">
        <f>+H181</f>
        <v>1.2</v>
      </c>
      <c r="I183" s="143">
        <f>+G183/H183</f>
        <v>165000</v>
      </c>
      <c r="K183" s="147"/>
    </row>
    <row r="184" spans="2:15" s="151" customFormat="1" ht="11.25" customHeight="1" x14ac:dyDescent="0.25">
      <c r="B184" s="367"/>
      <c r="C184" s="368"/>
      <c r="D184" s="180"/>
      <c r="E184" s="141"/>
      <c r="F184" s="141"/>
      <c r="G184" s="178"/>
      <c r="H184" s="184"/>
      <c r="I184" s="143"/>
      <c r="L184" s="179"/>
      <c r="M184" s="179"/>
    </row>
    <row r="185" spans="2:15" ht="10.5" customHeight="1" thickBot="1" x14ac:dyDescent="0.3">
      <c r="B185" s="371" t="s">
        <v>318</v>
      </c>
      <c r="C185" s="372"/>
      <c r="D185" s="372"/>
      <c r="E185" s="372"/>
      <c r="F185" s="372"/>
      <c r="G185" s="372"/>
      <c r="H185" s="372"/>
      <c r="I185" s="144">
        <f>SUM(I181:I184)</f>
        <v>495000</v>
      </c>
      <c r="N185" s="150"/>
    </row>
    <row r="186" spans="2:15" ht="6" customHeight="1" thickBot="1" x14ac:dyDescent="0.3">
      <c r="B186" s="373"/>
      <c r="C186" s="373"/>
      <c r="D186" s="373"/>
      <c r="E186" s="373"/>
      <c r="F186" s="373"/>
      <c r="G186" s="373"/>
      <c r="H186" s="373"/>
      <c r="I186" s="373"/>
    </row>
    <row r="187" spans="2:15" ht="10.5" customHeight="1" thickBot="1" x14ac:dyDescent="0.3">
      <c r="B187" s="374" t="s">
        <v>334</v>
      </c>
      <c r="C187" s="375"/>
      <c r="D187" s="375"/>
      <c r="E187" s="375"/>
      <c r="F187" s="375"/>
      <c r="G187" s="375"/>
      <c r="H187" s="376"/>
      <c r="I187" s="152">
        <f>ROUND(+I166+I172+I177+I185,0)</f>
        <v>3154988</v>
      </c>
      <c r="J187" s="281"/>
      <c r="K187" s="169"/>
      <c r="L187" s="181"/>
      <c r="M187" s="181"/>
      <c r="N187" s="153"/>
    </row>
    <row r="188" spans="2:15" ht="6" customHeight="1" thickBot="1" x14ac:dyDescent="0.3">
      <c r="B188" s="373"/>
      <c r="C188" s="373"/>
      <c r="D188" s="373"/>
      <c r="E188" s="373"/>
      <c r="F188" s="373"/>
      <c r="G188" s="373"/>
      <c r="H188" s="373"/>
      <c r="I188" s="373"/>
    </row>
    <row r="189" spans="2:15" ht="8.25" customHeight="1" x14ac:dyDescent="0.25">
      <c r="B189" s="433" t="s">
        <v>335</v>
      </c>
      <c r="C189" s="417"/>
      <c r="D189" s="418"/>
      <c r="E189" s="418"/>
      <c r="F189" s="419"/>
      <c r="G189" s="369" t="s">
        <v>336</v>
      </c>
      <c r="H189" s="370"/>
      <c r="I189" s="370"/>
    </row>
    <row r="190" spans="2:15" ht="33.75" customHeight="1" x14ac:dyDescent="0.25">
      <c r="B190" s="434"/>
      <c r="C190" s="420"/>
      <c r="D190" s="421"/>
      <c r="E190" s="421"/>
      <c r="F190" s="422"/>
      <c r="G190" s="430" t="s">
        <v>337</v>
      </c>
      <c r="H190" s="431"/>
      <c r="I190" s="431"/>
      <c r="L190" s="181"/>
      <c r="M190" s="181"/>
      <c r="N190" s="179"/>
    </row>
    <row r="191" spans="2:15" ht="13.5" customHeight="1" x14ac:dyDescent="0.25">
      <c r="B191" s="434"/>
      <c r="C191" s="420"/>
      <c r="D191" s="421"/>
      <c r="E191" s="421"/>
      <c r="F191" s="422"/>
      <c r="G191" s="154" t="s">
        <v>92</v>
      </c>
      <c r="H191" s="432" t="s">
        <v>93</v>
      </c>
      <c r="I191" s="432"/>
    </row>
    <row r="192" spans="2:15" ht="16.5" customHeight="1" x14ac:dyDescent="0.25">
      <c r="B192" s="435"/>
      <c r="C192" s="420"/>
      <c r="D192" s="421"/>
      <c r="E192" s="421"/>
      <c r="F192" s="422"/>
      <c r="G192" s="155" t="s">
        <v>94</v>
      </c>
      <c r="H192" s="156" t="s">
        <v>95</v>
      </c>
      <c r="I192" s="157" t="s">
        <v>96</v>
      </c>
    </row>
    <row r="193" spans="2:9" x14ac:dyDescent="0.25">
      <c r="B193" s="268" t="s">
        <v>18</v>
      </c>
      <c r="C193" s="427"/>
      <c r="D193" s="428"/>
      <c r="E193" s="428"/>
      <c r="F193" s="429"/>
      <c r="G193" s="155" t="s">
        <v>98</v>
      </c>
      <c r="H193" s="157" t="s">
        <v>99</v>
      </c>
      <c r="I193" s="157" t="s">
        <v>100</v>
      </c>
    </row>
    <row r="194" spans="2:9" x14ac:dyDescent="0.25">
      <c r="B194" s="269" t="s">
        <v>97</v>
      </c>
      <c r="C194" s="427"/>
      <c r="D194" s="428"/>
      <c r="E194" s="428"/>
      <c r="F194" s="429"/>
      <c r="G194" s="154" t="s">
        <v>338</v>
      </c>
      <c r="H194" s="426"/>
      <c r="I194" s="426"/>
    </row>
    <row r="195" spans="2:9" ht="15.75" thickBot="1" x14ac:dyDescent="0.3">
      <c r="B195" s="270" t="s">
        <v>101</v>
      </c>
      <c r="C195" s="423"/>
      <c r="D195" s="424"/>
      <c r="E195" s="424"/>
      <c r="F195" s="425"/>
      <c r="G195" s="154" t="s">
        <v>102</v>
      </c>
      <c r="H195" s="426" t="s">
        <v>103</v>
      </c>
      <c r="I195" s="426"/>
    </row>
    <row r="196" spans="2:9" ht="45" customHeight="1" thickBot="1" x14ac:dyDescent="0.3">
      <c r="B196" s="401"/>
      <c r="C196" s="402"/>
      <c r="D196" s="402"/>
      <c r="E196" s="402"/>
      <c r="F196" s="403" t="s">
        <v>0</v>
      </c>
      <c r="G196" s="403"/>
      <c r="H196" s="403"/>
      <c r="I196" s="404"/>
    </row>
    <row r="197" spans="2:9" ht="6" customHeight="1" thickBot="1" x14ac:dyDescent="0.3">
      <c r="B197" s="373"/>
      <c r="C197" s="373"/>
      <c r="D197" s="373"/>
      <c r="E197" s="373"/>
      <c r="F197" s="373"/>
      <c r="G197" s="373"/>
      <c r="H197" s="373"/>
      <c r="I197" s="373"/>
    </row>
    <row r="198" spans="2:9" ht="10.5" customHeight="1" x14ac:dyDescent="0.25">
      <c r="B198" s="405" t="s">
        <v>294</v>
      </c>
      <c r="C198" s="406"/>
      <c r="D198" s="407" t="s">
        <v>295</v>
      </c>
      <c r="E198" s="409" t="s">
        <v>296</v>
      </c>
      <c r="F198" s="410"/>
      <c r="G198" s="410"/>
      <c r="H198" s="410"/>
      <c r="I198" s="411"/>
    </row>
    <row r="199" spans="2:9" ht="9" customHeight="1" thickBot="1" x14ac:dyDescent="0.3">
      <c r="B199" s="415"/>
      <c r="C199" s="416"/>
      <c r="D199" s="408"/>
      <c r="E199" s="412"/>
      <c r="F199" s="413"/>
      <c r="G199" s="413"/>
      <c r="H199" s="413"/>
      <c r="I199" s="414"/>
    </row>
    <row r="200" spans="2:9" ht="6" customHeight="1" thickBot="1" x14ac:dyDescent="0.3">
      <c r="B200" s="373"/>
      <c r="C200" s="373"/>
      <c r="D200" s="373"/>
      <c r="E200" s="373"/>
      <c r="F200" s="373"/>
      <c r="G200" s="373"/>
      <c r="H200" s="373"/>
      <c r="I200" s="373"/>
    </row>
    <row r="201" spans="2:9" ht="17.25" customHeight="1" thickBot="1" x14ac:dyDescent="0.3">
      <c r="B201" s="390" t="s">
        <v>297</v>
      </c>
      <c r="C201" s="391"/>
      <c r="D201" s="392"/>
      <c r="E201" s="393"/>
      <c r="F201" s="393"/>
      <c r="G201" s="394"/>
      <c r="H201" s="127" t="s">
        <v>298</v>
      </c>
      <c r="I201" s="128"/>
    </row>
    <row r="202" spans="2:9" ht="6" customHeight="1" thickBot="1" x14ac:dyDescent="0.3">
      <c r="B202" s="373"/>
      <c r="C202" s="373"/>
      <c r="D202" s="373"/>
      <c r="E202" s="373"/>
      <c r="F202" s="373"/>
      <c r="G202" s="373"/>
      <c r="H202" s="373"/>
      <c r="I202" s="373"/>
    </row>
    <row r="203" spans="2:9" ht="19.5" customHeight="1" x14ac:dyDescent="0.25">
      <c r="B203" s="261" t="s">
        <v>299</v>
      </c>
      <c r="C203" s="129" t="s">
        <v>300</v>
      </c>
      <c r="D203" s="130" t="s">
        <v>301</v>
      </c>
      <c r="E203" s="130" t="s">
        <v>302</v>
      </c>
      <c r="F203" s="398" t="s">
        <v>303</v>
      </c>
      <c r="G203" s="399"/>
      <c r="H203" s="400"/>
      <c r="I203" s="131" t="s">
        <v>304</v>
      </c>
    </row>
    <row r="204" spans="2:9" ht="11.25" customHeight="1" x14ac:dyDescent="0.25">
      <c r="B204" s="262"/>
      <c r="C204" s="132"/>
      <c r="D204" s="132" t="s">
        <v>305</v>
      </c>
      <c r="E204" s="132" t="s">
        <v>306</v>
      </c>
      <c r="F204" s="395" t="s">
        <v>339</v>
      </c>
      <c r="G204" s="396"/>
      <c r="H204" s="397"/>
      <c r="I204" s="133"/>
    </row>
    <row r="205" spans="2:9" ht="28.5" customHeight="1" x14ac:dyDescent="0.25">
      <c r="B205" s="263" t="s">
        <v>307</v>
      </c>
      <c r="C205" s="383" t="s">
        <v>414</v>
      </c>
      <c r="D205" s="384"/>
      <c r="E205" s="384"/>
      <c r="F205" s="384"/>
      <c r="G205" s="384"/>
      <c r="H205" s="384"/>
      <c r="I205" s="385"/>
    </row>
    <row r="206" spans="2:9" ht="10.5" customHeight="1" x14ac:dyDescent="0.25">
      <c r="B206" s="264" t="s">
        <v>129</v>
      </c>
      <c r="C206" s="388" t="s">
        <v>308</v>
      </c>
      <c r="D206" s="389"/>
      <c r="E206" s="389"/>
      <c r="F206" s="389"/>
      <c r="G206" s="389"/>
      <c r="H206" s="389"/>
      <c r="I206" s="134" t="s">
        <v>130</v>
      </c>
    </row>
    <row r="207" spans="2:9" ht="50.25" customHeight="1" thickBot="1" x14ac:dyDescent="0.3">
      <c r="B207" s="265">
        <v>5.1599999999999993</v>
      </c>
      <c r="C207" s="386" t="s">
        <v>549</v>
      </c>
      <c r="D207" s="387"/>
      <c r="E207" s="387"/>
      <c r="F207" s="387"/>
      <c r="G207" s="387"/>
      <c r="H207" s="387"/>
      <c r="I207" s="135" t="s">
        <v>27</v>
      </c>
    </row>
    <row r="208" spans="2:9" ht="6" customHeight="1" thickBot="1" x14ac:dyDescent="0.3">
      <c r="B208" s="373"/>
      <c r="C208" s="373"/>
      <c r="D208" s="373"/>
      <c r="E208" s="373"/>
      <c r="F208" s="373"/>
      <c r="G208" s="373"/>
      <c r="H208" s="373"/>
      <c r="I208" s="373"/>
    </row>
    <row r="209" spans="2:15" x14ac:dyDescent="0.25">
      <c r="B209" s="380" t="s">
        <v>309</v>
      </c>
      <c r="C209" s="381"/>
      <c r="D209" s="381"/>
      <c r="E209" s="381"/>
      <c r="F209" s="381"/>
      <c r="G209" s="381"/>
      <c r="H209" s="381"/>
      <c r="I209" s="382"/>
      <c r="K209" s="182"/>
    </row>
    <row r="210" spans="2:15" ht="11.25" customHeight="1" x14ac:dyDescent="0.25">
      <c r="B210" s="377" t="s">
        <v>310</v>
      </c>
      <c r="C210" s="378"/>
      <c r="D210" s="379"/>
      <c r="E210" s="136"/>
      <c r="F210" s="137" t="s">
        <v>311</v>
      </c>
      <c r="G210" s="137" t="s">
        <v>312</v>
      </c>
      <c r="H210" s="137" t="s">
        <v>313</v>
      </c>
      <c r="I210" s="138" t="s">
        <v>314</v>
      </c>
      <c r="L210" s="139"/>
      <c r="M210" s="139"/>
    </row>
    <row r="211" spans="2:15" ht="11.25" customHeight="1" x14ac:dyDescent="0.25">
      <c r="B211" s="362" t="s">
        <v>315</v>
      </c>
      <c r="C211" s="363"/>
      <c r="D211" s="363"/>
      <c r="E211" s="160"/>
      <c r="F211" s="161" t="s">
        <v>316</v>
      </c>
      <c r="G211" s="160">
        <v>5000</v>
      </c>
      <c r="H211" s="142">
        <v>1</v>
      </c>
      <c r="I211" s="143">
        <f>G211*H211</f>
        <v>5000</v>
      </c>
    </row>
    <row r="212" spans="2:15" ht="16.5" customHeight="1" x14ac:dyDescent="0.25">
      <c r="B212" s="362" t="s">
        <v>355</v>
      </c>
      <c r="C212" s="363"/>
      <c r="D212" s="363"/>
      <c r="E212" s="160"/>
      <c r="F212" s="161" t="s">
        <v>317</v>
      </c>
      <c r="G212" s="160">
        <v>90000</v>
      </c>
      <c r="H212" s="142">
        <v>1</v>
      </c>
      <c r="I212" s="143">
        <f>G212*H212</f>
        <v>90000</v>
      </c>
    </row>
    <row r="213" spans="2:15" ht="11.25" customHeight="1" x14ac:dyDescent="0.25">
      <c r="B213" s="362"/>
      <c r="C213" s="363"/>
      <c r="D213" s="363"/>
      <c r="E213" s="160"/>
      <c r="F213" s="161"/>
      <c r="G213" s="160"/>
      <c r="H213" s="142"/>
      <c r="I213" s="143">
        <f>G213*H213</f>
        <v>0</v>
      </c>
    </row>
    <row r="214" spans="2:15" ht="10.5" customHeight="1" thickBot="1" x14ac:dyDescent="0.3">
      <c r="B214" s="371" t="s">
        <v>318</v>
      </c>
      <c r="C214" s="372"/>
      <c r="D214" s="372"/>
      <c r="E214" s="372"/>
      <c r="F214" s="372"/>
      <c r="G214" s="372"/>
      <c r="H214" s="372"/>
      <c r="I214" s="144">
        <f>SUM(I211:I213)</f>
        <v>95000</v>
      </c>
      <c r="N214" s="150"/>
    </row>
    <row r="215" spans="2:15" ht="6" customHeight="1" thickBot="1" x14ac:dyDescent="0.3">
      <c r="B215" s="373"/>
      <c r="C215" s="373"/>
      <c r="D215" s="373"/>
      <c r="E215" s="373"/>
      <c r="F215" s="373"/>
      <c r="G215" s="373"/>
      <c r="H215" s="373"/>
      <c r="I215" s="373"/>
    </row>
    <row r="216" spans="2:15" s="145" customFormat="1" x14ac:dyDescent="0.25">
      <c r="B216" s="380" t="s">
        <v>319</v>
      </c>
      <c r="C216" s="381"/>
      <c r="D216" s="381"/>
      <c r="E216" s="381"/>
      <c r="F216" s="381"/>
      <c r="G216" s="381"/>
      <c r="H216" s="381"/>
      <c r="I216" s="382"/>
    </row>
    <row r="217" spans="2:15" s="145" customFormat="1" ht="15.75" customHeight="1" x14ac:dyDescent="0.25">
      <c r="B217" s="377" t="s">
        <v>310</v>
      </c>
      <c r="C217" s="378"/>
      <c r="D217" s="379"/>
      <c r="E217" s="137"/>
      <c r="F217" s="137" t="s">
        <v>320</v>
      </c>
      <c r="G217" s="137" t="s">
        <v>321</v>
      </c>
      <c r="H217" s="137" t="s">
        <v>322</v>
      </c>
      <c r="I217" s="138" t="s">
        <v>314</v>
      </c>
    </row>
    <row r="218" spans="2:15" ht="73.5" customHeight="1" x14ac:dyDescent="0.25">
      <c r="B218" s="436" t="s">
        <v>548</v>
      </c>
      <c r="C218" s="437"/>
      <c r="D218" s="438"/>
      <c r="E218" s="163"/>
      <c r="F218" s="161" t="s">
        <v>27</v>
      </c>
      <c r="G218" s="160">
        <f>965500-38000-15000+68000+431993+1126495+1230137</f>
        <v>3769125</v>
      </c>
      <c r="H218" s="142">
        <v>1</v>
      </c>
      <c r="I218" s="143">
        <f>G218*H218</f>
        <v>3769125</v>
      </c>
    </row>
    <row r="219" spans="2:15" ht="11.25" customHeight="1" x14ac:dyDescent="0.25">
      <c r="B219" s="267"/>
      <c r="C219" s="171"/>
      <c r="D219" s="172"/>
      <c r="E219" s="173"/>
      <c r="F219" s="174"/>
      <c r="G219" s="175"/>
      <c r="H219" s="176"/>
      <c r="I219" s="143">
        <f>G219*H219</f>
        <v>0</v>
      </c>
    </row>
    <row r="220" spans="2:15" ht="10.5" customHeight="1" thickBot="1" x14ac:dyDescent="0.3">
      <c r="B220" s="371" t="s">
        <v>318</v>
      </c>
      <c r="C220" s="372"/>
      <c r="D220" s="372"/>
      <c r="E220" s="372"/>
      <c r="F220" s="372"/>
      <c r="G220" s="372"/>
      <c r="H220" s="372"/>
      <c r="I220" s="144">
        <f>SUM(I218:I219)</f>
        <v>3769125</v>
      </c>
      <c r="N220" s="150"/>
    </row>
    <row r="221" spans="2:15" ht="6" customHeight="1" thickBot="1" x14ac:dyDescent="0.3">
      <c r="B221" s="373"/>
      <c r="C221" s="373"/>
      <c r="D221" s="373"/>
      <c r="E221" s="373"/>
      <c r="F221" s="373"/>
      <c r="G221" s="373"/>
      <c r="H221" s="373"/>
      <c r="I221" s="373"/>
    </row>
    <row r="222" spans="2:15" s="145" customFormat="1" x14ac:dyDescent="0.25">
      <c r="B222" s="380" t="s">
        <v>323</v>
      </c>
      <c r="C222" s="381"/>
      <c r="D222" s="381"/>
      <c r="E222" s="381"/>
      <c r="F222" s="381"/>
      <c r="G222" s="381"/>
      <c r="H222" s="381"/>
      <c r="I222" s="382"/>
      <c r="L222" s="146"/>
      <c r="M222" s="146"/>
    </row>
    <row r="223" spans="2:15" s="145" customFormat="1" x14ac:dyDescent="0.25">
      <c r="B223" s="377" t="s">
        <v>324</v>
      </c>
      <c r="C223" s="378"/>
      <c r="D223" s="379"/>
      <c r="E223" s="137" t="s">
        <v>325</v>
      </c>
      <c r="F223" s="137" t="s">
        <v>326</v>
      </c>
      <c r="G223" s="137" t="s">
        <v>130</v>
      </c>
      <c r="H223" s="137" t="s">
        <v>327</v>
      </c>
      <c r="I223" s="138" t="s">
        <v>314</v>
      </c>
      <c r="K223" s="260"/>
      <c r="N223" s="183"/>
      <c r="O223" s="148"/>
    </row>
    <row r="224" spans="2:15" ht="11.25" customHeight="1" x14ac:dyDescent="0.25">
      <c r="B224" s="362" t="s">
        <v>711</v>
      </c>
      <c r="C224" s="363"/>
      <c r="D224" s="363"/>
      <c r="E224" s="170">
        <v>1</v>
      </c>
      <c r="F224" s="164"/>
      <c r="G224" s="161"/>
      <c r="H224" s="162">
        <v>49000</v>
      </c>
      <c r="I224" s="143">
        <f>H224*E224</f>
        <v>49000</v>
      </c>
    </row>
    <row r="225" spans="2:15" ht="10.5" customHeight="1" thickBot="1" x14ac:dyDescent="0.3">
      <c r="B225" s="371" t="s">
        <v>318</v>
      </c>
      <c r="C225" s="372"/>
      <c r="D225" s="372"/>
      <c r="E225" s="372"/>
      <c r="F225" s="372"/>
      <c r="G225" s="372"/>
      <c r="H225" s="372"/>
      <c r="I225" s="144">
        <f>SUM(I224:I224)</f>
        <v>49000</v>
      </c>
      <c r="N225" s="150"/>
    </row>
    <row r="226" spans="2:15" ht="6" customHeight="1" thickBot="1" x14ac:dyDescent="0.3">
      <c r="B226" s="373"/>
      <c r="C226" s="373"/>
      <c r="D226" s="373"/>
      <c r="E226" s="373"/>
      <c r="F226" s="373"/>
      <c r="G226" s="373"/>
      <c r="H226" s="373"/>
      <c r="I226" s="373"/>
    </row>
    <row r="227" spans="2:15" s="145" customFormat="1" ht="20.100000000000001" customHeight="1" x14ac:dyDescent="0.25">
      <c r="B227" s="380" t="s">
        <v>328</v>
      </c>
      <c r="C227" s="381"/>
      <c r="D227" s="381"/>
      <c r="E227" s="381"/>
      <c r="F227" s="381"/>
      <c r="G227" s="381"/>
      <c r="H227" s="381"/>
      <c r="I227" s="382"/>
      <c r="N227" s="148"/>
      <c r="O227" s="149"/>
    </row>
    <row r="228" spans="2:15" s="145" customFormat="1" ht="20.100000000000001" customHeight="1" x14ac:dyDescent="0.25">
      <c r="B228" s="377" t="s">
        <v>329</v>
      </c>
      <c r="C228" s="379"/>
      <c r="D228" s="137" t="s">
        <v>322</v>
      </c>
      <c r="E228" s="137" t="s">
        <v>330</v>
      </c>
      <c r="F228" s="137" t="s">
        <v>331</v>
      </c>
      <c r="G228" s="137" t="s">
        <v>332</v>
      </c>
      <c r="H228" s="137" t="s">
        <v>313</v>
      </c>
      <c r="I228" s="138" t="s">
        <v>314</v>
      </c>
      <c r="O228" s="179"/>
    </row>
    <row r="229" spans="2:15" s="151" customFormat="1" ht="9.75" customHeight="1" x14ac:dyDescent="0.25">
      <c r="B229" s="367" t="s">
        <v>356</v>
      </c>
      <c r="C229" s="368"/>
      <c r="D229" s="180">
        <v>1</v>
      </c>
      <c r="E229" s="141">
        <v>140000</v>
      </c>
      <c r="F229" s="141">
        <f>+E229*0.8</f>
        <v>112000</v>
      </c>
      <c r="G229" s="178">
        <f>D229*E229+F229*D229</f>
        <v>252000</v>
      </c>
      <c r="H229" s="184">
        <v>1</v>
      </c>
      <c r="I229" s="143">
        <f>+G229/H229</f>
        <v>252000</v>
      </c>
      <c r="J229" s="145"/>
      <c r="K229" s="147"/>
    </row>
    <row r="230" spans="2:15" s="151" customFormat="1" ht="11.25" customHeight="1" x14ac:dyDescent="0.25">
      <c r="B230" s="367" t="s">
        <v>374</v>
      </c>
      <c r="C230" s="368"/>
      <c r="D230" s="180">
        <v>1</v>
      </c>
      <c r="E230" s="141">
        <v>80000</v>
      </c>
      <c r="F230" s="141">
        <f>+E230*0.8</f>
        <v>64000</v>
      </c>
      <c r="G230" s="178">
        <f>D230*E230+F230*D230</f>
        <v>144000</v>
      </c>
      <c r="H230" s="184">
        <f>+H229</f>
        <v>1</v>
      </c>
      <c r="I230" s="143">
        <f>+G230/H230</f>
        <v>144000</v>
      </c>
      <c r="J230" s="145"/>
      <c r="K230" s="147"/>
      <c r="L230" s="179"/>
      <c r="M230" s="179"/>
    </row>
    <row r="231" spans="2:15" s="145" customFormat="1" ht="10.5" customHeight="1" x14ac:dyDescent="0.25">
      <c r="B231" s="367" t="s">
        <v>333</v>
      </c>
      <c r="C231" s="368"/>
      <c r="D231" s="180">
        <v>2</v>
      </c>
      <c r="E231" s="141">
        <v>55000</v>
      </c>
      <c r="F231" s="141">
        <f>+E231*0.8</f>
        <v>44000</v>
      </c>
      <c r="G231" s="178">
        <f>D231*E231+F231*D231</f>
        <v>198000</v>
      </c>
      <c r="H231" s="184">
        <f>+H229</f>
        <v>1</v>
      </c>
      <c r="I231" s="143">
        <f>+G231/H231</f>
        <v>198000</v>
      </c>
      <c r="K231" s="147"/>
    </row>
    <row r="232" spans="2:15" s="151" customFormat="1" ht="11.25" customHeight="1" x14ac:dyDescent="0.25">
      <c r="B232" s="367"/>
      <c r="C232" s="368"/>
      <c r="D232" s="180"/>
      <c r="E232" s="141"/>
      <c r="F232" s="141"/>
      <c r="G232" s="178"/>
      <c r="H232" s="184"/>
      <c r="I232" s="143"/>
      <c r="L232" s="179"/>
      <c r="M232" s="179"/>
    </row>
    <row r="233" spans="2:15" ht="10.5" customHeight="1" thickBot="1" x14ac:dyDescent="0.3">
      <c r="B233" s="371" t="s">
        <v>318</v>
      </c>
      <c r="C233" s="372"/>
      <c r="D233" s="372"/>
      <c r="E233" s="372"/>
      <c r="F233" s="372"/>
      <c r="G233" s="372"/>
      <c r="H233" s="372"/>
      <c r="I233" s="144">
        <f>SUM(I229:I232)</f>
        <v>594000</v>
      </c>
      <c r="N233" s="150"/>
    </row>
    <row r="234" spans="2:15" ht="6" customHeight="1" thickBot="1" x14ac:dyDescent="0.3">
      <c r="B234" s="373"/>
      <c r="C234" s="373"/>
      <c r="D234" s="373"/>
      <c r="E234" s="373"/>
      <c r="F234" s="373"/>
      <c r="G234" s="373"/>
      <c r="H234" s="373"/>
      <c r="I234" s="373"/>
    </row>
    <row r="235" spans="2:15" ht="10.5" customHeight="1" thickBot="1" x14ac:dyDescent="0.3">
      <c r="B235" s="374" t="s">
        <v>334</v>
      </c>
      <c r="C235" s="375"/>
      <c r="D235" s="375"/>
      <c r="E235" s="375"/>
      <c r="F235" s="375"/>
      <c r="G235" s="375"/>
      <c r="H235" s="376"/>
      <c r="I235" s="152">
        <f>ROUND(+I214+I220+I225+I233,0)</f>
        <v>4507125</v>
      </c>
      <c r="J235" s="281"/>
      <c r="K235" s="169">
        <v>0</v>
      </c>
      <c r="L235" s="181"/>
      <c r="M235" s="181"/>
      <c r="N235" s="153"/>
    </row>
    <row r="236" spans="2:15" ht="6" customHeight="1" thickBot="1" x14ac:dyDescent="0.3">
      <c r="B236" s="373"/>
      <c r="C236" s="373"/>
      <c r="D236" s="373"/>
      <c r="E236" s="373"/>
      <c r="F236" s="373"/>
      <c r="G236" s="373"/>
      <c r="H236" s="373"/>
      <c r="I236" s="373"/>
    </row>
    <row r="237" spans="2:15" ht="8.25" customHeight="1" x14ac:dyDescent="0.25">
      <c r="B237" s="433" t="s">
        <v>335</v>
      </c>
      <c r="C237" s="417"/>
      <c r="D237" s="418"/>
      <c r="E237" s="418"/>
      <c r="F237" s="419"/>
      <c r="G237" s="369" t="s">
        <v>336</v>
      </c>
      <c r="H237" s="370"/>
      <c r="I237" s="370"/>
    </row>
    <row r="238" spans="2:15" ht="33.75" customHeight="1" x14ac:dyDescent="0.25">
      <c r="B238" s="434"/>
      <c r="C238" s="420"/>
      <c r="D238" s="421"/>
      <c r="E238" s="421"/>
      <c r="F238" s="422"/>
      <c r="G238" s="430" t="s">
        <v>337</v>
      </c>
      <c r="H238" s="431"/>
      <c r="I238" s="431"/>
      <c r="L238" s="181"/>
      <c r="M238" s="181"/>
      <c r="N238" s="179"/>
    </row>
    <row r="239" spans="2:15" ht="13.5" customHeight="1" x14ac:dyDescent="0.25">
      <c r="B239" s="434"/>
      <c r="C239" s="420"/>
      <c r="D239" s="421"/>
      <c r="E239" s="421"/>
      <c r="F239" s="422"/>
      <c r="G239" s="154" t="s">
        <v>92</v>
      </c>
      <c r="H239" s="432" t="s">
        <v>93</v>
      </c>
      <c r="I239" s="432"/>
    </row>
    <row r="240" spans="2:15" ht="16.5" customHeight="1" x14ac:dyDescent="0.25">
      <c r="B240" s="435"/>
      <c r="C240" s="420"/>
      <c r="D240" s="421"/>
      <c r="E240" s="421"/>
      <c r="F240" s="422"/>
      <c r="G240" s="155" t="s">
        <v>94</v>
      </c>
      <c r="H240" s="156" t="s">
        <v>95</v>
      </c>
      <c r="I240" s="157" t="s">
        <v>96</v>
      </c>
    </row>
    <row r="241" spans="2:9" x14ac:dyDescent="0.25">
      <c r="B241" s="268" t="s">
        <v>18</v>
      </c>
      <c r="C241" s="427"/>
      <c r="D241" s="428"/>
      <c r="E241" s="428"/>
      <c r="F241" s="429"/>
      <c r="G241" s="155" t="s">
        <v>98</v>
      </c>
      <c r="H241" s="157" t="s">
        <v>99</v>
      </c>
      <c r="I241" s="157" t="s">
        <v>100</v>
      </c>
    </row>
    <row r="242" spans="2:9" x14ac:dyDescent="0.25">
      <c r="B242" s="269" t="s">
        <v>97</v>
      </c>
      <c r="C242" s="427"/>
      <c r="D242" s="428"/>
      <c r="E242" s="428"/>
      <c r="F242" s="429"/>
      <c r="G242" s="154" t="s">
        <v>338</v>
      </c>
      <c r="H242" s="426"/>
      <c r="I242" s="426"/>
    </row>
    <row r="243" spans="2:9" ht="15.75" thickBot="1" x14ac:dyDescent="0.3">
      <c r="B243" s="270" t="s">
        <v>101</v>
      </c>
      <c r="C243" s="423"/>
      <c r="D243" s="424"/>
      <c r="E243" s="424"/>
      <c r="F243" s="425"/>
      <c r="G243" s="154" t="s">
        <v>102</v>
      </c>
      <c r="H243" s="426" t="s">
        <v>103</v>
      </c>
      <c r="I243" s="426"/>
    </row>
    <row r="244" spans="2:9" ht="45" customHeight="1" thickBot="1" x14ac:dyDescent="0.3">
      <c r="B244" s="401"/>
      <c r="C244" s="402"/>
      <c r="D244" s="402"/>
      <c r="E244" s="402"/>
      <c r="F244" s="403" t="s">
        <v>0</v>
      </c>
      <c r="G244" s="403"/>
      <c r="H244" s="403"/>
      <c r="I244" s="404"/>
    </row>
    <row r="245" spans="2:9" ht="6" customHeight="1" thickBot="1" x14ac:dyDescent="0.3">
      <c r="B245" s="373"/>
      <c r="C245" s="373"/>
      <c r="D245" s="373"/>
      <c r="E245" s="373"/>
      <c r="F245" s="373"/>
      <c r="G245" s="373"/>
      <c r="H245" s="373"/>
      <c r="I245" s="373"/>
    </row>
    <row r="246" spans="2:9" ht="10.5" customHeight="1" x14ac:dyDescent="0.25">
      <c r="B246" s="405" t="s">
        <v>294</v>
      </c>
      <c r="C246" s="406"/>
      <c r="D246" s="407" t="s">
        <v>295</v>
      </c>
      <c r="E246" s="409" t="s">
        <v>296</v>
      </c>
      <c r="F246" s="410"/>
      <c r="G246" s="410"/>
      <c r="H246" s="410"/>
      <c r="I246" s="411"/>
    </row>
    <row r="247" spans="2:9" ht="9" customHeight="1" thickBot="1" x14ac:dyDescent="0.3">
      <c r="B247" s="415"/>
      <c r="C247" s="416"/>
      <c r="D247" s="408"/>
      <c r="E247" s="412"/>
      <c r="F247" s="413"/>
      <c r="G247" s="413"/>
      <c r="H247" s="413"/>
      <c r="I247" s="414"/>
    </row>
    <row r="248" spans="2:9" ht="6" customHeight="1" thickBot="1" x14ac:dyDescent="0.3">
      <c r="B248" s="373"/>
      <c r="C248" s="373"/>
      <c r="D248" s="373"/>
      <c r="E248" s="373"/>
      <c r="F248" s="373"/>
      <c r="G248" s="373"/>
      <c r="H248" s="373"/>
      <c r="I248" s="373"/>
    </row>
    <row r="249" spans="2:9" ht="17.25" customHeight="1" thickBot="1" x14ac:dyDescent="0.3">
      <c r="B249" s="390" t="s">
        <v>297</v>
      </c>
      <c r="C249" s="391"/>
      <c r="D249" s="392"/>
      <c r="E249" s="393"/>
      <c r="F249" s="393"/>
      <c r="G249" s="394"/>
      <c r="H249" s="127" t="s">
        <v>298</v>
      </c>
      <c r="I249" s="128"/>
    </row>
    <row r="250" spans="2:9" ht="6" customHeight="1" thickBot="1" x14ac:dyDescent="0.3">
      <c r="B250" s="373"/>
      <c r="C250" s="373"/>
      <c r="D250" s="373"/>
      <c r="E250" s="373"/>
      <c r="F250" s="373"/>
      <c r="G250" s="373"/>
      <c r="H250" s="373"/>
      <c r="I250" s="373"/>
    </row>
    <row r="251" spans="2:9" ht="19.5" customHeight="1" x14ac:dyDescent="0.25">
      <c r="B251" s="261" t="s">
        <v>299</v>
      </c>
      <c r="C251" s="129" t="s">
        <v>300</v>
      </c>
      <c r="D251" s="130" t="s">
        <v>301</v>
      </c>
      <c r="E251" s="130" t="s">
        <v>302</v>
      </c>
      <c r="F251" s="398" t="s">
        <v>303</v>
      </c>
      <c r="G251" s="399"/>
      <c r="H251" s="400"/>
      <c r="I251" s="131" t="s">
        <v>304</v>
      </c>
    </row>
    <row r="252" spans="2:9" ht="11.25" customHeight="1" x14ac:dyDescent="0.25">
      <c r="B252" s="262"/>
      <c r="C252" s="132"/>
      <c r="D252" s="132" t="s">
        <v>305</v>
      </c>
      <c r="E252" s="132" t="s">
        <v>306</v>
      </c>
      <c r="F252" s="395" t="s">
        <v>339</v>
      </c>
      <c r="G252" s="396"/>
      <c r="H252" s="397"/>
      <c r="I252" s="133"/>
    </row>
    <row r="253" spans="2:9" ht="28.5" customHeight="1" x14ac:dyDescent="0.25">
      <c r="B253" s="263" t="s">
        <v>307</v>
      </c>
      <c r="C253" s="383" t="s">
        <v>414</v>
      </c>
      <c r="D253" s="384"/>
      <c r="E253" s="384"/>
      <c r="F253" s="384"/>
      <c r="G253" s="384"/>
      <c r="H253" s="384"/>
      <c r="I253" s="385"/>
    </row>
    <row r="254" spans="2:9" ht="10.5" customHeight="1" x14ac:dyDescent="0.25">
      <c r="B254" s="264" t="s">
        <v>129</v>
      </c>
      <c r="C254" s="388" t="s">
        <v>308</v>
      </c>
      <c r="D254" s="389"/>
      <c r="E254" s="389"/>
      <c r="F254" s="389"/>
      <c r="G254" s="389"/>
      <c r="H254" s="389"/>
      <c r="I254" s="134" t="s">
        <v>130</v>
      </c>
    </row>
    <row r="255" spans="2:9" ht="50.25" customHeight="1" thickBot="1" x14ac:dyDescent="0.3">
      <c r="B255" s="265">
        <v>5.169999999999999</v>
      </c>
      <c r="C255" s="386" t="s">
        <v>550</v>
      </c>
      <c r="D255" s="387"/>
      <c r="E255" s="387"/>
      <c r="F255" s="387"/>
      <c r="G255" s="387"/>
      <c r="H255" s="387"/>
      <c r="I255" s="135" t="s">
        <v>27</v>
      </c>
    </row>
    <row r="256" spans="2:9" ht="6" customHeight="1" thickBot="1" x14ac:dyDescent="0.3">
      <c r="B256" s="373"/>
      <c r="C256" s="373"/>
      <c r="D256" s="373"/>
      <c r="E256" s="373"/>
      <c r="F256" s="373"/>
      <c r="G256" s="373"/>
      <c r="H256" s="373"/>
      <c r="I256" s="373"/>
    </row>
    <row r="257" spans="2:15" x14ac:dyDescent="0.25">
      <c r="B257" s="380" t="s">
        <v>309</v>
      </c>
      <c r="C257" s="381"/>
      <c r="D257" s="381"/>
      <c r="E257" s="381"/>
      <c r="F257" s="381"/>
      <c r="G257" s="381"/>
      <c r="H257" s="381"/>
      <c r="I257" s="382"/>
      <c r="K257" s="182"/>
    </row>
    <row r="258" spans="2:15" ht="11.25" customHeight="1" x14ac:dyDescent="0.25">
      <c r="B258" s="377" t="s">
        <v>310</v>
      </c>
      <c r="C258" s="378"/>
      <c r="D258" s="379"/>
      <c r="E258" s="136"/>
      <c r="F258" s="137" t="s">
        <v>311</v>
      </c>
      <c r="G258" s="137" t="s">
        <v>312</v>
      </c>
      <c r="H258" s="137" t="s">
        <v>313</v>
      </c>
      <c r="I258" s="138" t="s">
        <v>314</v>
      </c>
      <c r="L258" s="139"/>
      <c r="M258" s="139"/>
    </row>
    <row r="259" spans="2:15" ht="11.25" customHeight="1" x14ac:dyDescent="0.25">
      <c r="B259" s="362" t="s">
        <v>315</v>
      </c>
      <c r="C259" s="363"/>
      <c r="D259" s="363"/>
      <c r="E259" s="160"/>
      <c r="F259" s="161" t="s">
        <v>316</v>
      </c>
      <c r="G259" s="160">
        <v>5000</v>
      </c>
      <c r="H259" s="142">
        <v>1</v>
      </c>
      <c r="I259" s="143">
        <f>G259*H259</f>
        <v>5000</v>
      </c>
    </row>
    <row r="260" spans="2:15" ht="16.5" customHeight="1" x14ac:dyDescent="0.25">
      <c r="B260" s="362" t="s">
        <v>355</v>
      </c>
      <c r="C260" s="363"/>
      <c r="D260" s="363"/>
      <c r="E260" s="160"/>
      <c r="F260" s="161" t="s">
        <v>317</v>
      </c>
      <c r="G260" s="160">
        <v>90000</v>
      </c>
      <c r="H260" s="142">
        <v>1</v>
      </c>
      <c r="I260" s="143">
        <f>G260*H260</f>
        <v>90000</v>
      </c>
    </row>
    <row r="261" spans="2:15" ht="11.25" customHeight="1" x14ac:dyDescent="0.25">
      <c r="B261" s="362"/>
      <c r="C261" s="363"/>
      <c r="D261" s="363"/>
      <c r="E261" s="160"/>
      <c r="F261" s="161"/>
      <c r="G261" s="160"/>
      <c r="H261" s="142"/>
      <c r="I261" s="143">
        <f>G261*H261</f>
        <v>0</v>
      </c>
    </row>
    <row r="262" spans="2:15" ht="10.5" customHeight="1" thickBot="1" x14ac:dyDescent="0.3">
      <c r="B262" s="371" t="s">
        <v>318</v>
      </c>
      <c r="C262" s="372"/>
      <c r="D262" s="372"/>
      <c r="E262" s="372"/>
      <c r="F262" s="372"/>
      <c r="G262" s="372"/>
      <c r="H262" s="372"/>
      <c r="I262" s="144">
        <f>SUM(I259:I261)</f>
        <v>95000</v>
      </c>
      <c r="N262" s="150"/>
    </row>
    <row r="263" spans="2:15" ht="6" customHeight="1" thickBot="1" x14ac:dyDescent="0.3">
      <c r="B263" s="373"/>
      <c r="C263" s="373"/>
      <c r="D263" s="373"/>
      <c r="E263" s="373"/>
      <c r="F263" s="373"/>
      <c r="G263" s="373"/>
      <c r="H263" s="373"/>
      <c r="I263" s="373"/>
    </row>
    <row r="264" spans="2:15" s="145" customFormat="1" x14ac:dyDescent="0.25">
      <c r="B264" s="380" t="s">
        <v>319</v>
      </c>
      <c r="C264" s="381"/>
      <c r="D264" s="381"/>
      <c r="E264" s="381"/>
      <c r="F264" s="381"/>
      <c r="G264" s="381"/>
      <c r="H264" s="381"/>
      <c r="I264" s="382"/>
    </row>
    <row r="265" spans="2:15" s="145" customFormat="1" ht="15.75" customHeight="1" x14ac:dyDescent="0.25">
      <c r="B265" s="377" t="s">
        <v>310</v>
      </c>
      <c r="C265" s="378"/>
      <c r="D265" s="379"/>
      <c r="E265" s="137"/>
      <c r="F265" s="137" t="s">
        <v>320</v>
      </c>
      <c r="G265" s="137" t="s">
        <v>321</v>
      </c>
      <c r="H265" s="137" t="s">
        <v>322</v>
      </c>
      <c r="I265" s="138" t="s">
        <v>314</v>
      </c>
    </row>
    <row r="266" spans="2:15" ht="73.5" customHeight="1" x14ac:dyDescent="0.25">
      <c r="B266" s="436" t="s">
        <v>550</v>
      </c>
      <c r="C266" s="437"/>
      <c r="D266" s="438"/>
      <c r="E266" s="163"/>
      <c r="F266" s="161" t="s">
        <v>27</v>
      </c>
      <c r="G266" s="160">
        <f>965500-38000-15000+68000+431993+1126495+1230137+474855</f>
        <v>4243980</v>
      </c>
      <c r="H266" s="142">
        <v>1</v>
      </c>
      <c r="I266" s="143">
        <f>G266*H266</f>
        <v>4243980</v>
      </c>
    </row>
    <row r="267" spans="2:15" ht="11.25" customHeight="1" x14ac:dyDescent="0.25">
      <c r="B267" s="267"/>
      <c r="C267" s="171"/>
      <c r="D267" s="172"/>
      <c r="E267" s="173"/>
      <c r="F267" s="174"/>
      <c r="G267" s="175"/>
      <c r="H267" s="176"/>
      <c r="I267" s="143">
        <f>G267*H267</f>
        <v>0</v>
      </c>
    </row>
    <row r="268" spans="2:15" ht="10.5" customHeight="1" thickBot="1" x14ac:dyDescent="0.3">
      <c r="B268" s="371" t="s">
        <v>318</v>
      </c>
      <c r="C268" s="372"/>
      <c r="D268" s="372"/>
      <c r="E268" s="372"/>
      <c r="F268" s="372"/>
      <c r="G268" s="372"/>
      <c r="H268" s="372"/>
      <c r="I268" s="144">
        <f>SUM(I266:I267)</f>
        <v>4243980</v>
      </c>
      <c r="N268" s="150"/>
    </row>
    <row r="269" spans="2:15" ht="6" customHeight="1" thickBot="1" x14ac:dyDescent="0.3">
      <c r="B269" s="373"/>
      <c r="C269" s="373"/>
      <c r="D269" s="373"/>
      <c r="E269" s="373"/>
      <c r="F269" s="373"/>
      <c r="G269" s="373"/>
      <c r="H269" s="373"/>
      <c r="I269" s="373"/>
    </row>
    <row r="270" spans="2:15" s="145" customFormat="1" x14ac:dyDescent="0.25">
      <c r="B270" s="380" t="s">
        <v>323</v>
      </c>
      <c r="C270" s="381"/>
      <c r="D270" s="381"/>
      <c r="E270" s="381"/>
      <c r="F270" s="381"/>
      <c r="G270" s="381"/>
      <c r="H270" s="381"/>
      <c r="I270" s="382"/>
      <c r="L270" s="146"/>
      <c r="M270" s="146"/>
    </row>
    <row r="271" spans="2:15" s="145" customFormat="1" x14ac:dyDescent="0.25">
      <c r="B271" s="377" t="s">
        <v>324</v>
      </c>
      <c r="C271" s="378"/>
      <c r="D271" s="379"/>
      <c r="E271" s="137" t="s">
        <v>325</v>
      </c>
      <c r="F271" s="137" t="s">
        <v>326</v>
      </c>
      <c r="G271" s="137" t="s">
        <v>130</v>
      </c>
      <c r="H271" s="137" t="s">
        <v>327</v>
      </c>
      <c r="I271" s="138" t="s">
        <v>314</v>
      </c>
      <c r="K271" s="260"/>
      <c r="N271" s="183"/>
      <c r="O271" s="148"/>
    </row>
    <row r="272" spans="2:15" ht="11.25" customHeight="1" x14ac:dyDescent="0.25">
      <c r="B272" s="362" t="s">
        <v>711</v>
      </c>
      <c r="C272" s="363"/>
      <c r="D272" s="363"/>
      <c r="E272" s="170">
        <v>1</v>
      </c>
      <c r="F272" s="164"/>
      <c r="G272" s="161"/>
      <c r="H272" s="162">
        <v>49000</v>
      </c>
      <c r="I272" s="143">
        <f>H272*E272</f>
        <v>49000</v>
      </c>
    </row>
    <row r="273" spans="2:15" ht="10.5" customHeight="1" thickBot="1" x14ac:dyDescent="0.3">
      <c r="B273" s="371" t="s">
        <v>318</v>
      </c>
      <c r="C273" s="372"/>
      <c r="D273" s="372"/>
      <c r="E273" s="372"/>
      <c r="F273" s="372"/>
      <c r="G273" s="372"/>
      <c r="H273" s="372"/>
      <c r="I273" s="144">
        <f>SUM(I272:I272)</f>
        <v>49000</v>
      </c>
      <c r="N273" s="150"/>
    </row>
    <row r="274" spans="2:15" ht="6" customHeight="1" thickBot="1" x14ac:dyDescent="0.3">
      <c r="B274" s="373"/>
      <c r="C274" s="373"/>
      <c r="D274" s="373"/>
      <c r="E274" s="373"/>
      <c r="F274" s="373"/>
      <c r="G274" s="373"/>
      <c r="H274" s="373"/>
      <c r="I274" s="373"/>
    </row>
    <row r="275" spans="2:15" s="145" customFormat="1" ht="20.100000000000001" customHeight="1" x14ac:dyDescent="0.25">
      <c r="B275" s="380" t="s">
        <v>328</v>
      </c>
      <c r="C275" s="381"/>
      <c r="D275" s="381"/>
      <c r="E275" s="381"/>
      <c r="F275" s="381"/>
      <c r="G275" s="381"/>
      <c r="H275" s="381"/>
      <c r="I275" s="382"/>
      <c r="N275" s="148"/>
      <c r="O275" s="149"/>
    </row>
    <row r="276" spans="2:15" s="145" customFormat="1" ht="20.100000000000001" customHeight="1" x14ac:dyDescent="0.25">
      <c r="B276" s="377" t="s">
        <v>329</v>
      </c>
      <c r="C276" s="379"/>
      <c r="D276" s="137" t="s">
        <v>322</v>
      </c>
      <c r="E276" s="137" t="s">
        <v>330</v>
      </c>
      <c r="F276" s="137" t="s">
        <v>331</v>
      </c>
      <c r="G276" s="137" t="s">
        <v>332</v>
      </c>
      <c r="H276" s="137" t="s">
        <v>313</v>
      </c>
      <c r="I276" s="138" t="s">
        <v>314</v>
      </c>
      <c r="O276" s="179"/>
    </row>
    <row r="277" spans="2:15" s="151" customFormat="1" ht="9.75" customHeight="1" x14ac:dyDescent="0.25">
      <c r="B277" s="367" t="s">
        <v>356</v>
      </c>
      <c r="C277" s="368"/>
      <c r="D277" s="180">
        <v>1</v>
      </c>
      <c r="E277" s="141">
        <v>140000</v>
      </c>
      <c r="F277" s="141">
        <f>+E277*0.8</f>
        <v>112000</v>
      </c>
      <c r="G277" s="178">
        <f>D277*E277+F277*D277</f>
        <v>252000</v>
      </c>
      <c r="H277" s="184">
        <v>0.9</v>
      </c>
      <c r="I277" s="143">
        <f>+G277/H277</f>
        <v>280000</v>
      </c>
      <c r="J277" s="145"/>
      <c r="K277" s="147"/>
    </row>
    <row r="278" spans="2:15" s="151" customFormat="1" ht="11.25" customHeight="1" x14ac:dyDescent="0.25">
      <c r="B278" s="367" t="s">
        <v>374</v>
      </c>
      <c r="C278" s="368"/>
      <c r="D278" s="180">
        <v>1</v>
      </c>
      <c r="E278" s="141">
        <v>80000</v>
      </c>
      <c r="F278" s="141">
        <f>+E278*0.8</f>
        <v>64000</v>
      </c>
      <c r="G278" s="178">
        <f>D278*E278+F278*D278</f>
        <v>144000</v>
      </c>
      <c r="H278" s="184">
        <f>+H277</f>
        <v>0.9</v>
      </c>
      <c r="I278" s="143">
        <f>+G278/H278</f>
        <v>160000</v>
      </c>
      <c r="J278" s="145"/>
      <c r="K278" s="147"/>
      <c r="L278" s="179"/>
      <c r="M278" s="179"/>
    </row>
    <row r="279" spans="2:15" s="145" customFormat="1" ht="10.5" customHeight="1" x14ac:dyDescent="0.25">
      <c r="B279" s="367" t="s">
        <v>333</v>
      </c>
      <c r="C279" s="368"/>
      <c r="D279" s="180">
        <v>2</v>
      </c>
      <c r="E279" s="141">
        <v>55000</v>
      </c>
      <c r="F279" s="141">
        <f>+E279*0.8</f>
        <v>44000</v>
      </c>
      <c r="G279" s="178">
        <f>D279*E279+F279*D279</f>
        <v>198000</v>
      </c>
      <c r="H279" s="184">
        <f>+H277</f>
        <v>0.9</v>
      </c>
      <c r="I279" s="143">
        <f>+G279/H279</f>
        <v>220000</v>
      </c>
      <c r="K279" s="147"/>
    </row>
    <row r="280" spans="2:15" s="151" customFormat="1" ht="11.25" customHeight="1" x14ac:dyDescent="0.25">
      <c r="B280" s="367"/>
      <c r="C280" s="368"/>
      <c r="D280" s="180"/>
      <c r="E280" s="141"/>
      <c r="F280" s="141"/>
      <c r="G280" s="178"/>
      <c r="H280" s="184"/>
      <c r="I280" s="143"/>
      <c r="K280" s="282">
        <v>0</v>
      </c>
      <c r="L280" s="179"/>
      <c r="M280" s="179"/>
    </row>
    <row r="281" spans="2:15" ht="10.5" customHeight="1" thickBot="1" x14ac:dyDescent="0.3">
      <c r="B281" s="371" t="s">
        <v>318</v>
      </c>
      <c r="C281" s="372"/>
      <c r="D281" s="372"/>
      <c r="E281" s="372"/>
      <c r="F281" s="372"/>
      <c r="G281" s="372"/>
      <c r="H281" s="372"/>
      <c r="I281" s="144">
        <f>SUM(I277:I280)</f>
        <v>660000</v>
      </c>
      <c r="N281" s="150"/>
    </row>
    <row r="282" spans="2:15" ht="6" customHeight="1" thickBot="1" x14ac:dyDescent="0.3">
      <c r="B282" s="373"/>
      <c r="C282" s="373"/>
      <c r="D282" s="373"/>
      <c r="E282" s="373"/>
      <c r="F282" s="373"/>
      <c r="G282" s="373"/>
      <c r="H282" s="373"/>
      <c r="I282" s="373"/>
    </row>
    <row r="283" spans="2:15" ht="10.5" customHeight="1" thickBot="1" x14ac:dyDescent="0.3">
      <c r="B283" s="374" t="s">
        <v>334</v>
      </c>
      <c r="C283" s="375"/>
      <c r="D283" s="375"/>
      <c r="E283" s="375"/>
      <c r="F283" s="375"/>
      <c r="G283" s="375"/>
      <c r="H283" s="376"/>
      <c r="I283" s="152">
        <f>ROUND(+I262+I268+I273+I281,0)</f>
        <v>5047980</v>
      </c>
      <c r="J283" s="281"/>
      <c r="K283" s="169">
        <v>4876687</v>
      </c>
      <c r="L283" s="181"/>
      <c r="M283" s="181"/>
      <c r="N283" s="153"/>
    </row>
    <row r="284" spans="2:15" ht="6" customHeight="1" thickBot="1" x14ac:dyDescent="0.3">
      <c r="B284" s="373"/>
      <c r="C284" s="373"/>
      <c r="D284" s="373"/>
      <c r="E284" s="373"/>
      <c r="F284" s="373"/>
      <c r="G284" s="373"/>
      <c r="H284" s="373"/>
      <c r="I284" s="373"/>
    </row>
    <row r="285" spans="2:15" ht="8.25" customHeight="1" x14ac:dyDescent="0.25">
      <c r="B285" s="433" t="s">
        <v>335</v>
      </c>
      <c r="C285" s="417"/>
      <c r="D285" s="418"/>
      <c r="E285" s="418"/>
      <c r="F285" s="419"/>
      <c r="G285" s="369" t="s">
        <v>336</v>
      </c>
      <c r="H285" s="370"/>
      <c r="I285" s="370"/>
    </row>
    <row r="286" spans="2:15" ht="33.75" customHeight="1" x14ac:dyDescent="0.25">
      <c r="B286" s="434"/>
      <c r="C286" s="420"/>
      <c r="D286" s="421"/>
      <c r="E286" s="421"/>
      <c r="F286" s="422"/>
      <c r="G286" s="430" t="s">
        <v>337</v>
      </c>
      <c r="H286" s="431"/>
      <c r="I286" s="431"/>
      <c r="L286" s="181"/>
      <c r="M286" s="181"/>
      <c r="N286" s="179"/>
    </row>
    <row r="287" spans="2:15" ht="13.5" customHeight="1" x14ac:dyDescent="0.25">
      <c r="B287" s="434"/>
      <c r="C287" s="420"/>
      <c r="D287" s="421"/>
      <c r="E287" s="421"/>
      <c r="F287" s="422"/>
      <c r="G287" s="154" t="s">
        <v>92</v>
      </c>
      <c r="H287" s="432" t="s">
        <v>93</v>
      </c>
      <c r="I287" s="432"/>
    </row>
    <row r="288" spans="2:15" ht="16.5" customHeight="1" x14ac:dyDescent="0.25">
      <c r="B288" s="435"/>
      <c r="C288" s="420"/>
      <c r="D288" s="421"/>
      <c r="E288" s="421"/>
      <c r="F288" s="422"/>
      <c r="G288" s="155" t="s">
        <v>94</v>
      </c>
      <c r="H288" s="156" t="s">
        <v>95</v>
      </c>
      <c r="I288" s="157" t="s">
        <v>96</v>
      </c>
    </row>
    <row r="289" spans="2:9" x14ac:dyDescent="0.25">
      <c r="B289" s="268" t="s">
        <v>18</v>
      </c>
      <c r="C289" s="427"/>
      <c r="D289" s="428"/>
      <c r="E289" s="428"/>
      <c r="F289" s="429"/>
      <c r="G289" s="155" t="s">
        <v>98</v>
      </c>
      <c r="H289" s="157" t="s">
        <v>99</v>
      </c>
      <c r="I289" s="157" t="s">
        <v>100</v>
      </c>
    </row>
    <row r="290" spans="2:9" x14ac:dyDescent="0.25">
      <c r="B290" s="269" t="s">
        <v>97</v>
      </c>
      <c r="C290" s="427"/>
      <c r="D290" s="428"/>
      <c r="E290" s="428"/>
      <c r="F290" s="429"/>
      <c r="G290" s="154" t="s">
        <v>338</v>
      </c>
      <c r="H290" s="426"/>
      <c r="I290" s="426"/>
    </row>
    <row r="291" spans="2:9" ht="15.75" thickBot="1" x14ac:dyDescent="0.3">
      <c r="B291" s="270" t="s">
        <v>101</v>
      </c>
      <c r="C291" s="423"/>
      <c r="D291" s="424"/>
      <c r="E291" s="424"/>
      <c r="F291" s="425"/>
      <c r="G291" s="154" t="s">
        <v>102</v>
      </c>
      <c r="H291" s="426" t="s">
        <v>103</v>
      </c>
      <c r="I291" s="426"/>
    </row>
    <row r="292" spans="2:9" ht="45" customHeight="1" thickBot="1" x14ac:dyDescent="0.3">
      <c r="B292" s="401"/>
      <c r="C292" s="402"/>
      <c r="D292" s="402"/>
      <c r="E292" s="402"/>
      <c r="F292" s="403" t="s">
        <v>0</v>
      </c>
      <c r="G292" s="403"/>
      <c r="H292" s="403"/>
      <c r="I292" s="404"/>
    </row>
    <row r="293" spans="2:9" ht="6" customHeight="1" thickBot="1" x14ac:dyDescent="0.3">
      <c r="B293" s="373"/>
      <c r="C293" s="373"/>
      <c r="D293" s="373"/>
      <c r="E293" s="373"/>
      <c r="F293" s="373"/>
      <c r="G293" s="373"/>
      <c r="H293" s="373"/>
      <c r="I293" s="373"/>
    </row>
    <row r="294" spans="2:9" ht="10.5" customHeight="1" x14ac:dyDescent="0.25">
      <c r="B294" s="405" t="s">
        <v>294</v>
      </c>
      <c r="C294" s="406"/>
      <c r="D294" s="407" t="s">
        <v>295</v>
      </c>
      <c r="E294" s="409" t="s">
        <v>296</v>
      </c>
      <c r="F294" s="410"/>
      <c r="G294" s="410"/>
      <c r="H294" s="410"/>
      <c r="I294" s="411"/>
    </row>
    <row r="295" spans="2:9" ht="9" customHeight="1" thickBot="1" x14ac:dyDescent="0.3">
      <c r="B295" s="415"/>
      <c r="C295" s="416"/>
      <c r="D295" s="408"/>
      <c r="E295" s="412"/>
      <c r="F295" s="413"/>
      <c r="G295" s="413"/>
      <c r="H295" s="413"/>
      <c r="I295" s="414"/>
    </row>
    <row r="296" spans="2:9" ht="6" customHeight="1" thickBot="1" x14ac:dyDescent="0.3">
      <c r="B296" s="373"/>
      <c r="C296" s="373"/>
      <c r="D296" s="373"/>
      <c r="E296" s="373"/>
      <c r="F296" s="373"/>
      <c r="G296" s="373"/>
      <c r="H296" s="373"/>
      <c r="I296" s="373"/>
    </row>
    <row r="297" spans="2:9" ht="17.25" customHeight="1" thickBot="1" x14ac:dyDescent="0.3">
      <c r="B297" s="390" t="s">
        <v>297</v>
      </c>
      <c r="C297" s="391"/>
      <c r="D297" s="392"/>
      <c r="E297" s="393"/>
      <c r="F297" s="393"/>
      <c r="G297" s="394"/>
      <c r="H297" s="127" t="s">
        <v>298</v>
      </c>
      <c r="I297" s="128"/>
    </row>
    <row r="298" spans="2:9" ht="6" customHeight="1" thickBot="1" x14ac:dyDescent="0.3">
      <c r="B298" s="373"/>
      <c r="C298" s="373"/>
      <c r="D298" s="373"/>
      <c r="E298" s="373"/>
      <c r="F298" s="373"/>
      <c r="G298" s="373"/>
      <c r="H298" s="373"/>
      <c r="I298" s="373"/>
    </row>
    <row r="299" spans="2:9" ht="19.5" customHeight="1" x14ac:dyDescent="0.25">
      <c r="B299" s="261" t="s">
        <v>299</v>
      </c>
      <c r="C299" s="129" t="s">
        <v>300</v>
      </c>
      <c r="D299" s="130" t="s">
        <v>301</v>
      </c>
      <c r="E299" s="130" t="s">
        <v>302</v>
      </c>
      <c r="F299" s="398" t="s">
        <v>303</v>
      </c>
      <c r="G299" s="399"/>
      <c r="H299" s="400"/>
      <c r="I299" s="131" t="s">
        <v>304</v>
      </c>
    </row>
    <row r="300" spans="2:9" ht="11.25" customHeight="1" x14ac:dyDescent="0.25">
      <c r="B300" s="262"/>
      <c r="C300" s="132"/>
      <c r="D300" s="132" t="s">
        <v>305</v>
      </c>
      <c r="E300" s="132" t="s">
        <v>306</v>
      </c>
      <c r="F300" s="395" t="s">
        <v>339</v>
      </c>
      <c r="G300" s="396"/>
      <c r="H300" s="397"/>
      <c r="I300" s="133"/>
    </row>
    <row r="301" spans="2:9" ht="28.5" customHeight="1" x14ac:dyDescent="0.25">
      <c r="B301" s="263" t="s">
        <v>307</v>
      </c>
      <c r="C301" s="383" t="s">
        <v>414</v>
      </c>
      <c r="D301" s="384"/>
      <c r="E301" s="384"/>
      <c r="F301" s="384"/>
      <c r="G301" s="384"/>
      <c r="H301" s="384"/>
      <c r="I301" s="385"/>
    </row>
    <row r="302" spans="2:9" ht="10.5" customHeight="1" x14ac:dyDescent="0.25">
      <c r="B302" s="264" t="s">
        <v>129</v>
      </c>
      <c r="C302" s="388" t="s">
        <v>308</v>
      </c>
      <c r="D302" s="389"/>
      <c r="E302" s="389"/>
      <c r="F302" s="389"/>
      <c r="G302" s="389"/>
      <c r="H302" s="389"/>
      <c r="I302" s="134" t="s">
        <v>130</v>
      </c>
    </row>
    <row r="303" spans="2:9" ht="50.25" customHeight="1" thickBot="1" x14ac:dyDescent="0.3">
      <c r="B303" s="265">
        <v>5.1799999999999988</v>
      </c>
      <c r="C303" s="386" t="s">
        <v>551</v>
      </c>
      <c r="D303" s="387"/>
      <c r="E303" s="387"/>
      <c r="F303" s="387"/>
      <c r="G303" s="387"/>
      <c r="H303" s="387"/>
      <c r="I303" s="135" t="s">
        <v>27</v>
      </c>
    </row>
    <row r="304" spans="2:9" ht="6" customHeight="1" thickBot="1" x14ac:dyDescent="0.3">
      <c r="B304" s="373"/>
      <c r="C304" s="373"/>
      <c r="D304" s="373"/>
      <c r="E304" s="373"/>
      <c r="F304" s="373"/>
      <c r="G304" s="373"/>
      <c r="H304" s="373"/>
      <c r="I304" s="373"/>
    </row>
    <row r="305" spans="2:15" x14ac:dyDescent="0.25">
      <c r="B305" s="380" t="s">
        <v>309</v>
      </c>
      <c r="C305" s="381"/>
      <c r="D305" s="381"/>
      <c r="E305" s="381"/>
      <c r="F305" s="381"/>
      <c r="G305" s="381"/>
      <c r="H305" s="381"/>
      <c r="I305" s="382"/>
      <c r="K305" s="182"/>
    </row>
    <row r="306" spans="2:15" ht="11.25" customHeight="1" x14ac:dyDescent="0.25">
      <c r="B306" s="377" t="s">
        <v>310</v>
      </c>
      <c r="C306" s="378"/>
      <c r="D306" s="379"/>
      <c r="E306" s="136"/>
      <c r="F306" s="137" t="s">
        <v>311</v>
      </c>
      <c r="G306" s="137" t="s">
        <v>312</v>
      </c>
      <c r="H306" s="137" t="s">
        <v>313</v>
      </c>
      <c r="I306" s="138" t="s">
        <v>314</v>
      </c>
      <c r="L306" s="139"/>
      <c r="M306" s="139"/>
    </row>
    <row r="307" spans="2:15" ht="11.25" customHeight="1" x14ac:dyDescent="0.25">
      <c r="B307" s="362" t="s">
        <v>315</v>
      </c>
      <c r="C307" s="363"/>
      <c r="D307" s="363"/>
      <c r="E307" s="160"/>
      <c r="F307" s="161" t="s">
        <v>316</v>
      </c>
      <c r="G307" s="160">
        <v>5000</v>
      </c>
      <c r="H307" s="142">
        <v>1</v>
      </c>
      <c r="I307" s="143">
        <f>G307*H307</f>
        <v>5000</v>
      </c>
    </row>
    <row r="308" spans="2:15" ht="16.5" customHeight="1" x14ac:dyDescent="0.25">
      <c r="B308" s="362" t="s">
        <v>355</v>
      </c>
      <c r="C308" s="363"/>
      <c r="D308" s="363"/>
      <c r="E308" s="160"/>
      <c r="F308" s="161" t="s">
        <v>317</v>
      </c>
      <c r="G308" s="160">
        <v>90000</v>
      </c>
      <c r="H308" s="142">
        <v>1</v>
      </c>
      <c r="I308" s="143">
        <f>G308*H308</f>
        <v>90000</v>
      </c>
    </row>
    <row r="309" spans="2:15" ht="10.5" customHeight="1" thickBot="1" x14ac:dyDescent="0.3">
      <c r="B309" s="371" t="s">
        <v>318</v>
      </c>
      <c r="C309" s="372"/>
      <c r="D309" s="372"/>
      <c r="E309" s="372"/>
      <c r="F309" s="372"/>
      <c r="G309" s="372"/>
      <c r="H309" s="372"/>
      <c r="I309" s="144">
        <f>SUM(I307:I308)</f>
        <v>95000</v>
      </c>
      <c r="N309" s="150"/>
    </row>
    <row r="310" spans="2:15" ht="6" customHeight="1" thickBot="1" x14ac:dyDescent="0.3">
      <c r="B310" s="373"/>
      <c r="C310" s="373"/>
      <c r="D310" s="373"/>
      <c r="E310" s="373"/>
      <c r="F310" s="373"/>
      <c r="G310" s="373"/>
      <c r="H310" s="373"/>
      <c r="I310" s="373"/>
    </row>
    <row r="311" spans="2:15" s="145" customFormat="1" x14ac:dyDescent="0.25">
      <c r="B311" s="380" t="s">
        <v>319</v>
      </c>
      <c r="C311" s="381"/>
      <c r="D311" s="381"/>
      <c r="E311" s="381"/>
      <c r="F311" s="381"/>
      <c r="G311" s="381"/>
      <c r="H311" s="381"/>
      <c r="I311" s="382"/>
    </row>
    <row r="312" spans="2:15" s="145" customFormat="1" ht="15.75" customHeight="1" x14ac:dyDescent="0.25">
      <c r="B312" s="377" t="s">
        <v>310</v>
      </c>
      <c r="C312" s="378"/>
      <c r="D312" s="379"/>
      <c r="E312" s="137"/>
      <c r="F312" s="137" t="s">
        <v>320</v>
      </c>
      <c r="G312" s="137" t="s">
        <v>321</v>
      </c>
      <c r="H312" s="137" t="s">
        <v>322</v>
      </c>
      <c r="I312" s="138" t="s">
        <v>314</v>
      </c>
    </row>
    <row r="313" spans="2:15" ht="36.75" customHeight="1" x14ac:dyDescent="0.25">
      <c r="B313" s="436" t="s">
        <v>551</v>
      </c>
      <c r="C313" s="437"/>
      <c r="D313" s="438"/>
      <c r="E313" s="163"/>
      <c r="F313" s="161" t="s">
        <v>27</v>
      </c>
      <c r="G313" s="160">
        <f>965500-38000-15000+68000+431993+1126495+1230137+474855-961710</f>
        <v>3282270</v>
      </c>
      <c r="H313" s="142">
        <v>1</v>
      </c>
      <c r="I313" s="143">
        <f>G313*H313</f>
        <v>3282270</v>
      </c>
    </row>
    <row r="314" spans="2:15" ht="10.5" customHeight="1" thickBot="1" x14ac:dyDescent="0.3">
      <c r="B314" s="371" t="s">
        <v>318</v>
      </c>
      <c r="C314" s="372"/>
      <c r="D314" s="372"/>
      <c r="E314" s="372"/>
      <c r="F314" s="372"/>
      <c r="G314" s="372"/>
      <c r="H314" s="372"/>
      <c r="I314" s="144">
        <f>SUM(I313:I313)</f>
        <v>3282270</v>
      </c>
      <c r="N314" s="150"/>
    </row>
    <row r="315" spans="2:15" ht="6" customHeight="1" thickBot="1" x14ac:dyDescent="0.3">
      <c r="B315" s="373"/>
      <c r="C315" s="373"/>
      <c r="D315" s="373"/>
      <c r="E315" s="373"/>
      <c r="F315" s="373"/>
      <c r="G315" s="373"/>
      <c r="H315" s="373"/>
      <c r="I315" s="373"/>
    </row>
    <row r="316" spans="2:15" s="145" customFormat="1" x14ac:dyDescent="0.25">
      <c r="B316" s="380" t="s">
        <v>323</v>
      </c>
      <c r="C316" s="381"/>
      <c r="D316" s="381"/>
      <c r="E316" s="381"/>
      <c r="F316" s="381"/>
      <c r="G316" s="381"/>
      <c r="H316" s="381"/>
      <c r="I316" s="382"/>
      <c r="L316" s="146"/>
      <c r="M316" s="146"/>
    </row>
    <row r="317" spans="2:15" s="145" customFormat="1" x14ac:dyDescent="0.25">
      <c r="B317" s="377" t="s">
        <v>324</v>
      </c>
      <c r="C317" s="378"/>
      <c r="D317" s="379"/>
      <c r="E317" s="137" t="s">
        <v>325</v>
      </c>
      <c r="F317" s="137" t="s">
        <v>326</v>
      </c>
      <c r="G317" s="137" t="s">
        <v>130</v>
      </c>
      <c r="H317" s="137" t="s">
        <v>327</v>
      </c>
      <c r="I317" s="138" t="s">
        <v>314</v>
      </c>
      <c r="K317" s="260"/>
      <c r="N317" s="183"/>
      <c r="O317" s="148"/>
    </row>
    <row r="318" spans="2:15" ht="11.25" customHeight="1" x14ac:dyDescent="0.25">
      <c r="B318" s="362" t="s">
        <v>711</v>
      </c>
      <c r="C318" s="363"/>
      <c r="D318" s="363"/>
      <c r="E318" s="170">
        <v>1</v>
      </c>
      <c r="F318" s="164"/>
      <c r="G318" s="161"/>
      <c r="H318" s="162">
        <v>49000</v>
      </c>
      <c r="I318" s="143">
        <f>H318*E318</f>
        <v>49000</v>
      </c>
    </row>
    <row r="319" spans="2:15" ht="10.5" customHeight="1" thickBot="1" x14ac:dyDescent="0.3">
      <c r="B319" s="371" t="s">
        <v>318</v>
      </c>
      <c r="C319" s="372"/>
      <c r="D319" s="372"/>
      <c r="E319" s="372"/>
      <c r="F319" s="372"/>
      <c r="G319" s="372"/>
      <c r="H319" s="372"/>
      <c r="I319" s="144">
        <f>SUM(I318:I318)</f>
        <v>49000</v>
      </c>
      <c r="N319" s="150"/>
    </row>
    <row r="320" spans="2:15" ht="6" customHeight="1" thickBot="1" x14ac:dyDescent="0.3">
      <c r="B320" s="373"/>
      <c r="C320" s="373"/>
      <c r="D320" s="373"/>
      <c r="E320" s="373"/>
      <c r="F320" s="373"/>
      <c r="G320" s="373"/>
      <c r="H320" s="373"/>
      <c r="I320" s="373"/>
    </row>
    <row r="321" spans="2:15" s="145" customFormat="1" ht="20.100000000000001" customHeight="1" x14ac:dyDescent="0.25">
      <c r="B321" s="380" t="s">
        <v>328</v>
      </c>
      <c r="C321" s="381"/>
      <c r="D321" s="381"/>
      <c r="E321" s="381"/>
      <c r="F321" s="381"/>
      <c r="G321" s="381"/>
      <c r="H321" s="381"/>
      <c r="I321" s="382"/>
      <c r="N321" s="148"/>
      <c r="O321" s="149"/>
    </row>
    <row r="322" spans="2:15" s="145" customFormat="1" ht="20.100000000000001" customHeight="1" x14ac:dyDescent="0.25">
      <c r="B322" s="377" t="s">
        <v>329</v>
      </c>
      <c r="C322" s="379"/>
      <c r="D322" s="137" t="s">
        <v>322</v>
      </c>
      <c r="E322" s="137" t="s">
        <v>330</v>
      </c>
      <c r="F322" s="137" t="s">
        <v>331</v>
      </c>
      <c r="G322" s="137" t="s">
        <v>332</v>
      </c>
      <c r="H322" s="137" t="s">
        <v>313</v>
      </c>
      <c r="I322" s="138" t="s">
        <v>314</v>
      </c>
      <c r="O322" s="179"/>
    </row>
    <row r="323" spans="2:15" s="151" customFormat="1" ht="9.75" customHeight="1" x14ac:dyDescent="0.25">
      <c r="B323" s="367" t="s">
        <v>356</v>
      </c>
      <c r="C323" s="368"/>
      <c r="D323" s="180">
        <v>1</v>
      </c>
      <c r="E323" s="141">
        <v>140000</v>
      </c>
      <c r="F323" s="141">
        <f>+E323*0.8</f>
        <v>112000</v>
      </c>
      <c r="G323" s="178">
        <f>D323*E323+F323*D323</f>
        <v>252000</v>
      </c>
      <c r="H323" s="184">
        <v>1.1000000000000001</v>
      </c>
      <c r="I323" s="143">
        <f>+G323/H323</f>
        <v>229090.90909090906</v>
      </c>
      <c r="J323" s="145"/>
      <c r="K323" s="147"/>
    </row>
    <row r="324" spans="2:15" s="151" customFormat="1" ht="11.25" customHeight="1" x14ac:dyDescent="0.25">
      <c r="B324" s="367" t="s">
        <v>374</v>
      </c>
      <c r="C324" s="368"/>
      <c r="D324" s="180">
        <v>1</v>
      </c>
      <c r="E324" s="141">
        <v>80000</v>
      </c>
      <c r="F324" s="141">
        <f>+E324*0.8</f>
        <v>64000</v>
      </c>
      <c r="G324" s="178">
        <f>D324*E324+F324*D324</f>
        <v>144000</v>
      </c>
      <c r="H324" s="184">
        <f>+H323</f>
        <v>1.1000000000000001</v>
      </c>
      <c r="I324" s="143">
        <f>+G324/H324</f>
        <v>130909.0909090909</v>
      </c>
      <c r="J324" s="145"/>
      <c r="K324" s="147"/>
      <c r="L324" s="179"/>
      <c r="M324" s="179"/>
    </row>
    <row r="325" spans="2:15" s="145" customFormat="1" ht="10.5" customHeight="1" x14ac:dyDescent="0.25">
      <c r="B325" s="367" t="s">
        <v>333</v>
      </c>
      <c r="C325" s="368"/>
      <c r="D325" s="180">
        <v>2</v>
      </c>
      <c r="E325" s="141">
        <v>55000</v>
      </c>
      <c r="F325" s="141">
        <f>+E325*0.8</f>
        <v>44000</v>
      </c>
      <c r="G325" s="178">
        <f>D325*E325+F325*D325</f>
        <v>198000</v>
      </c>
      <c r="H325" s="184">
        <f>+H323</f>
        <v>1.1000000000000001</v>
      </c>
      <c r="I325" s="143">
        <f>+G325/H325</f>
        <v>180000</v>
      </c>
      <c r="K325" s="147"/>
    </row>
    <row r="326" spans="2:15" s="151" customFormat="1" ht="11.25" customHeight="1" x14ac:dyDescent="0.25">
      <c r="B326" s="367"/>
      <c r="C326" s="368"/>
      <c r="D326" s="180"/>
      <c r="E326" s="141"/>
      <c r="F326" s="141"/>
      <c r="G326" s="178"/>
      <c r="H326" s="184"/>
      <c r="I326" s="143"/>
      <c r="K326" s="282">
        <v>0</v>
      </c>
      <c r="L326" s="179"/>
      <c r="M326" s="179"/>
    </row>
    <row r="327" spans="2:15" ht="10.5" customHeight="1" thickBot="1" x14ac:dyDescent="0.3">
      <c r="B327" s="371" t="s">
        <v>318</v>
      </c>
      <c r="C327" s="372"/>
      <c r="D327" s="372"/>
      <c r="E327" s="372"/>
      <c r="F327" s="372"/>
      <c r="G327" s="372"/>
      <c r="H327" s="372"/>
      <c r="I327" s="144">
        <f>SUM(I323:I326)</f>
        <v>540000</v>
      </c>
      <c r="N327" s="150"/>
    </row>
    <row r="328" spans="2:15" ht="6" customHeight="1" thickBot="1" x14ac:dyDescent="0.3">
      <c r="B328" s="373"/>
      <c r="C328" s="373"/>
      <c r="D328" s="373"/>
      <c r="E328" s="373"/>
      <c r="F328" s="373"/>
      <c r="G328" s="373"/>
      <c r="H328" s="373"/>
      <c r="I328" s="373"/>
    </row>
    <row r="329" spans="2:15" ht="10.5" customHeight="1" thickBot="1" x14ac:dyDescent="0.3">
      <c r="B329" s="374" t="s">
        <v>334</v>
      </c>
      <c r="C329" s="375"/>
      <c r="D329" s="375"/>
      <c r="E329" s="375"/>
      <c r="F329" s="375"/>
      <c r="G329" s="375"/>
      <c r="H329" s="376"/>
      <c r="I329" s="152">
        <f>ROUND(+I309+I314+I319+I327,0)</f>
        <v>3966270</v>
      </c>
      <c r="J329" s="281"/>
      <c r="K329" s="169">
        <v>-2199477</v>
      </c>
      <c r="L329" s="181"/>
      <c r="M329" s="181"/>
      <c r="N329" s="153"/>
    </row>
    <row r="330" spans="2:15" ht="6" customHeight="1" thickBot="1" x14ac:dyDescent="0.3">
      <c r="B330" s="373"/>
      <c r="C330" s="373"/>
      <c r="D330" s="373"/>
      <c r="E330" s="373"/>
      <c r="F330" s="373"/>
      <c r="G330" s="373"/>
      <c r="H330" s="373"/>
      <c r="I330" s="373"/>
    </row>
    <row r="331" spans="2:15" ht="8.25" customHeight="1" x14ac:dyDescent="0.25">
      <c r="B331" s="433" t="s">
        <v>335</v>
      </c>
      <c r="C331" s="417"/>
      <c r="D331" s="418"/>
      <c r="E331" s="418"/>
      <c r="F331" s="419"/>
      <c r="G331" s="369" t="s">
        <v>336</v>
      </c>
      <c r="H331" s="370"/>
      <c r="I331" s="370"/>
    </row>
    <row r="332" spans="2:15" ht="33.75" customHeight="1" x14ac:dyDescent="0.25">
      <c r="B332" s="434"/>
      <c r="C332" s="420"/>
      <c r="D332" s="421"/>
      <c r="E332" s="421"/>
      <c r="F332" s="422"/>
      <c r="G332" s="430" t="s">
        <v>337</v>
      </c>
      <c r="H332" s="431"/>
      <c r="I332" s="431"/>
      <c r="L332" s="181"/>
      <c r="M332" s="181"/>
      <c r="N332" s="179"/>
    </row>
    <row r="333" spans="2:15" ht="13.5" customHeight="1" x14ac:dyDescent="0.25">
      <c r="B333" s="434"/>
      <c r="C333" s="420"/>
      <c r="D333" s="421"/>
      <c r="E333" s="421"/>
      <c r="F333" s="422"/>
      <c r="G333" s="154" t="s">
        <v>92</v>
      </c>
      <c r="H333" s="432" t="s">
        <v>93</v>
      </c>
      <c r="I333" s="432"/>
    </row>
    <row r="334" spans="2:15" ht="16.5" customHeight="1" x14ac:dyDescent="0.25">
      <c r="B334" s="435"/>
      <c r="C334" s="420"/>
      <c r="D334" s="421"/>
      <c r="E334" s="421"/>
      <c r="F334" s="422"/>
      <c r="G334" s="155" t="s">
        <v>94</v>
      </c>
      <c r="H334" s="156" t="s">
        <v>95</v>
      </c>
      <c r="I334" s="157" t="s">
        <v>96</v>
      </c>
    </row>
    <row r="335" spans="2:15" x14ac:dyDescent="0.25">
      <c r="B335" s="268" t="s">
        <v>18</v>
      </c>
      <c r="C335" s="427"/>
      <c r="D335" s="428"/>
      <c r="E335" s="428"/>
      <c r="F335" s="429"/>
      <c r="G335" s="155" t="s">
        <v>98</v>
      </c>
      <c r="H335" s="157" t="s">
        <v>99</v>
      </c>
      <c r="I335" s="157" t="s">
        <v>100</v>
      </c>
    </row>
    <row r="336" spans="2:15" x14ac:dyDescent="0.25">
      <c r="B336" s="269" t="s">
        <v>97</v>
      </c>
      <c r="C336" s="427"/>
      <c r="D336" s="428"/>
      <c r="E336" s="428"/>
      <c r="F336" s="429"/>
      <c r="G336" s="154" t="s">
        <v>338</v>
      </c>
      <c r="H336" s="426"/>
      <c r="I336" s="426"/>
    </row>
    <row r="337" spans="2:13" ht="15.75" thickBot="1" x14ac:dyDescent="0.3">
      <c r="B337" s="270" t="s">
        <v>101</v>
      </c>
      <c r="C337" s="423"/>
      <c r="D337" s="424"/>
      <c r="E337" s="424"/>
      <c r="F337" s="425"/>
      <c r="G337" s="154" t="s">
        <v>102</v>
      </c>
      <c r="H337" s="426" t="s">
        <v>103</v>
      </c>
      <c r="I337" s="426"/>
    </row>
    <row r="338" spans="2:13" ht="45" customHeight="1" thickBot="1" x14ac:dyDescent="0.3">
      <c r="B338" s="401"/>
      <c r="C338" s="402"/>
      <c r="D338" s="402"/>
      <c r="E338" s="402"/>
      <c r="F338" s="403" t="s">
        <v>0</v>
      </c>
      <c r="G338" s="403"/>
      <c r="H338" s="403"/>
      <c r="I338" s="404"/>
    </row>
    <row r="339" spans="2:13" ht="6" customHeight="1" thickBot="1" x14ac:dyDescent="0.3">
      <c r="B339" s="373"/>
      <c r="C339" s="373"/>
      <c r="D339" s="373"/>
      <c r="E339" s="373"/>
      <c r="F339" s="373"/>
      <c r="G339" s="373"/>
      <c r="H339" s="373"/>
      <c r="I339" s="373"/>
    </row>
    <row r="340" spans="2:13" ht="10.5" customHeight="1" x14ac:dyDescent="0.25">
      <c r="B340" s="405" t="s">
        <v>294</v>
      </c>
      <c r="C340" s="406"/>
      <c r="D340" s="407" t="s">
        <v>295</v>
      </c>
      <c r="E340" s="409" t="s">
        <v>296</v>
      </c>
      <c r="F340" s="410"/>
      <c r="G340" s="410"/>
      <c r="H340" s="410"/>
      <c r="I340" s="411"/>
    </row>
    <row r="341" spans="2:13" ht="9" customHeight="1" thickBot="1" x14ac:dyDescent="0.3">
      <c r="B341" s="415"/>
      <c r="C341" s="416"/>
      <c r="D341" s="408"/>
      <c r="E341" s="412"/>
      <c r="F341" s="413"/>
      <c r="G341" s="413"/>
      <c r="H341" s="413"/>
      <c r="I341" s="414"/>
    </row>
    <row r="342" spans="2:13" ht="6" customHeight="1" thickBot="1" x14ac:dyDescent="0.3">
      <c r="B342" s="373"/>
      <c r="C342" s="373"/>
      <c r="D342" s="373"/>
      <c r="E342" s="373"/>
      <c r="F342" s="373"/>
      <c r="G342" s="373"/>
      <c r="H342" s="373"/>
      <c r="I342" s="373"/>
    </row>
    <row r="343" spans="2:13" ht="17.25" customHeight="1" thickBot="1" x14ac:dyDescent="0.3">
      <c r="B343" s="390" t="s">
        <v>297</v>
      </c>
      <c r="C343" s="391"/>
      <c r="D343" s="392"/>
      <c r="E343" s="393"/>
      <c r="F343" s="393"/>
      <c r="G343" s="394"/>
      <c r="H343" s="127" t="s">
        <v>298</v>
      </c>
      <c r="I343" s="128"/>
    </row>
    <row r="344" spans="2:13" ht="6" customHeight="1" thickBot="1" x14ac:dyDescent="0.3">
      <c r="B344" s="373"/>
      <c r="C344" s="373"/>
      <c r="D344" s="373"/>
      <c r="E344" s="373"/>
      <c r="F344" s="373"/>
      <c r="G344" s="373"/>
      <c r="H344" s="373"/>
      <c r="I344" s="373"/>
    </row>
    <row r="345" spans="2:13" ht="19.5" customHeight="1" x14ac:dyDescent="0.25">
      <c r="B345" s="261" t="s">
        <v>299</v>
      </c>
      <c r="C345" s="129" t="s">
        <v>300</v>
      </c>
      <c r="D345" s="130" t="s">
        <v>301</v>
      </c>
      <c r="E345" s="130" t="s">
        <v>302</v>
      </c>
      <c r="F345" s="398" t="s">
        <v>303</v>
      </c>
      <c r="G345" s="399"/>
      <c r="H345" s="400"/>
      <c r="I345" s="131" t="s">
        <v>304</v>
      </c>
    </row>
    <row r="346" spans="2:13" ht="11.25" customHeight="1" x14ac:dyDescent="0.25">
      <c r="B346" s="262"/>
      <c r="C346" s="132"/>
      <c r="D346" s="132" t="s">
        <v>305</v>
      </c>
      <c r="E346" s="132" t="s">
        <v>306</v>
      </c>
      <c r="F346" s="395" t="s">
        <v>339</v>
      </c>
      <c r="G346" s="396"/>
      <c r="H346" s="397"/>
      <c r="I346" s="133"/>
    </row>
    <row r="347" spans="2:13" ht="28.5" customHeight="1" x14ac:dyDescent="0.25">
      <c r="B347" s="263" t="s">
        <v>307</v>
      </c>
      <c r="C347" s="383" t="s">
        <v>414</v>
      </c>
      <c r="D347" s="384"/>
      <c r="E347" s="384"/>
      <c r="F347" s="384"/>
      <c r="G347" s="384"/>
      <c r="H347" s="384"/>
      <c r="I347" s="385"/>
    </row>
    <row r="348" spans="2:13" ht="10.5" customHeight="1" x14ac:dyDescent="0.25">
      <c r="B348" s="264" t="s">
        <v>129</v>
      </c>
      <c r="C348" s="388" t="s">
        <v>308</v>
      </c>
      <c r="D348" s="389"/>
      <c r="E348" s="389"/>
      <c r="F348" s="389"/>
      <c r="G348" s="389"/>
      <c r="H348" s="389"/>
      <c r="I348" s="134" t="s">
        <v>130</v>
      </c>
    </row>
    <row r="349" spans="2:13" ht="50.25" customHeight="1" thickBot="1" x14ac:dyDescent="0.3">
      <c r="B349" s="265">
        <v>5.1899999999999986</v>
      </c>
      <c r="C349" s="386" t="s">
        <v>552</v>
      </c>
      <c r="D349" s="387"/>
      <c r="E349" s="387"/>
      <c r="F349" s="387"/>
      <c r="G349" s="387"/>
      <c r="H349" s="387"/>
      <c r="I349" s="135" t="s">
        <v>27</v>
      </c>
    </row>
    <row r="350" spans="2:13" ht="6" customHeight="1" thickBot="1" x14ac:dyDescent="0.3">
      <c r="B350" s="373"/>
      <c r="C350" s="373"/>
      <c r="D350" s="373"/>
      <c r="E350" s="373"/>
      <c r="F350" s="373"/>
      <c r="G350" s="373"/>
      <c r="H350" s="373"/>
      <c r="I350" s="373"/>
    </row>
    <row r="351" spans="2:13" x14ac:dyDescent="0.25">
      <c r="B351" s="380" t="s">
        <v>309</v>
      </c>
      <c r="C351" s="381"/>
      <c r="D351" s="381"/>
      <c r="E351" s="381"/>
      <c r="F351" s="381"/>
      <c r="G351" s="381"/>
      <c r="H351" s="381"/>
      <c r="I351" s="382"/>
      <c r="K351" s="182"/>
    </row>
    <row r="352" spans="2:13" ht="11.25" customHeight="1" x14ac:dyDescent="0.25">
      <c r="B352" s="377" t="s">
        <v>310</v>
      </c>
      <c r="C352" s="378"/>
      <c r="D352" s="379"/>
      <c r="E352" s="136"/>
      <c r="F352" s="137" t="s">
        <v>311</v>
      </c>
      <c r="G352" s="137" t="s">
        <v>312</v>
      </c>
      <c r="H352" s="137" t="s">
        <v>313</v>
      </c>
      <c r="I352" s="138" t="s">
        <v>314</v>
      </c>
      <c r="L352" s="139"/>
      <c r="M352" s="139"/>
    </row>
    <row r="353" spans="2:15" ht="11.25" customHeight="1" x14ac:dyDescent="0.25">
      <c r="B353" s="362" t="s">
        <v>315</v>
      </c>
      <c r="C353" s="363"/>
      <c r="D353" s="363"/>
      <c r="E353" s="160"/>
      <c r="F353" s="161" t="s">
        <v>316</v>
      </c>
      <c r="G353" s="160">
        <v>5000</v>
      </c>
      <c r="H353" s="142">
        <v>1</v>
      </c>
      <c r="I353" s="143">
        <f>G353*H353</f>
        <v>5000</v>
      </c>
    </row>
    <row r="354" spans="2:15" ht="16.5" customHeight="1" x14ac:dyDescent="0.25">
      <c r="B354" s="362" t="s">
        <v>355</v>
      </c>
      <c r="C354" s="363"/>
      <c r="D354" s="363"/>
      <c r="E354" s="160"/>
      <c r="F354" s="161" t="s">
        <v>317</v>
      </c>
      <c r="G354" s="160">
        <v>90000</v>
      </c>
      <c r="H354" s="142">
        <v>1</v>
      </c>
      <c r="I354" s="143">
        <f>G354*H354</f>
        <v>90000</v>
      </c>
    </row>
    <row r="355" spans="2:15" ht="10.5" customHeight="1" thickBot="1" x14ac:dyDescent="0.3">
      <c r="B355" s="371" t="s">
        <v>318</v>
      </c>
      <c r="C355" s="372"/>
      <c r="D355" s="372"/>
      <c r="E355" s="372"/>
      <c r="F355" s="372"/>
      <c r="G355" s="372"/>
      <c r="H355" s="372"/>
      <c r="I355" s="144">
        <f>SUM(I353:I354)</f>
        <v>95000</v>
      </c>
      <c r="N355" s="150"/>
    </row>
    <row r="356" spans="2:15" ht="6" customHeight="1" thickBot="1" x14ac:dyDescent="0.3">
      <c r="B356" s="373"/>
      <c r="C356" s="373"/>
      <c r="D356" s="373"/>
      <c r="E356" s="373"/>
      <c r="F356" s="373"/>
      <c r="G356" s="373"/>
      <c r="H356" s="373"/>
      <c r="I356" s="373"/>
    </row>
    <row r="357" spans="2:15" s="145" customFormat="1" x14ac:dyDescent="0.25">
      <c r="B357" s="380" t="s">
        <v>319</v>
      </c>
      <c r="C357" s="381"/>
      <c r="D357" s="381"/>
      <c r="E357" s="381"/>
      <c r="F357" s="381"/>
      <c r="G357" s="381"/>
      <c r="H357" s="381"/>
      <c r="I357" s="382"/>
    </row>
    <row r="358" spans="2:15" s="145" customFormat="1" ht="15.75" customHeight="1" x14ac:dyDescent="0.25">
      <c r="B358" s="377" t="s">
        <v>310</v>
      </c>
      <c r="C358" s="378"/>
      <c r="D358" s="379"/>
      <c r="E358" s="137"/>
      <c r="F358" s="137" t="s">
        <v>320</v>
      </c>
      <c r="G358" s="137" t="s">
        <v>321</v>
      </c>
      <c r="H358" s="137" t="s">
        <v>322</v>
      </c>
      <c r="I358" s="138" t="s">
        <v>314</v>
      </c>
    </row>
    <row r="359" spans="2:15" ht="73.5" customHeight="1" x14ac:dyDescent="0.25">
      <c r="B359" s="436" t="s">
        <v>552</v>
      </c>
      <c r="C359" s="437"/>
      <c r="D359" s="438"/>
      <c r="E359" s="163"/>
      <c r="F359" s="161" t="s">
        <v>27</v>
      </c>
      <c r="G359" s="160">
        <f>965500-38000-15000+68000+431993+1126495+1230137+474855-961710-481855</f>
        <v>2800415</v>
      </c>
      <c r="H359" s="142">
        <v>1</v>
      </c>
      <c r="I359" s="143">
        <f>G359*H359</f>
        <v>2800415</v>
      </c>
    </row>
    <row r="360" spans="2:15" ht="10.5" customHeight="1" thickBot="1" x14ac:dyDescent="0.3">
      <c r="B360" s="371" t="s">
        <v>318</v>
      </c>
      <c r="C360" s="372"/>
      <c r="D360" s="372"/>
      <c r="E360" s="372"/>
      <c r="F360" s="372"/>
      <c r="G360" s="372"/>
      <c r="H360" s="372"/>
      <c r="I360" s="144">
        <f>SUM(I359:I359)</f>
        <v>2800415</v>
      </c>
      <c r="N360" s="150"/>
    </row>
    <row r="361" spans="2:15" ht="6" customHeight="1" thickBot="1" x14ac:dyDescent="0.3">
      <c r="B361" s="373"/>
      <c r="C361" s="373"/>
      <c r="D361" s="373"/>
      <c r="E361" s="373"/>
      <c r="F361" s="373"/>
      <c r="G361" s="373"/>
      <c r="H361" s="373"/>
      <c r="I361" s="373"/>
    </row>
    <row r="362" spans="2:15" s="145" customFormat="1" x14ac:dyDescent="0.25">
      <c r="B362" s="380" t="s">
        <v>323</v>
      </c>
      <c r="C362" s="381"/>
      <c r="D362" s="381"/>
      <c r="E362" s="381"/>
      <c r="F362" s="381"/>
      <c r="G362" s="381"/>
      <c r="H362" s="381"/>
      <c r="I362" s="382"/>
      <c r="L362" s="146"/>
      <c r="M362" s="146"/>
    </row>
    <row r="363" spans="2:15" s="145" customFormat="1" x14ac:dyDescent="0.25">
      <c r="B363" s="377" t="s">
        <v>324</v>
      </c>
      <c r="C363" s="378"/>
      <c r="D363" s="379"/>
      <c r="E363" s="137" t="s">
        <v>325</v>
      </c>
      <c r="F363" s="137" t="s">
        <v>326</v>
      </c>
      <c r="G363" s="137" t="s">
        <v>130</v>
      </c>
      <c r="H363" s="137" t="s">
        <v>327</v>
      </c>
      <c r="I363" s="138" t="s">
        <v>314</v>
      </c>
      <c r="K363" s="260"/>
      <c r="N363" s="183"/>
      <c r="O363" s="148"/>
    </row>
    <row r="364" spans="2:15" ht="11.25" customHeight="1" x14ac:dyDescent="0.25">
      <c r="B364" s="362" t="s">
        <v>711</v>
      </c>
      <c r="C364" s="363"/>
      <c r="D364" s="363"/>
      <c r="E364" s="170">
        <v>1</v>
      </c>
      <c r="F364" s="164"/>
      <c r="G364" s="161"/>
      <c r="H364" s="162">
        <v>35000</v>
      </c>
      <c r="I364" s="143">
        <f>H364*E364</f>
        <v>35000</v>
      </c>
    </row>
    <row r="365" spans="2:15" ht="10.5" customHeight="1" thickBot="1" x14ac:dyDescent="0.3">
      <c r="B365" s="371" t="s">
        <v>318</v>
      </c>
      <c r="C365" s="372"/>
      <c r="D365" s="372"/>
      <c r="E365" s="372"/>
      <c r="F365" s="372"/>
      <c r="G365" s="372"/>
      <c r="H365" s="372"/>
      <c r="I365" s="144">
        <f>SUM(I364:I364)</f>
        <v>35000</v>
      </c>
      <c r="N365" s="150"/>
    </row>
    <row r="366" spans="2:15" ht="6" customHeight="1" thickBot="1" x14ac:dyDescent="0.3">
      <c r="B366" s="373"/>
      <c r="C366" s="373"/>
      <c r="D366" s="373"/>
      <c r="E366" s="373"/>
      <c r="F366" s="373"/>
      <c r="G366" s="373"/>
      <c r="H366" s="373"/>
      <c r="I366" s="373"/>
    </row>
    <row r="367" spans="2:15" s="145" customFormat="1" ht="20.100000000000001" customHeight="1" x14ac:dyDescent="0.25">
      <c r="B367" s="380" t="s">
        <v>328</v>
      </c>
      <c r="C367" s="381"/>
      <c r="D367" s="381"/>
      <c r="E367" s="381"/>
      <c r="F367" s="381"/>
      <c r="G367" s="381"/>
      <c r="H367" s="381"/>
      <c r="I367" s="382"/>
      <c r="N367" s="148"/>
      <c r="O367" s="149"/>
    </row>
    <row r="368" spans="2:15" s="145" customFormat="1" ht="20.100000000000001" customHeight="1" x14ac:dyDescent="0.25">
      <c r="B368" s="377" t="s">
        <v>329</v>
      </c>
      <c r="C368" s="379"/>
      <c r="D368" s="137" t="s">
        <v>322</v>
      </c>
      <c r="E368" s="137" t="s">
        <v>330</v>
      </c>
      <c r="F368" s="137" t="s">
        <v>331</v>
      </c>
      <c r="G368" s="137" t="s">
        <v>332</v>
      </c>
      <c r="H368" s="137" t="s">
        <v>313</v>
      </c>
      <c r="I368" s="138" t="s">
        <v>314</v>
      </c>
      <c r="O368" s="179"/>
    </row>
    <row r="369" spans="2:14" s="151" customFormat="1" ht="9.75" customHeight="1" x14ac:dyDescent="0.25">
      <c r="B369" s="367" t="s">
        <v>356</v>
      </c>
      <c r="C369" s="368"/>
      <c r="D369" s="180">
        <v>1</v>
      </c>
      <c r="E369" s="141">
        <v>140000</v>
      </c>
      <c r="F369" s="141">
        <f>+E369*0.8</f>
        <v>112000</v>
      </c>
      <c r="G369" s="178">
        <f>D369*E369+F369*D369</f>
        <v>252000</v>
      </c>
      <c r="H369" s="184">
        <v>1.2</v>
      </c>
      <c r="I369" s="143">
        <f>+G369/H369</f>
        <v>210000</v>
      </c>
      <c r="J369" s="145"/>
      <c r="K369" s="147"/>
    </row>
    <row r="370" spans="2:14" s="151" customFormat="1" ht="11.25" customHeight="1" x14ac:dyDescent="0.25">
      <c r="B370" s="367" t="s">
        <v>374</v>
      </c>
      <c r="C370" s="368"/>
      <c r="D370" s="180">
        <v>1</v>
      </c>
      <c r="E370" s="141">
        <v>80000</v>
      </c>
      <c r="F370" s="141">
        <f>+E370*0.8</f>
        <v>64000</v>
      </c>
      <c r="G370" s="178">
        <f>D370*E370+F370*D370</f>
        <v>144000</v>
      </c>
      <c r="H370" s="184">
        <f>+H369</f>
        <v>1.2</v>
      </c>
      <c r="I370" s="143">
        <f>+G370/H370</f>
        <v>120000</v>
      </c>
      <c r="J370" s="145"/>
      <c r="K370" s="147"/>
      <c r="L370" s="179"/>
      <c r="M370" s="179"/>
    </row>
    <row r="371" spans="2:14" s="145" customFormat="1" ht="10.5" customHeight="1" x14ac:dyDescent="0.25">
      <c r="B371" s="367" t="s">
        <v>333</v>
      </c>
      <c r="C371" s="368"/>
      <c r="D371" s="180">
        <v>2</v>
      </c>
      <c r="E371" s="141">
        <v>55000</v>
      </c>
      <c r="F371" s="141">
        <f>+E371*0.8</f>
        <v>44000</v>
      </c>
      <c r="G371" s="178">
        <f>D371*E371+F371*D371</f>
        <v>198000</v>
      </c>
      <c r="H371" s="184">
        <f>+H369</f>
        <v>1.2</v>
      </c>
      <c r="I371" s="143">
        <f>+G371/H371</f>
        <v>165000</v>
      </c>
      <c r="K371" s="147"/>
    </row>
    <row r="372" spans="2:14" s="151" customFormat="1" ht="11.25" customHeight="1" x14ac:dyDescent="0.25">
      <c r="B372" s="367"/>
      <c r="C372" s="368"/>
      <c r="D372" s="180"/>
      <c r="E372" s="141"/>
      <c r="F372" s="141"/>
      <c r="G372" s="178"/>
      <c r="H372" s="184"/>
      <c r="I372" s="143"/>
      <c r="K372" s="282">
        <v>0</v>
      </c>
      <c r="L372" s="179"/>
      <c r="M372" s="179"/>
    </row>
    <row r="373" spans="2:14" ht="10.5" customHeight="1" thickBot="1" x14ac:dyDescent="0.3">
      <c r="B373" s="371" t="s">
        <v>318</v>
      </c>
      <c r="C373" s="372"/>
      <c r="D373" s="372"/>
      <c r="E373" s="372"/>
      <c r="F373" s="372"/>
      <c r="G373" s="372"/>
      <c r="H373" s="372"/>
      <c r="I373" s="144">
        <f>SUM(I369:I372)</f>
        <v>495000</v>
      </c>
      <c r="N373" s="150"/>
    </row>
    <row r="374" spans="2:14" ht="6" customHeight="1" thickBot="1" x14ac:dyDescent="0.3">
      <c r="B374" s="373"/>
      <c r="C374" s="373"/>
      <c r="D374" s="373"/>
      <c r="E374" s="373"/>
      <c r="F374" s="373"/>
      <c r="G374" s="373"/>
      <c r="H374" s="373"/>
      <c r="I374" s="373"/>
    </row>
    <row r="375" spans="2:14" ht="10.5" customHeight="1" thickBot="1" x14ac:dyDescent="0.3">
      <c r="B375" s="374" t="s">
        <v>334</v>
      </c>
      <c r="C375" s="375"/>
      <c r="D375" s="375"/>
      <c r="E375" s="375"/>
      <c r="F375" s="375"/>
      <c r="G375" s="375"/>
      <c r="H375" s="376"/>
      <c r="I375" s="152">
        <f>ROUND(+I355+I360+I365+I373,0)</f>
        <v>3425415</v>
      </c>
      <c r="J375" s="281"/>
      <c r="K375" s="169">
        <v>3162915</v>
      </c>
      <c r="L375" s="181"/>
      <c r="M375" s="181"/>
      <c r="N375" s="153"/>
    </row>
    <row r="376" spans="2:14" ht="6" customHeight="1" thickBot="1" x14ac:dyDescent="0.3">
      <c r="B376" s="373"/>
      <c r="C376" s="373"/>
      <c r="D376" s="373"/>
      <c r="E376" s="373"/>
      <c r="F376" s="373"/>
      <c r="G376" s="373"/>
      <c r="H376" s="373"/>
      <c r="I376" s="373"/>
    </row>
    <row r="377" spans="2:14" ht="8.25" customHeight="1" x14ac:dyDescent="0.25">
      <c r="B377" s="433" t="s">
        <v>335</v>
      </c>
      <c r="C377" s="417"/>
      <c r="D377" s="418"/>
      <c r="E377" s="418"/>
      <c r="F377" s="419"/>
      <c r="G377" s="369" t="s">
        <v>336</v>
      </c>
      <c r="H377" s="370"/>
      <c r="I377" s="370"/>
    </row>
    <row r="378" spans="2:14" ht="33.75" customHeight="1" x14ac:dyDescent="0.25">
      <c r="B378" s="434"/>
      <c r="C378" s="420"/>
      <c r="D378" s="421"/>
      <c r="E378" s="421"/>
      <c r="F378" s="422"/>
      <c r="G378" s="430" t="s">
        <v>337</v>
      </c>
      <c r="H378" s="431"/>
      <c r="I378" s="431"/>
      <c r="L378" s="181"/>
      <c r="M378" s="181"/>
      <c r="N378" s="179"/>
    </row>
    <row r="379" spans="2:14" ht="13.5" customHeight="1" x14ac:dyDescent="0.25">
      <c r="B379" s="434"/>
      <c r="C379" s="420"/>
      <c r="D379" s="421"/>
      <c r="E379" s="421"/>
      <c r="F379" s="422"/>
      <c r="G379" s="154" t="s">
        <v>92</v>
      </c>
      <c r="H379" s="432" t="s">
        <v>93</v>
      </c>
      <c r="I379" s="432"/>
    </row>
    <row r="380" spans="2:14" ht="16.5" customHeight="1" x14ac:dyDescent="0.25">
      <c r="B380" s="435"/>
      <c r="C380" s="420"/>
      <c r="D380" s="421"/>
      <c r="E380" s="421"/>
      <c r="F380" s="422"/>
      <c r="G380" s="155" t="s">
        <v>94</v>
      </c>
      <c r="H380" s="156" t="s">
        <v>95</v>
      </c>
      <c r="I380" s="157" t="s">
        <v>96</v>
      </c>
    </row>
    <row r="381" spans="2:14" x14ac:dyDescent="0.25">
      <c r="B381" s="268" t="s">
        <v>18</v>
      </c>
      <c r="C381" s="427"/>
      <c r="D381" s="428"/>
      <c r="E381" s="428"/>
      <c r="F381" s="429"/>
      <c r="G381" s="155" t="s">
        <v>98</v>
      </c>
      <c r="H381" s="157" t="s">
        <v>99</v>
      </c>
      <c r="I381" s="157" t="s">
        <v>100</v>
      </c>
    </row>
    <row r="382" spans="2:14" x14ac:dyDescent="0.25">
      <c r="B382" s="269" t="s">
        <v>97</v>
      </c>
      <c r="C382" s="427"/>
      <c r="D382" s="428"/>
      <c r="E382" s="428"/>
      <c r="F382" s="429"/>
      <c r="G382" s="154" t="s">
        <v>338</v>
      </c>
      <c r="H382" s="426"/>
      <c r="I382" s="426"/>
    </row>
    <row r="383" spans="2:14" ht="15.75" thickBot="1" x14ac:dyDescent="0.3">
      <c r="B383" s="270" t="s">
        <v>101</v>
      </c>
      <c r="C383" s="423"/>
      <c r="D383" s="424"/>
      <c r="E383" s="424"/>
      <c r="F383" s="425"/>
      <c r="G383" s="154" t="s">
        <v>102</v>
      </c>
      <c r="H383" s="426" t="s">
        <v>103</v>
      </c>
      <c r="I383" s="426"/>
    </row>
    <row r="384" spans="2:14" ht="45" customHeight="1" thickBot="1" x14ac:dyDescent="0.3">
      <c r="B384" s="401"/>
      <c r="C384" s="402"/>
      <c r="D384" s="402"/>
      <c r="E384" s="402"/>
      <c r="F384" s="403" t="s">
        <v>0</v>
      </c>
      <c r="G384" s="403"/>
      <c r="H384" s="403"/>
      <c r="I384" s="404"/>
    </row>
    <row r="385" spans="2:13" ht="6" customHeight="1" thickBot="1" x14ac:dyDescent="0.3">
      <c r="B385" s="373"/>
      <c r="C385" s="373"/>
      <c r="D385" s="373"/>
      <c r="E385" s="373"/>
      <c r="F385" s="373"/>
      <c r="G385" s="373"/>
      <c r="H385" s="373"/>
      <c r="I385" s="373"/>
    </row>
    <row r="386" spans="2:13" ht="10.5" customHeight="1" x14ac:dyDescent="0.25">
      <c r="B386" s="405" t="s">
        <v>294</v>
      </c>
      <c r="C386" s="406"/>
      <c r="D386" s="407" t="s">
        <v>295</v>
      </c>
      <c r="E386" s="409" t="s">
        <v>296</v>
      </c>
      <c r="F386" s="410"/>
      <c r="G386" s="410"/>
      <c r="H386" s="410"/>
      <c r="I386" s="411"/>
    </row>
    <row r="387" spans="2:13" ht="9" customHeight="1" thickBot="1" x14ac:dyDescent="0.3">
      <c r="B387" s="415"/>
      <c r="C387" s="416"/>
      <c r="D387" s="408"/>
      <c r="E387" s="412"/>
      <c r="F387" s="413"/>
      <c r="G387" s="413"/>
      <c r="H387" s="413"/>
      <c r="I387" s="414"/>
    </row>
    <row r="388" spans="2:13" ht="6" customHeight="1" thickBot="1" x14ac:dyDescent="0.3">
      <c r="B388" s="373"/>
      <c r="C388" s="373"/>
      <c r="D388" s="373"/>
      <c r="E388" s="373"/>
      <c r="F388" s="373"/>
      <c r="G388" s="373"/>
      <c r="H388" s="373"/>
      <c r="I388" s="373"/>
    </row>
    <row r="389" spans="2:13" ht="17.25" customHeight="1" thickBot="1" x14ac:dyDescent="0.3">
      <c r="B389" s="390" t="s">
        <v>297</v>
      </c>
      <c r="C389" s="391"/>
      <c r="D389" s="392"/>
      <c r="E389" s="393"/>
      <c r="F389" s="393"/>
      <c r="G389" s="394"/>
      <c r="H389" s="127" t="s">
        <v>298</v>
      </c>
      <c r="I389" s="128"/>
    </row>
    <row r="390" spans="2:13" ht="6" customHeight="1" thickBot="1" x14ac:dyDescent="0.3">
      <c r="B390" s="373"/>
      <c r="C390" s="373"/>
      <c r="D390" s="373"/>
      <c r="E390" s="373"/>
      <c r="F390" s="373"/>
      <c r="G390" s="373"/>
      <c r="H390" s="373"/>
      <c r="I390" s="373"/>
    </row>
    <row r="391" spans="2:13" ht="19.5" customHeight="1" x14ac:dyDescent="0.25">
      <c r="B391" s="261" t="s">
        <v>299</v>
      </c>
      <c r="C391" s="129" t="s">
        <v>300</v>
      </c>
      <c r="D391" s="130" t="s">
        <v>301</v>
      </c>
      <c r="E391" s="130" t="s">
        <v>302</v>
      </c>
      <c r="F391" s="398" t="s">
        <v>303</v>
      </c>
      <c r="G391" s="399"/>
      <c r="H391" s="400"/>
      <c r="I391" s="131" t="s">
        <v>304</v>
      </c>
    </row>
    <row r="392" spans="2:13" ht="11.25" customHeight="1" x14ac:dyDescent="0.25">
      <c r="B392" s="262"/>
      <c r="C392" s="132"/>
      <c r="D392" s="132" t="s">
        <v>305</v>
      </c>
      <c r="E392" s="132" t="s">
        <v>306</v>
      </c>
      <c r="F392" s="395" t="s">
        <v>339</v>
      </c>
      <c r="G392" s="396"/>
      <c r="H392" s="397"/>
      <c r="I392" s="133"/>
    </row>
    <row r="393" spans="2:13" ht="28.5" customHeight="1" x14ac:dyDescent="0.25">
      <c r="B393" s="263" t="s">
        <v>307</v>
      </c>
      <c r="C393" s="383" t="s">
        <v>414</v>
      </c>
      <c r="D393" s="384"/>
      <c r="E393" s="384"/>
      <c r="F393" s="384"/>
      <c r="G393" s="384"/>
      <c r="H393" s="384"/>
      <c r="I393" s="385"/>
    </row>
    <row r="394" spans="2:13" ht="10.5" customHeight="1" x14ac:dyDescent="0.25">
      <c r="B394" s="264" t="s">
        <v>129</v>
      </c>
      <c r="C394" s="388" t="s">
        <v>308</v>
      </c>
      <c r="D394" s="389"/>
      <c r="E394" s="389"/>
      <c r="F394" s="389"/>
      <c r="G394" s="389"/>
      <c r="H394" s="389"/>
      <c r="I394" s="134" t="s">
        <v>130</v>
      </c>
    </row>
    <row r="395" spans="2:13" ht="50.25" customHeight="1" thickBot="1" x14ac:dyDescent="0.3">
      <c r="B395" s="265">
        <v>5.1999999999999984</v>
      </c>
      <c r="C395" s="386" t="s">
        <v>553</v>
      </c>
      <c r="D395" s="387"/>
      <c r="E395" s="387"/>
      <c r="F395" s="387"/>
      <c r="G395" s="387"/>
      <c r="H395" s="387"/>
      <c r="I395" s="135" t="s">
        <v>27</v>
      </c>
    </row>
    <row r="396" spans="2:13" ht="6" customHeight="1" thickBot="1" x14ac:dyDescent="0.3">
      <c r="B396" s="373"/>
      <c r="C396" s="373"/>
      <c r="D396" s="373"/>
      <c r="E396" s="373"/>
      <c r="F396" s="373"/>
      <c r="G396" s="373"/>
      <c r="H396" s="373"/>
      <c r="I396" s="373"/>
    </row>
    <row r="397" spans="2:13" x14ac:dyDescent="0.25">
      <c r="B397" s="380" t="s">
        <v>309</v>
      </c>
      <c r="C397" s="381"/>
      <c r="D397" s="381"/>
      <c r="E397" s="381"/>
      <c r="F397" s="381"/>
      <c r="G397" s="381"/>
      <c r="H397" s="381"/>
      <c r="I397" s="382"/>
      <c r="K397" s="182"/>
    </row>
    <row r="398" spans="2:13" ht="11.25" customHeight="1" x14ac:dyDescent="0.25">
      <c r="B398" s="377" t="s">
        <v>310</v>
      </c>
      <c r="C398" s="378"/>
      <c r="D398" s="379"/>
      <c r="E398" s="136"/>
      <c r="F398" s="137" t="s">
        <v>311</v>
      </c>
      <c r="G398" s="137" t="s">
        <v>312</v>
      </c>
      <c r="H398" s="137" t="s">
        <v>313</v>
      </c>
      <c r="I398" s="138" t="s">
        <v>314</v>
      </c>
      <c r="L398" s="139"/>
      <c r="M398" s="139"/>
    </row>
    <row r="399" spans="2:13" ht="11.25" customHeight="1" x14ac:dyDescent="0.25">
      <c r="B399" s="362" t="s">
        <v>315</v>
      </c>
      <c r="C399" s="363"/>
      <c r="D399" s="363"/>
      <c r="E399" s="160"/>
      <c r="F399" s="161" t="s">
        <v>316</v>
      </c>
      <c r="G399" s="160">
        <v>5000</v>
      </c>
      <c r="H399" s="142">
        <v>0.5</v>
      </c>
      <c r="I399" s="143">
        <f>G399*H399</f>
        <v>2500</v>
      </c>
    </row>
    <row r="400" spans="2:13" ht="16.5" customHeight="1" x14ac:dyDescent="0.25">
      <c r="B400" s="362" t="s">
        <v>355</v>
      </c>
      <c r="C400" s="363"/>
      <c r="D400" s="363"/>
      <c r="E400" s="160"/>
      <c r="F400" s="161" t="s">
        <v>317</v>
      </c>
      <c r="G400" s="160">
        <v>90000</v>
      </c>
      <c r="H400" s="142">
        <v>0.5</v>
      </c>
      <c r="I400" s="143">
        <f>G400*H400</f>
        <v>45000</v>
      </c>
    </row>
    <row r="401" spans="2:15" ht="10.5" customHeight="1" thickBot="1" x14ac:dyDescent="0.3">
      <c r="B401" s="371" t="s">
        <v>318</v>
      </c>
      <c r="C401" s="372"/>
      <c r="D401" s="372"/>
      <c r="E401" s="372"/>
      <c r="F401" s="372"/>
      <c r="G401" s="372"/>
      <c r="H401" s="372"/>
      <c r="I401" s="144">
        <f>SUM(I399:I400)</f>
        <v>47500</v>
      </c>
      <c r="N401" s="150"/>
    </row>
    <row r="402" spans="2:15" ht="6" customHeight="1" thickBot="1" x14ac:dyDescent="0.3">
      <c r="B402" s="373"/>
      <c r="C402" s="373"/>
      <c r="D402" s="373"/>
      <c r="E402" s="373"/>
      <c r="F402" s="373"/>
      <c r="G402" s="373"/>
      <c r="H402" s="373"/>
      <c r="I402" s="373"/>
    </row>
    <row r="403" spans="2:15" s="145" customFormat="1" x14ac:dyDescent="0.25">
      <c r="B403" s="380" t="s">
        <v>319</v>
      </c>
      <c r="C403" s="381"/>
      <c r="D403" s="381"/>
      <c r="E403" s="381"/>
      <c r="F403" s="381"/>
      <c r="G403" s="381"/>
      <c r="H403" s="381"/>
      <c r="I403" s="382"/>
    </row>
    <row r="404" spans="2:15" s="145" customFormat="1" ht="15.75" customHeight="1" x14ac:dyDescent="0.25">
      <c r="B404" s="377" t="s">
        <v>310</v>
      </c>
      <c r="C404" s="378"/>
      <c r="D404" s="379"/>
      <c r="E404" s="137"/>
      <c r="F404" s="137" t="s">
        <v>320</v>
      </c>
      <c r="G404" s="137" t="s">
        <v>321</v>
      </c>
      <c r="H404" s="137" t="s">
        <v>322</v>
      </c>
      <c r="I404" s="138" t="s">
        <v>314</v>
      </c>
    </row>
    <row r="405" spans="2:15" ht="54.75" customHeight="1" x14ac:dyDescent="0.25">
      <c r="B405" s="436" t="s">
        <v>553</v>
      </c>
      <c r="C405" s="437"/>
      <c r="D405" s="438"/>
      <c r="E405" s="163"/>
      <c r="F405" s="161" t="s">
        <v>27</v>
      </c>
      <c r="G405" s="160">
        <f>965500-38000-15000+68000+431993+1126495+1230137+474855-961710-481855-1443350</f>
        <v>1357065</v>
      </c>
      <c r="H405" s="142">
        <v>1</v>
      </c>
      <c r="I405" s="143">
        <f>G405*H405</f>
        <v>1357065</v>
      </c>
    </row>
    <row r="406" spans="2:15" ht="10.5" customHeight="1" thickBot="1" x14ac:dyDescent="0.3">
      <c r="B406" s="371" t="s">
        <v>318</v>
      </c>
      <c r="C406" s="372"/>
      <c r="D406" s="372"/>
      <c r="E406" s="372"/>
      <c r="F406" s="372"/>
      <c r="G406" s="372"/>
      <c r="H406" s="372"/>
      <c r="I406" s="144">
        <f>SUM(I405:I405)</f>
        <v>1357065</v>
      </c>
      <c r="N406" s="150"/>
    </row>
    <row r="407" spans="2:15" ht="6" customHeight="1" thickBot="1" x14ac:dyDescent="0.3">
      <c r="B407" s="373"/>
      <c r="C407" s="373"/>
      <c r="D407" s="373"/>
      <c r="E407" s="373"/>
      <c r="F407" s="373"/>
      <c r="G407" s="373"/>
      <c r="H407" s="373"/>
      <c r="I407" s="373"/>
    </row>
    <row r="408" spans="2:15" s="145" customFormat="1" x14ac:dyDescent="0.25">
      <c r="B408" s="380" t="s">
        <v>323</v>
      </c>
      <c r="C408" s="381"/>
      <c r="D408" s="381"/>
      <c r="E408" s="381"/>
      <c r="F408" s="381"/>
      <c r="G408" s="381"/>
      <c r="H408" s="381"/>
      <c r="I408" s="382"/>
      <c r="L408" s="146"/>
      <c r="M408" s="146"/>
    </row>
    <row r="409" spans="2:15" s="145" customFormat="1" x14ac:dyDescent="0.25">
      <c r="B409" s="377" t="s">
        <v>324</v>
      </c>
      <c r="C409" s="378"/>
      <c r="D409" s="379"/>
      <c r="E409" s="137" t="s">
        <v>325</v>
      </c>
      <c r="F409" s="137" t="s">
        <v>326</v>
      </c>
      <c r="G409" s="137" t="s">
        <v>130</v>
      </c>
      <c r="H409" s="137" t="s">
        <v>327</v>
      </c>
      <c r="I409" s="138" t="s">
        <v>314</v>
      </c>
      <c r="K409" s="260"/>
      <c r="N409" s="183"/>
      <c r="O409" s="148"/>
    </row>
    <row r="410" spans="2:15" ht="11.25" customHeight="1" x14ac:dyDescent="0.25">
      <c r="B410" s="362" t="s">
        <v>711</v>
      </c>
      <c r="C410" s="363"/>
      <c r="D410" s="363"/>
      <c r="E410" s="170">
        <v>1</v>
      </c>
      <c r="F410" s="164"/>
      <c r="G410" s="161"/>
      <c r="H410" s="162">
        <v>20000</v>
      </c>
      <c r="I410" s="143">
        <f>H410*E410</f>
        <v>20000</v>
      </c>
    </row>
    <row r="411" spans="2:15" ht="10.5" customHeight="1" thickBot="1" x14ac:dyDescent="0.3">
      <c r="B411" s="371" t="s">
        <v>318</v>
      </c>
      <c r="C411" s="372"/>
      <c r="D411" s="372"/>
      <c r="E411" s="372"/>
      <c r="F411" s="372"/>
      <c r="G411" s="372"/>
      <c r="H411" s="372"/>
      <c r="I411" s="144">
        <f>SUM(I410:I410)</f>
        <v>20000</v>
      </c>
      <c r="N411" s="150"/>
    </row>
    <row r="412" spans="2:15" ht="6" customHeight="1" thickBot="1" x14ac:dyDescent="0.3">
      <c r="B412" s="373"/>
      <c r="C412" s="373"/>
      <c r="D412" s="373"/>
      <c r="E412" s="373"/>
      <c r="F412" s="373"/>
      <c r="G412" s="373"/>
      <c r="H412" s="373"/>
      <c r="I412" s="373"/>
    </row>
    <row r="413" spans="2:15" s="145" customFormat="1" ht="20.100000000000001" customHeight="1" x14ac:dyDescent="0.25">
      <c r="B413" s="380" t="s">
        <v>328</v>
      </c>
      <c r="C413" s="381"/>
      <c r="D413" s="381"/>
      <c r="E413" s="381"/>
      <c r="F413" s="381"/>
      <c r="G413" s="381"/>
      <c r="H413" s="381"/>
      <c r="I413" s="382"/>
      <c r="N413" s="148"/>
      <c r="O413" s="149"/>
    </row>
    <row r="414" spans="2:15" s="145" customFormat="1" ht="20.100000000000001" customHeight="1" x14ac:dyDescent="0.25">
      <c r="B414" s="377" t="s">
        <v>329</v>
      </c>
      <c r="C414" s="379"/>
      <c r="D414" s="137" t="s">
        <v>322</v>
      </c>
      <c r="E414" s="137" t="s">
        <v>330</v>
      </c>
      <c r="F414" s="137" t="s">
        <v>331</v>
      </c>
      <c r="G414" s="137" t="s">
        <v>332</v>
      </c>
      <c r="H414" s="137" t="s">
        <v>313</v>
      </c>
      <c r="I414" s="138" t="s">
        <v>314</v>
      </c>
      <c r="O414" s="179"/>
    </row>
    <row r="415" spans="2:15" s="151" customFormat="1" ht="9.75" customHeight="1" x14ac:dyDescent="0.25">
      <c r="B415" s="367" t="s">
        <v>356</v>
      </c>
      <c r="C415" s="368"/>
      <c r="D415" s="180">
        <v>1</v>
      </c>
      <c r="E415" s="141">
        <v>140000</v>
      </c>
      <c r="F415" s="141">
        <f>+E415*0.8</f>
        <v>112000</v>
      </c>
      <c r="G415" s="178">
        <f>D415*E415+F415*D415</f>
        <v>252000</v>
      </c>
      <c r="H415" s="184">
        <v>3</v>
      </c>
      <c r="I415" s="143">
        <f>+G415/H415</f>
        <v>84000</v>
      </c>
      <c r="J415" s="145"/>
      <c r="K415" s="147"/>
    </row>
    <row r="416" spans="2:15" s="151" customFormat="1" ht="11.25" customHeight="1" x14ac:dyDescent="0.25">
      <c r="B416" s="367" t="s">
        <v>374</v>
      </c>
      <c r="C416" s="368"/>
      <c r="D416" s="180">
        <v>1</v>
      </c>
      <c r="E416" s="141">
        <v>80000</v>
      </c>
      <c r="F416" s="141">
        <f>+E416*0.8</f>
        <v>64000</v>
      </c>
      <c r="G416" s="178">
        <f>D416*E416+F416*D416</f>
        <v>144000</v>
      </c>
      <c r="H416" s="184">
        <f>+H415</f>
        <v>3</v>
      </c>
      <c r="I416" s="143">
        <f>+G416/H416</f>
        <v>48000</v>
      </c>
      <c r="J416" s="145"/>
      <c r="K416" s="147"/>
      <c r="L416" s="179"/>
      <c r="M416" s="179"/>
    </row>
    <row r="417" spans="2:14" s="145" customFormat="1" ht="10.5" customHeight="1" x14ac:dyDescent="0.25">
      <c r="B417" s="367" t="s">
        <v>333</v>
      </c>
      <c r="C417" s="368"/>
      <c r="D417" s="180">
        <v>2</v>
      </c>
      <c r="E417" s="141">
        <v>55000</v>
      </c>
      <c r="F417" s="141">
        <f>+E417*0.8</f>
        <v>44000</v>
      </c>
      <c r="G417" s="178">
        <f>D417*E417+F417*D417</f>
        <v>198000</v>
      </c>
      <c r="H417" s="184">
        <f>+H415</f>
        <v>3</v>
      </c>
      <c r="I417" s="143">
        <f>+G417/H417</f>
        <v>66000</v>
      </c>
      <c r="K417" s="147"/>
    </row>
    <row r="418" spans="2:14" s="151" customFormat="1" ht="11.25" customHeight="1" x14ac:dyDescent="0.25">
      <c r="B418" s="367"/>
      <c r="C418" s="368"/>
      <c r="D418" s="180"/>
      <c r="E418" s="141"/>
      <c r="F418" s="141"/>
      <c r="G418" s="178"/>
      <c r="H418" s="184"/>
      <c r="I418" s="143"/>
      <c r="K418" s="282"/>
      <c r="L418" s="179"/>
      <c r="M418" s="179"/>
    </row>
    <row r="419" spans="2:14" ht="10.5" customHeight="1" thickBot="1" x14ac:dyDescent="0.3">
      <c r="B419" s="371" t="s">
        <v>318</v>
      </c>
      <c r="C419" s="372"/>
      <c r="D419" s="372"/>
      <c r="E419" s="372"/>
      <c r="F419" s="372"/>
      <c r="G419" s="372"/>
      <c r="H419" s="372"/>
      <c r="I419" s="144">
        <f>SUM(I415:I418)</f>
        <v>198000</v>
      </c>
      <c r="K419" s="281">
        <v>0</v>
      </c>
      <c r="N419" s="150"/>
    </row>
    <row r="420" spans="2:14" ht="6" customHeight="1" thickBot="1" x14ac:dyDescent="0.3">
      <c r="B420" s="373"/>
      <c r="C420" s="373"/>
      <c r="D420" s="373"/>
      <c r="E420" s="373"/>
      <c r="F420" s="373"/>
      <c r="G420" s="373"/>
      <c r="H420" s="373"/>
      <c r="I420" s="373"/>
    </row>
    <row r="421" spans="2:14" ht="10.5" customHeight="1" thickBot="1" x14ac:dyDescent="0.3">
      <c r="B421" s="374" t="s">
        <v>334</v>
      </c>
      <c r="C421" s="375"/>
      <c r="D421" s="375"/>
      <c r="E421" s="375"/>
      <c r="F421" s="375"/>
      <c r="G421" s="375"/>
      <c r="H421" s="376"/>
      <c r="I421" s="152">
        <f>ROUND(+I401+I406+I411+I419,0)</f>
        <v>1622565</v>
      </c>
      <c r="J421" s="281"/>
      <c r="K421" s="169"/>
      <c r="L421" s="181"/>
      <c r="M421" s="181"/>
      <c r="N421" s="153"/>
    </row>
    <row r="422" spans="2:14" ht="6" customHeight="1" thickBot="1" x14ac:dyDescent="0.3">
      <c r="B422" s="373"/>
      <c r="C422" s="373"/>
      <c r="D422" s="373"/>
      <c r="E422" s="373"/>
      <c r="F422" s="373"/>
      <c r="G422" s="373"/>
      <c r="H422" s="373"/>
      <c r="I422" s="373"/>
    </row>
    <row r="423" spans="2:14" ht="8.25" customHeight="1" x14ac:dyDescent="0.25">
      <c r="B423" s="433" t="s">
        <v>335</v>
      </c>
      <c r="C423" s="417"/>
      <c r="D423" s="418"/>
      <c r="E423" s="418"/>
      <c r="F423" s="419"/>
      <c r="G423" s="369" t="s">
        <v>336</v>
      </c>
      <c r="H423" s="370"/>
      <c r="I423" s="370"/>
    </row>
    <row r="424" spans="2:14" ht="33.75" customHeight="1" x14ac:dyDescent="0.25">
      <c r="B424" s="434"/>
      <c r="C424" s="420"/>
      <c r="D424" s="421"/>
      <c r="E424" s="421"/>
      <c r="F424" s="422"/>
      <c r="G424" s="430" t="s">
        <v>337</v>
      </c>
      <c r="H424" s="431"/>
      <c r="I424" s="431"/>
      <c r="L424" s="181"/>
      <c r="M424" s="181"/>
      <c r="N424" s="179"/>
    </row>
    <row r="425" spans="2:14" ht="13.5" customHeight="1" x14ac:dyDescent="0.25">
      <c r="B425" s="434"/>
      <c r="C425" s="420"/>
      <c r="D425" s="421"/>
      <c r="E425" s="421"/>
      <c r="F425" s="422"/>
      <c r="G425" s="154" t="s">
        <v>92</v>
      </c>
      <c r="H425" s="432" t="s">
        <v>93</v>
      </c>
      <c r="I425" s="432"/>
    </row>
    <row r="426" spans="2:14" ht="16.5" customHeight="1" x14ac:dyDescent="0.25">
      <c r="B426" s="435"/>
      <c r="C426" s="420"/>
      <c r="D426" s="421"/>
      <c r="E426" s="421"/>
      <c r="F426" s="422"/>
      <c r="G426" s="155" t="s">
        <v>94</v>
      </c>
      <c r="H426" s="156" t="s">
        <v>95</v>
      </c>
      <c r="I426" s="157" t="s">
        <v>96</v>
      </c>
    </row>
    <row r="427" spans="2:14" x14ac:dyDescent="0.25">
      <c r="B427" s="268" t="s">
        <v>18</v>
      </c>
      <c r="C427" s="427"/>
      <c r="D427" s="428"/>
      <c r="E427" s="428"/>
      <c r="F427" s="429"/>
      <c r="G427" s="155" t="s">
        <v>98</v>
      </c>
      <c r="H427" s="157" t="s">
        <v>99</v>
      </c>
      <c r="I427" s="157" t="s">
        <v>100</v>
      </c>
    </row>
    <row r="428" spans="2:14" x14ac:dyDescent="0.25">
      <c r="B428" s="269" t="s">
        <v>97</v>
      </c>
      <c r="C428" s="427"/>
      <c r="D428" s="428"/>
      <c r="E428" s="428"/>
      <c r="F428" s="429"/>
      <c r="G428" s="154" t="s">
        <v>338</v>
      </c>
      <c r="H428" s="426"/>
      <c r="I428" s="426"/>
    </row>
    <row r="429" spans="2:14" ht="15.75" thickBot="1" x14ac:dyDescent="0.3">
      <c r="B429" s="270" t="s">
        <v>101</v>
      </c>
      <c r="C429" s="423"/>
      <c r="D429" s="424"/>
      <c r="E429" s="424"/>
      <c r="F429" s="425"/>
      <c r="G429" s="154" t="s">
        <v>102</v>
      </c>
      <c r="H429" s="426" t="s">
        <v>103</v>
      </c>
      <c r="I429" s="426"/>
    </row>
    <row r="430" spans="2:14" ht="45" customHeight="1" thickBot="1" x14ac:dyDescent="0.3">
      <c r="B430" s="401"/>
      <c r="C430" s="402"/>
      <c r="D430" s="402"/>
      <c r="E430" s="402"/>
      <c r="F430" s="403" t="s">
        <v>0</v>
      </c>
      <c r="G430" s="403"/>
      <c r="H430" s="403"/>
      <c r="I430" s="404"/>
    </row>
    <row r="431" spans="2:14" ht="6" customHeight="1" thickBot="1" x14ac:dyDescent="0.3">
      <c r="B431" s="373"/>
      <c r="C431" s="373"/>
      <c r="D431" s="373"/>
      <c r="E431" s="373"/>
      <c r="F431" s="373"/>
      <c r="G431" s="373"/>
      <c r="H431" s="373"/>
      <c r="I431" s="373"/>
    </row>
    <row r="432" spans="2:14" ht="10.5" customHeight="1" x14ac:dyDescent="0.25">
      <c r="B432" s="405" t="s">
        <v>294</v>
      </c>
      <c r="C432" s="406"/>
      <c r="D432" s="407" t="s">
        <v>295</v>
      </c>
      <c r="E432" s="409" t="s">
        <v>296</v>
      </c>
      <c r="F432" s="410"/>
      <c r="G432" s="410"/>
      <c r="H432" s="410"/>
      <c r="I432" s="411"/>
    </row>
    <row r="433" spans="2:14" ht="9" customHeight="1" thickBot="1" x14ac:dyDescent="0.3">
      <c r="B433" s="415"/>
      <c r="C433" s="416"/>
      <c r="D433" s="408"/>
      <c r="E433" s="412"/>
      <c r="F433" s="413"/>
      <c r="G433" s="413"/>
      <c r="H433" s="413"/>
      <c r="I433" s="414"/>
    </row>
    <row r="434" spans="2:14" ht="6" customHeight="1" thickBot="1" x14ac:dyDescent="0.3">
      <c r="B434" s="373"/>
      <c r="C434" s="373"/>
      <c r="D434" s="373"/>
      <c r="E434" s="373"/>
      <c r="F434" s="373"/>
      <c r="G434" s="373"/>
      <c r="H434" s="373"/>
      <c r="I434" s="373"/>
    </row>
    <row r="435" spans="2:14" ht="17.25" customHeight="1" thickBot="1" x14ac:dyDescent="0.3">
      <c r="B435" s="390" t="s">
        <v>297</v>
      </c>
      <c r="C435" s="391"/>
      <c r="D435" s="392"/>
      <c r="E435" s="393"/>
      <c r="F435" s="393"/>
      <c r="G435" s="394"/>
      <c r="H435" s="127" t="s">
        <v>298</v>
      </c>
      <c r="I435" s="128"/>
    </row>
    <row r="436" spans="2:14" ht="6" customHeight="1" thickBot="1" x14ac:dyDescent="0.3">
      <c r="B436" s="373"/>
      <c r="C436" s="373"/>
      <c r="D436" s="373"/>
      <c r="E436" s="373"/>
      <c r="F436" s="373"/>
      <c r="G436" s="373"/>
      <c r="H436" s="373"/>
      <c r="I436" s="373"/>
    </row>
    <row r="437" spans="2:14" ht="19.5" customHeight="1" x14ac:dyDescent="0.25">
      <c r="B437" s="261" t="s">
        <v>299</v>
      </c>
      <c r="C437" s="129" t="s">
        <v>300</v>
      </c>
      <c r="D437" s="130" t="s">
        <v>301</v>
      </c>
      <c r="E437" s="130" t="s">
        <v>302</v>
      </c>
      <c r="F437" s="398" t="s">
        <v>303</v>
      </c>
      <c r="G437" s="399"/>
      <c r="H437" s="400"/>
      <c r="I437" s="131" t="s">
        <v>304</v>
      </c>
    </row>
    <row r="438" spans="2:14" ht="11.25" customHeight="1" x14ac:dyDescent="0.25">
      <c r="B438" s="262"/>
      <c r="C438" s="132"/>
      <c r="D438" s="132" t="s">
        <v>305</v>
      </c>
      <c r="E438" s="132" t="s">
        <v>306</v>
      </c>
      <c r="F438" s="395" t="s">
        <v>339</v>
      </c>
      <c r="G438" s="396"/>
      <c r="H438" s="397"/>
      <c r="I438" s="133"/>
    </row>
    <row r="439" spans="2:14" ht="28.5" customHeight="1" x14ac:dyDescent="0.25">
      <c r="B439" s="263" t="s">
        <v>307</v>
      </c>
      <c r="C439" s="383" t="s">
        <v>414</v>
      </c>
      <c r="D439" s="384"/>
      <c r="E439" s="384"/>
      <c r="F439" s="384"/>
      <c r="G439" s="384"/>
      <c r="H439" s="384"/>
      <c r="I439" s="385"/>
    </row>
    <row r="440" spans="2:14" ht="10.5" customHeight="1" x14ac:dyDescent="0.25">
      <c r="B440" s="264" t="s">
        <v>129</v>
      </c>
      <c r="C440" s="388" t="s">
        <v>308</v>
      </c>
      <c r="D440" s="389"/>
      <c r="E440" s="389"/>
      <c r="F440" s="389"/>
      <c r="G440" s="389"/>
      <c r="H440" s="389"/>
      <c r="I440" s="134" t="s">
        <v>130</v>
      </c>
    </row>
    <row r="441" spans="2:14" ht="50.25" customHeight="1" thickBot="1" x14ac:dyDescent="0.3">
      <c r="B441" s="265">
        <v>5.2099999999999982</v>
      </c>
      <c r="C441" s="386" t="s">
        <v>554</v>
      </c>
      <c r="D441" s="387"/>
      <c r="E441" s="387"/>
      <c r="F441" s="387"/>
      <c r="G441" s="387"/>
      <c r="H441" s="387"/>
      <c r="I441" s="135" t="s">
        <v>27</v>
      </c>
    </row>
    <row r="442" spans="2:14" ht="6" customHeight="1" thickBot="1" x14ac:dyDescent="0.3">
      <c r="B442" s="373"/>
      <c r="C442" s="373"/>
      <c r="D442" s="373"/>
      <c r="E442" s="373"/>
      <c r="F442" s="373"/>
      <c r="G442" s="373"/>
      <c r="H442" s="373"/>
      <c r="I442" s="373"/>
    </row>
    <row r="443" spans="2:14" x14ac:dyDescent="0.25">
      <c r="B443" s="380" t="s">
        <v>309</v>
      </c>
      <c r="C443" s="381"/>
      <c r="D443" s="381"/>
      <c r="E443" s="381"/>
      <c r="F443" s="381"/>
      <c r="G443" s="381"/>
      <c r="H443" s="381"/>
      <c r="I443" s="382"/>
      <c r="K443" s="182"/>
    </row>
    <row r="444" spans="2:14" ht="11.25" customHeight="1" x14ac:dyDescent="0.25">
      <c r="B444" s="377" t="s">
        <v>310</v>
      </c>
      <c r="C444" s="378"/>
      <c r="D444" s="379"/>
      <c r="E444" s="136"/>
      <c r="F444" s="137" t="s">
        <v>311</v>
      </c>
      <c r="G444" s="137" t="s">
        <v>312</v>
      </c>
      <c r="H444" s="137" t="s">
        <v>313</v>
      </c>
      <c r="I444" s="138" t="s">
        <v>314</v>
      </c>
      <c r="L444" s="139"/>
      <c r="M444" s="139"/>
    </row>
    <row r="445" spans="2:14" ht="11.25" customHeight="1" x14ac:dyDescent="0.25">
      <c r="B445" s="362" t="s">
        <v>315</v>
      </c>
      <c r="C445" s="363"/>
      <c r="D445" s="363"/>
      <c r="E445" s="160"/>
      <c r="F445" s="161" t="s">
        <v>316</v>
      </c>
      <c r="G445" s="160">
        <v>5000</v>
      </c>
      <c r="H445" s="142">
        <v>1</v>
      </c>
      <c r="I445" s="143">
        <f>G445*H445</f>
        <v>5000</v>
      </c>
    </row>
    <row r="446" spans="2:14" ht="16.5" customHeight="1" x14ac:dyDescent="0.25">
      <c r="B446" s="362" t="s">
        <v>355</v>
      </c>
      <c r="C446" s="363"/>
      <c r="D446" s="363"/>
      <c r="E446" s="160"/>
      <c r="F446" s="161" t="s">
        <v>317</v>
      </c>
      <c r="G446" s="160">
        <v>90000</v>
      </c>
      <c r="H446" s="142">
        <v>1</v>
      </c>
      <c r="I446" s="143">
        <f>G446*H446</f>
        <v>90000</v>
      </c>
    </row>
    <row r="447" spans="2:14" ht="10.5" customHeight="1" thickBot="1" x14ac:dyDescent="0.3">
      <c r="B447" s="371" t="s">
        <v>318</v>
      </c>
      <c r="C447" s="372"/>
      <c r="D447" s="372"/>
      <c r="E447" s="372"/>
      <c r="F447" s="372"/>
      <c r="G447" s="372"/>
      <c r="H447" s="372"/>
      <c r="I447" s="144">
        <f>SUM(I445:I446)</f>
        <v>95000</v>
      </c>
      <c r="N447" s="150"/>
    </row>
    <row r="448" spans="2:14" ht="6" customHeight="1" thickBot="1" x14ac:dyDescent="0.3">
      <c r="B448" s="373"/>
      <c r="C448" s="373"/>
      <c r="D448" s="373"/>
      <c r="E448" s="373"/>
      <c r="F448" s="373"/>
      <c r="G448" s="373"/>
      <c r="H448" s="373"/>
      <c r="I448" s="373"/>
    </row>
    <row r="449" spans="2:15" s="145" customFormat="1" x14ac:dyDescent="0.25">
      <c r="B449" s="380" t="s">
        <v>319</v>
      </c>
      <c r="C449" s="381"/>
      <c r="D449" s="381"/>
      <c r="E449" s="381"/>
      <c r="F449" s="381"/>
      <c r="G449" s="381"/>
      <c r="H449" s="381"/>
      <c r="I449" s="382"/>
    </row>
    <row r="450" spans="2:15" s="145" customFormat="1" ht="15.75" customHeight="1" x14ac:dyDescent="0.25">
      <c r="B450" s="377" t="s">
        <v>310</v>
      </c>
      <c r="C450" s="378"/>
      <c r="D450" s="379"/>
      <c r="E450" s="137"/>
      <c r="F450" s="137" t="s">
        <v>320</v>
      </c>
      <c r="G450" s="137" t="s">
        <v>321</v>
      </c>
      <c r="H450" s="137" t="s">
        <v>322</v>
      </c>
      <c r="I450" s="138" t="s">
        <v>314</v>
      </c>
    </row>
    <row r="451" spans="2:15" ht="77.25" customHeight="1" x14ac:dyDescent="0.25">
      <c r="B451" s="436" t="s">
        <v>554</v>
      </c>
      <c r="C451" s="437"/>
      <c r="D451" s="438"/>
      <c r="E451" s="163"/>
      <c r="F451" s="161" t="s">
        <v>27</v>
      </c>
      <c r="G451" s="160">
        <f>965500-38000-15000+68000+431993+1126495+1230137+474855-961710-481855-1443350+3146343</f>
        <v>4503408</v>
      </c>
      <c r="H451" s="142">
        <v>1</v>
      </c>
      <c r="I451" s="143">
        <f>G451*H451</f>
        <v>4503408</v>
      </c>
    </row>
    <row r="452" spans="2:15" ht="10.5" customHeight="1" thickBot="1" x14ac:dyDescent="0.3">
      <c r="B452" s="371" t="s">
        <v>318</v>
      </c>
      <c r="C452" s="372"/>
      <c r="D452" s="372"/>
      <c r="E452" s="372"/>
      <c r="F452" s="372"/>
      <c r="G452" s="372"/>
      <c r="H452" s="372"/>
      <c r="I452" s="144">
        <f>SUM(I451:I451)</f>
        <v>4503408</v>
      </c>
      <c r="N452" s="150"/>
    </row>
    <row r="453" spans="2:15" ht="6" customHeight="1" thickBot="1" x14ac:dyDescent="0.3">
      <c r="B453" s="373"/>
      <c r="C453" s="373"/>
      <c r="D453" s="373"/>
      <c r="E453" s="373"/>
      <c r="F453" s="373"/>
      <c r="G453" s="373"/>
      <c r="H453" s="373"/>
      <c r="I453" s="373"/>
    </row>
    <row r="454" spans="2:15" s="145" customFormat="1" x14ac:dyDescent="0.25">
      <c r="B454" s="380" t="s">
        <v>323</v>
      </c>
      <c r="C454" s="381"/>
      <c r="D454" s="381"/>
      <c r="E454" s="381"/>
      <c r="F454" s="381"/>
      <c r="G454" s="381"/>
      <c r="H454" s="381"/>
      <c r="I454" s="382"/>
      <c r="L454" s="146"/>
      <c r="M454" s="146"/>
    </row>
    <row r="455" spans="2:15" s="145" customFormat="1" x14ac:dyDescent="0.25">
      <c r="B455" s="377" t="s">
        <v>324</v>
      </c>
      <c r="C455" s="378"/>
      <c r="D455" s="379"/>
      <c r="E455" s="137" t="s">
        <v>325</v>
      </c>
      <c r="F455" s="137" t="s">
        <v>326</v>
      </c>
      <c r="G455" s="137" t="s">
        <v>130</v>
      </c>
      <c r="H455" s="137" t="s">
        <v>327</v>
      </c>
      <c r="I455" s="138" t="s">
        <v>314</v>
      </c>
      <c r="K455" s="260"/>
      <c r="N455" s="183"/>
      <c r="O455" s="148"/>
    </row>
    <row r="456" spans="2:15" ht="11.25" customHeight="1" x14ac:dyDescent="0.25">
      <c r="B456" s="362" t="s">
        <v>711</v>
      </c>
      <c r="C456" s="363"/>
      <c r="D456" s="363"/>
      <c r="E456" s="170">
        <v>1</v>
      </c>
      <c r="F456" s="164"/>
      <c r="G456" s="161"/>
      <c r="H456" s="162">
        <v>60000</v>
      </c>
      <c r="I456" s="143">
        <f>H456*E456</f>
        <v>60000</v>
      </c>
    </row>
    <row r="457" spans="2:15" ht="10.5" customHeight="1" thickBot="1" x14ac:dyDescent="0.3">
      <c r="B457" s="371" t="s">
        <v>318</v>
      </c>
      <c r="C457" s="372"/>
      <c r="D457" s="372"/>
      <c r="E457" s="372"/>
      <c r="F457" s="372"/>
      <c r="G457" s="372"/>
      <c r="H457" s="372"/>
      <c r="I457" s="144">
        <f>SUM(I456:I456)</f>
        <v>60000</v>
      </c>
      <c r="N457" s="150"/>
    </row>
    <row r="458" spans="2:15" ht="6" customHeight="1" thickBot="1" x14ac:dyDescent="0.3">
      <c r="B458" s="373"/>
      <c r="C458" s="373"/>
      <c r="D458" s="373"/>
      <c r="E458" s="373"/>
      <c r="F458" s="373"/>
      <c r="G458" s="373"/>
      <c r="H458" s="373"/>
      <c r="I458" s="373"/>
    </row>
    <row r="459" spans="2:15" s="145" customFormat="1" ht="20.100000000000001" customHeight="1" x14ac:dyDescent="0.25">
      <c r="B459" s="380" t="s">
        <v>328</v>
      </c>
      <c r="C459" s="381"/>
      <c r="D459" s="381"/>
      <c r="E459" s="381"/>
      <c r="F459" s="381"/>
      <c r="G459" s="381"/>
      <c r="H459" s="381"/>
      <c r="I459" s="382"/>
      <c r="N459" s="148"/>
      <c r="O459" s="149"/>
    </row>
    <row r="460" spans="2:15" s="145" customFormat="1" ht="20.100000000000001" customHeight="1" x14ac:dyDescent="0.25">
      <c r="B460" s="377" t="s">
        <v>329</v>
      </c>
      <c r="C460" s="379"/>
      <c r="D460" s="137" t="s">
        <v>322</v>
      </c>
      <c r="E460" s="137" t="s">
        <v>330</v>
      </c>
      <c r="F460" s="137" t="s">
        <v>331</v>
      </c>
      <c r="G460" s="137" t="s">
        <v>332</v>
      </c>
      <c r="H460" s="137" t="s">
        <v>313</v>
      </c>
      <c r="I460" s="138" t="s">
        <v>314</v>
      </c>
      <c r="O460" s="179"/>
    </row>
    <row r="461" spans="2:15" s="151" customFormat="1" ht="9.75" customHeight="1" x14ac:dyDescent="0.25">
      <c r="B461" s="367" t="s">
        <v>356</v>
      </c>
      <c r="C461" s="368"/>
      <c r="D461" s="180">
        <v>1</v>
      </c>
      <c r="E461" s="141">
        <v>140000</v>
      </c>
      <c r="F461" s="141">
        <f>+E461*0.8</f>
        <v>112000</v>
      </c>
      <c r="G461" s="178">
        <f>D461*E461+F461*D461</f>
        <v>252000</v>
      </c>
      <c r="H461" s="184">
        <v>0.9</v>
      </c>
      <c r="I461" s="143">
        <f>+G461/H461</f>
        <v>280000</v>
      </c>
      <c r="J461" s="145"/>
      <c r="K461" s="147"/>
    </row>
    <row r="462" spans="2:15" s="151" customFormat="1" ht="11.25" customHeight="1" x14ac:dyDescent="0.25">
      <c r="B462" s="367" t="s">
        <v>374</v>
      </c>
      <c r="C462" s="368"/>
      <c r="D462" s="180">
        <v>1</v>
      </c>
      <c r="E462" s="141">
        <v>80000</v>
      </c>
      <c r="F462" s="141">
        <f>+E462*0.8</f>
        <v>64000</v>
      </c>
      <c r="G462" s="178">
        <f>D462*E462+F462*D462</f>
        <v>144000</v>
      </c>
      <c r="H462" s="184">
        <f>+H461</f>
        <v>0.9</v>
      </c>
      <c r="I462" s="143">
        <f>+G462/H462</f>
        <v>160000</v>
      </c>
      <c r="J462" s="145"/>
      <c r="K462" s="147">
        <f>+I467-K465</f>
        <v>0.5</v>
      </c>
      <c r="L462" s="179"/>
      <c r="M462" s="179"/>
    </row>
    <row r="463" spans="2:15" s="145" customFormat="1" ht="10.5" customHeight="1" x14ac:dyDescent="0.25">
      <c r="B463" s="367" t="s">
        <v>333</v>
      </c>
      <c r="C463" s="368"/>
      <c r="D463" s="180">
        <v>2</v>
      </c>
      <c r="E463" s="141">
        <v>55000</v>
      </c>
      <c r="F463" s="141">
        <f>+E463*0.8</f>
        <v>44000</v>
      </c>
      <c r="G463" s="178">
        <f>D463*E463+F463*D463</f>
        <v>198000</v>
      </c>
      <c r="H463" s="184">
        <f>+H461</f>
        <v>0.9</v>
      </c>
      <c r="I463" s="143">
        <f>+G463/H463</f>
        <v>220000</v>
      </c>
      <c r="K463" s="147"/>
    </row>
    <row r="464" spans="2:15" s="151" customFormat="1" ht="11.25" customHeight="1" x14ac:dyDescent="0.25">
      <c r="B464" s="367"/>
      <c r="C464" s="368"/>
      <c r="D464" s="180"/>
      <c r="E464" s="141"/>
      <c r="F464" s="141"/>
      <c r="G464" s="178"/>
      <c r="H464" s="184"/>
      <c r="I464" s="143"/>
      <c r="K464" s="282"/>
      <c r="L464" s="179"/>
      <c r="M464" s="179"/>
    </row>
    <row r="465" spans="2:14" ht="10.5" customHeight="1" thickBot="1" x14ac:dyDescent="0.3">
      <c r="B465" s="371" t="s">
        <v>318</v>
      </c>
      <c r="C465" s="372"/>
      <c r="D465" s="372"/>
      <c r="E465" s="372"/>
      <c r="F465" s="372"/>
      <c r="G465" s="372"/>
      <c r="H465" s="372"/>
      <c r="I465" s="144">
        <f>SUM(I461:I464)</f>
        <v>660000</v>
      </c>
      <c r="K465" s="281">
        <v>5318407.5</v>
      </c>
      <c r="N465" s="150"/>
    </row>
    <row r="466" spans="2:14" ht="6" customHeight="1" thickBot="1" x14ac:dyDescent="0.3">
      <c r="B466" s="373"/>
      <c r="C466" s="373"/>
      <c r="D466" s="373"/>
      <c r="E466" s="373"/>
      <c r="F466" s="373"/>
      <c r="G466" s="373"/>
      <c r="H466" s="373"/>
      <c r="I466" s="373"/>
    </row>
    <row r="467" spans="2:14" ht="10.5" customHeight="1" thickBot="1" x14ac:dyDescent="0.3">
      <c r="B467" s="374" t="s">
        <v>334</v>
      </c>
      <c r="C467" s="375"/>
      <c r="D467" s="375"/>
      <c r="E467" s="375"/>
      <c r="F467" s="375"/>
      <c r="G467" s="375"/>
      <c r="H467" s="376"/>
      <c r="I467" s="152">
        <f>ROUND(+I447+I452+I457+I465,0)</f>
        <v>5318408</v>
      </c>
      <c r="J467" s="281"/>
      <c r="K467" s="169"/>
      <c r="L467" s="181"/>
      <c r="M467" s="181"/>
      <c r="N467" s="153"/>
    </row>
    <row r="468" spans="2:14" ht="6" customHeight="1" thickBot="1" x14ac:dyDescent="0.3">
      <c r="B468" s="373"/>
      <c r="C468" s="373"/>
      <c r="D468" s="373"/>
      <c r="E468" s="373"/>
      <c r="F468" s="373"/>
      <c r="G468" s="373"/>
      <c r="H468" s="373"/>
      <c r="I468" s="373"/>
    </row>
    <row r="469" spans="2:14" ht="8.25" customHeight="1" x14ac:dyDescent="0.25">
      <c r="B469" s="433" t="s">
        <v>335</v>
      </c>
      <c r="C469" s="417"/>
      <c r="D469" s="418"/>
      <c r="E469" s="418"/>
      <c r="F469" s="419"/>
      <c r="G469" s="369" t="s">
        <v>336</v>
      </c>
      <c r="H469" s="370"/>
      <c r="I469" s="370"/>
    </row>
    <row r="470" spans="2:14" ht="33.75" customHeight="1" x14ac:dyDescent="0.25">
      <c r="B470" s="434"/>
      <c r="C470" s="420"/>
      <c r="D470" s="421"/>
      <c r="E470" s="421"/>
      <c r="F470" s="422"/>
      <c r="G470" s="430" t="s">
        <v>337</v>
      </c>
      <c r="H470" s="431"/>
      <c r="I470" s="431"/>
      <c r="L470" s="181"/>
      <c r="M470" s="181"/>
      <c r="N470" s="179"/>
    </row>
    <row r="471" spans="2:14" ht="13.5" customHeight="1" x14ac:dyDescent="0.25">
      <c r="B471" s="434"/>
      <c r="C471" s="420"/>
      <c r="D471" s="421"/>
      <c r="E471" s="421"/>
      <c r="F471" s="422"/>
      <c r="G471" s="154" t="s">
        <v>92</v>
      </c>
      <c r="H471" s="432" t="s">
        <v>93</v>
      </c>
      <c r="I471" s="432"/>
    </row>
    <row r="472" spans="2:14" ht="16.5" customHeight="1" x14ac:dyDescent="0.25">
      <c r="B472" s="435"/>
      <c r="C472" s="420"/>
      <c r="D472" s="421"/>
      <c r="E472" s="421"/>
      <c r="F472" s="422"/>
      <c r="G472" s="155" t="s">
        <v>94</v>
      </c>
      <c r="H472" s="156" t="s">
        <v>95</v>
      </c>
      <c r="I472" s="157" t="s">
        <v>96</v>
      </c>
    </row>
    <row r="473" spans="2:14" x14ac:dyDescent="0.25">
      <c r="B473" s="268" t="s">
        <v>18</v>
      </c>
      <c r="C473" s="427"/>
      <c r="D473" s="428"/>
      <c r="E473" s="428"/>
      <c r="F473" s="429"/>
      <c r="G473" s="155" t="s">
        <v>98</v>
      </c>
      <c r="H473" s="157" t="s">
        <v>99</v>
      </c>
      <c r="I473" s="157" t="s">
        <v>100</v>
      </c>
    </row>
    <row r="474" spans="2:14" x14ac:dyDescent="0.25">
      <c r="B474" s="269" t="s">
        <v>97</v>
      </c>
      <c r="C474" s="427"/>
      <c r="D474" s="428"/>
      <c r="E474" s="428"/>
      <c r="F474" s="429"/>
      <c r="G474" s="154" t="s">
        <v>338</v>
      </c>
      <c r="H474" s="426"/>
      <c r="I474" s="426"/>
    </row>
    <row r="475" spans="2:14" ht="15.75" thickBot="1" x14ac:dyDescent="0.3">
      <c r="B475" s="270" t="s">
        <v>101</v>
      </c>
      <c r="C475" s="423"/>
      <c r="D475" s="424"/>
      <c r="E475" s="424"/>
      <c r="F475" s="425"/>
      <c r="G475" s="154" t="s">
        <v>102</v>
      </c>
      <c r="H475" s="426" t="s">
        <v>103</v>
      </c>
      <c r="I475" s="426"/>
    </row>
    <row r="476" spans="2:14" ht="45" customHeight="1" thickBot="1" x14ac:dyDescent="0.3">
      <c r="B476" s="401"/>
      <c r="C476" s="402"/>
      <c r="D476" s="402"/>
      <c r="E476" s="402"/>
      <c r="F476" s="403" t="s">
        <v>0</v>
      </c>
      <c r="G476" s="403"/>
      <c r="H476" s="403"/>
      <c r="I476" s="404"/>
    </row>
    <row r="477" spans="2:14" ht="6" customHeight="1" thickBot="1" x14ac:dyDescent="0.3">
      <c r="B477" s="373"/>
      <c r="C477" s="373"/>
      <c r="D477" s="373"/>
      <c r="E477" s="373"/>
      <c r="F477" s="373"/>
      <c r="G477" s="373"/>
      <c r="H477" s="373"/>
      <c r="I477" s="373"/>
    </row>
    <row r="478" spans="2:14" ht="10.5" customHeight="1" x14ac:dyDescent="0.25">
      <c r="B478" s="405" t="s">
        <v>294</v>
      </c>
      <c r="C478" s="406"/>
      <c r="D478" s="407" t="s">
        <v>295</v>
      </c>
      <c r="E478" s="409" t="s">
        <v>296</v>
      </c>
      <c r="F478" s="410"/>
      <c r="G478" s="410"/>
      <c r="H478" s="410"/>
      <c r="I478" s="411"/>
    </row>
    <row r="479" spans="2:14" ht="9" customHeight="1" thickBot="1" x14ac:dyDescent="0.3">
      <c r="B479" s="415"/>
      <c r="C479" s="416"/>
      <c r="D479" s="408"/>
      <c r="E479" s="412"/>
      <c r="F479" s="413"/>
      <c r="G479" s="413"/>
      <c r="H479" s="413"/>
      <c r="I479" s="414"/>
    </row>
    <row r="480" spans="2:14" ht="6" customHeight="1" thickBot="1" x14ac:dyDescent="0.3">
      <c r="B480" s="373"/>
      <c r="C480" s="373"/>
      <c r="D480" s="373"/>
      <c r="E480" s="373"/>
      <c r="F480" s="373"/>
      <c r="G480" s="373"/>
      <c r="H480" s="373"/>
      <c r="I480" s="373"/>
    </row>
    <row r="481" spans="2:14" ht="17.25" customHeight="1" thickBot="1" x14ac:dyDescent="0.3">
      <c r="B481" s="390" t="s">
        <v>297</v>
      </c>
      <c r="C481" s="391"/>
      <c r="D481" s="392"/>
      <c r="E481" s="393"/>
      <c r="F481" s="393"/>
      <c r="G481" s="394"/>
      <c r="H481" s="127" t="s">
        <v>298</v>
      </c>
      <c r="I481" s="128"/>
    </row>
    <row r="482" spans="2:14" ht="6" customHeight="1" thickBot="1" x14ac:dyDescent="0.3">
      <c r="B482" s="373"/>
      <c r="C482" s="373"/>
      <c r="D482" s="373"/>
      <c r="E482" s="373"/>
      <c r="F482" s="373"/>
      <c r="G482" s="373"/>
      <c r="H482" s="373"/>
      <c r="I482" s="373"/>
    </row>
    <row r="483" spans="2:14" ht="19.5" customHeight="1" x14ac:dyDescent="0.25">
      <c r="B483" s="261" t="s">
        <v>299</v>
      </c>
      <c r="C483" s="129" t="s">
        <v>300</v>
      </c>
      <c r="D483" s="130" t="s">
        <v>301</v>
      </c>
      <c r="E483" s="130" t="s">
        <v>302</v>
      </c>
      <c r="F483" s="398" t="s">
        <v>303</v>
      </c>
      <c r="G483" s="399"/>
      <c r="H483" s="400"/>
      <c r="I483" s="131" t="s">
        <v>304</v>
      </c>
    </row>
    <row r="484" spans="2:14" ht="11.25" customHeight="1" x14ac:dyDescent="0.25">
      <c r="B484" s="262"/>
      <c r="C484" s="132"/>
      <c r="D484" s="132" t="s">
        <v>305</v>
      </c>
      <c r="E484" s="132" t="s">
        <v>306</v>
      </c>
      <c r="F484" s="395" t="s">
        <v>339</v>
      </c>
      <c r="G484" s="396"/>
      <c r="H484" s="397"/>
      <c r="I484" s="133"/>
    </row>
    <row r="485" spans="2:14" ht="28.5" customHeight="1" x14ac:dyDescent="0.25">
      <c r="B485" s="263" t="s">
        <v>307</v>
      </c>
      <c r="C485" s="383" t="s">
        <v>414</v>
      </c>
      <c r="D485" s="384"/>
      <c r="E485" s="384"/>
      <c r="F485" s="384"/>
      <c r="G485" s="384"/>
      <c r="H485" s="384"/>
      <c r="I485" s="385"/>
    </row>
    <row r="486" spans="2:14" ht="10.5" customHeight="1" x14ac:dyDescent="0.25">
      <c r="B486" s="264" t="s">
        <v>129</v>
      </c>
      <c r="C486" s="388" t="s">
        <v>308</v>
      </c>
      <c r="D486" s="389"/>
      <c r="E486" s="389"/>
      <c r="F486" s="389"/>
      <c r="G486" s="389"/>
      <c r="H486" s="389"/>
      <c r="I486" s="134" t="s">
        <v>130</v>
      </c>
    </row>
    <row r="487" spans="2:14" ht="50.25" customHeight="1" thickBot="1" x14ac:dyDescent="0.3">
      <c r="B487" s="265">
        <v>5.219999999999998</v>
      </c>
      <c r="C487" s="386" t="s">
        <v>555</v>
      </c>
      <c r="D487" s="387"/>
      <c r="E487" s="387"/>
      <c r="F487" s="387"/>
      <c r="G487" s="387"/>
      <c r="H487" s="387"/>
      <c r="I487" s="135" t="s">
        <v>27</v>
      </c>
    </row>
    <row r="488" spans="2:14" ht="6" customHeight="1" thickBot="1" x14ac:dyDescent="0.3">
      <c r="B488" s="373"/>
      <c r="C488" s="373"/>
      <c r="D488" s="373"/>
      <c r="E488" s="373"/>
      <c r="F488" s="373"/>
      <c r="G488" s="373"/>
      <c r="H488" s="373"/>
      <c r="I488" s="373"/>
    </row>
    <row r="489" spans="2:14" x14ac:dyDescent="0.25">
      <c r="B489" s="380" t="s">
        <v>309</v>
      </c>
      <c r="C489" s="381"/>
      <c r="D489" s="381"/>
      <c r="E489" s="381"/>
      <c r="F489" s="381"/>
      <c r="G489" s="381"/>
      <c r="H489" s="381"/>
      <c r="I489" s="382"/>
      <c r="K489" s="182"/>
    </row>
    <row r="490" spans="2:14" ht="11.25" customHeight="1" x14ac:dyDescent="0.25">
      <c r="B490" s="377" t="s">
        <v>310</v>
      </c>
      <c r="C490" s="378"/>
      <c r="D490" s="379"/>
      <c r="E490" s="136"/>
      <c r="F490" s="137" t="s">
        <v>311</v>
      </c>
      <c r="G490" s="137" t="s">
        <v>312</v>
      </c>
      <c r="H490" s="137" t="s">
        <v>313</v>
      </c>
      <c r="I490" s="138" t="s">
        <v>314</v>
      </c>
      <c r="L490" s="139"/>
      <c r="M490" s="139"/>
    </row>
    <row r="491" spans="2:14" ht="11.25" customHeight="1" x14ac:dyDescent="0.25">
      <c r="B491" s="362" t="s">
        <v>315</v>
      </c>
      <c r="C491" s="363"/>
      <c r="D491" s="363"/>
      <c r="E491" s="160"/>
      <c r="F491" s="161" t="s">
        <v>316</v>
      </c>
      <c r="G491" s="160">
        <v>5000</v>
      </c>
      <c r="H491" s="142">
        <v>1.1000000000000001</v>
      </c>
      <c r="I491" s="143">
        <f>G491*H491</f>
        <v>5500</v>
      </c>
    </row>
    <row r="492" spans="2:14" ht="16.5" customHeight="1" x14ac:dyDescent="0.25">
      <c r="B492" s="362" t="s">
        <v>355</v>
      </c>
      <c r="C492" s="363"/>
      <c r="D492" s="363"/>
      <c r="E492" s="160"/>
      <c r="F492" s="161" t="s">
        <v>317</v>
      </c>
      <c r="G492" s="160">
        <v>90000</v>
      </c>
      <c r="H492" s="142">
        <v>1.1000000000000001</v>
      </c>
      <c r="I492" s="143">
        <f>G492*H492</f>
        <v>99000.000000000015</v>
      </c>
    </row>
    <row r="493" spans="2:14" ht="10.5" customHeight="1" thickBot="1" x14ac:dyDescent="0.3">
      <c r="B493" s="371" t="s">
        <v>318</v>
      </c>
      <c r="C493" s="372"/>
      <c r="D493" s="372"/>
      <c r="E493" s="372"/>
      <c r="F493" s="372"/>
      <c r="G493" s="372"/>
      <c r="H493" s="372"/>
      <c r="I493" s="144">
        <f>SUM(I491:I492)</f>
        <v>104500.00000000001</v>
      </c>
      <c r="N493" s="150"/>
    </row>
    <row r="494" spans="2:14" ht="6" customHeight="1" thickBot="1" x14ac:dyDescent="0.3">
      <c r="B494" s="373"/>
      <c r="C494" s="373"/>
      <c r="D494" s="373"/>
      <c r="E494" s="373"/>
      <c r="F494" s="373"/>
      <c r="G494" s="373"/>
      <c r="H494" s="373"/>
      <c r="I494" s="373"/>
    </row>
    <row r="495" spans="2:14" s="145" customFormat="1" x14ac:dyDescent="0.25">
      <c r="B495" s="380" t="s">
        <v>319</v>
      </c>
      <c r="C495" s="381"/>
      <c r="D495" s="381"/>
      <c r="E495" s="381"/>
      <c r="F495" s="381"/>
      <c r="G495" s="381"/>
      <c r="H495" s="381"/>
      <c r="I495" s="382"/>
    </row>
    <row r="496" spans="2:14" s="145" customFormat="1" ht="15.75" customHeight="1" x14ac:dyDescent="0.25">
      <c r="B496" s="377" t="s">
        <v>310</v>
      </c>
      <c r="C496" s="378"/>
      <c r="D496" s="379"/>
      <c r="E496" s="137"/>
      <c r="F496" s="137" t="s">
        <v>320</v>
      </c>
      <c r="G496" s="137" t="s">
        <v>321</v>
      </c>
      <c r="H496" s="137" t="s">
        <v>322</v>
      </c>
      <c r="I496" s="138" t="s">
        <v>314</v>
      </c>
    </row>
    <row r="497" spans="2:15" ht="77.25" customHeight="1" x14ac:dyDescent="0.25">
      <c r="B497" s="436" t="s">
        <v>555</v>
      </c>
      <c r="C497" s="437"/>
      <c r="D497" s="438"/>
      <c r="E497" s="163"/>
      <c r="F497" s="161" t="s">
        <v>27</v>
      </c>
      <c r="G497" s="160">
        <f>965500-38000-15000+68000+431993+1126495+1230137+474855-961710-481855-1443350+3146343+582673</f>
        <v>5086081</v>
      </c>
      <c r="H497" s="142">
        <v>1</v>
      </c>
      <c r="I497" s="143">
        <f>G497*H497</f>
        <v>5086081</v>
      </c>
    </row>
    <row r="498" spans="2:15" ht="10.5" customHeight="1" thickBot="1" x14ac:dyDescent="0.3">
      <c r="B498" s="371" t="s">
        <v>318</v>
      </c>
      <c r="C498" s="372"/>
      <c r="D498" s="372"/>
      <c r="E498" s="372"/>
      <c r="F498" s="372"/>
      <c r="G498" s="372"/>
      <c r="H498" s="372"/>
      <c r="I498" s="144">
        <f>SUM(I497:I497)</f>
        <v>5086081</v>
      </c>
      <c r="N498" s="150"/>
    </row>
    <row r="499" spans="2:15" ht="6" customHeight="1" thickBot="1" x14ac:dyDescent="0.3">
      <c r="B499" s="373"/>
      <c r="C499" s="373"/>
      <c r="D499" s="373"/>
      <c r="E499" s="373"/>
      <c r="F499" s="373"/>
      <c r="G499" s="373"/>
      <c r="H499" s="373"/>
      <c r="I499" s="373"/>
    </row>
    <row r="500" spans="2:15" s="145" customFormat="1" x14ac:dyDescent="0.25">
      <c r="B500" s="380" t="s">
        <v>323</v>
      </c>
      <c r="C500" s="381"/>
      <c r="D500" s="381"/>
      <c r="E500" s="381"/>
      <c r="F500" s="381"/>
      <c r="G500" s="381"/>
      <c r="H500" s="381"/>
      <c r="I500" s="382"/>
      <c r="L500" s="146"/>
      <c r="M500" s="146"/>
    </row>
    <row r="501" spans="2:15" s="145" customFormat="1" x14ac:dyDescent="0.25">
      <c r="B501" s="377" t="s">
        <v>324</v>
      </c>
      <c r="C501" s="378"/>
      <c r="D501" s="379"/>
      <c r="E501" s="137" t="s">
        <v>325</v>
      </c>
      <c r="F501" s="137" t="s">
        <v>326</v>
      </c>
      <c r="G501" s="137" t="s">
        <v>130</v>
      </c>
      <c r="H501" s="137" t="s">
        <v>327</v>
      </c>
      <c r="I501" s="138" t="s">
        <v>314</v>
      </c>
      <c r="K501" s="260"/>
      <c r="N501" s="183"/>
      <c r="O501" s="148"/>
    </row>
    <row r="502" spans="2:15" ht="11.25" customHeight="1" x14ac:dyDescent="0.25">
      <c r="B502" s="362" t="s">
        <v>711</v>
      </c>
      <c r="C502" s="363"/>
      <c r="D502" s="363"/>
      <c r="E502" s="170">
        <v>1</v>
      </c>
      <c r="F502" s="164"/>
      <c r="G502" s="161"/>
      <c r="H502" s="162">
        <v>60000</v>
      </c>
      <c r="I502" s="143">
        <f>H502*E502</f>
        <v>60000</v>
      </c>
    </row>
    <row r="503" spans="2:15" ht="10.5" customHeight="1" thickBot="1" x14ac:dyDescent="0.3">
      <c r="B503" s="371" t="s">
        <v>318</v>
      </c>
      <c r="C503" s="372"/>
      <c r="D503" s="372"/>
      <c r="E503" s="372"/>
      <c r="F503" s="372"/>
      <c r="G503" s="372"/>
      <c r="H503" s="372"/>
      <c r="I503" s="144">
        <f>SUM(I502:I502)</f>
        <v>60000</v>
      </c>
      <c r="N503" s="150"/>
    </row>
    <row r="504" spans="2:15" ht="6" customHeight="1" thickBot="1" x14ac:dyDescent="0.3">
      <c r="B504" s="373"/>
      <c r="C504" s="373"/>
      <c r="D504" s="373"/>
      <c r="E504" s="373"/>
      <c r="F504" s="373"/>
      <c r="G504" s="373"/>
      <c r="H504" s="373"/>
      <c r="I504" s="373"/>
    </row>
    <row r="505" spans="2:15" s="145" customFormat="1" ht="20.100000000000001" customHeight="1" x14ac:dyDescent="0.25">
      <c r="B505" s="380" t="s">
        <v>328</v>
      </c>
      <c r="C505" s="381"/>
      <c r="D505" s="381"/>
      <c r="E505" s="381"/>
      <c r="F505" s="381"/>
      <c r="G505" s="381"/>
      <c r="H505" s="381"/>
      <c r="I505" s="382"/>
      <c r="N505" s="148"/>
      <c r="O505" s="149"/>
    </row>
    <row r="506" spans="2:15" s="145" customFormat="1" ht="20.100000000000001" customHeight="1" x14ac:dyDescent="0.25">
      <c r="B506" s="377" t="s">
        <v>329</v>
      </c>
      <c r="C506" s="379"/>
      <c r="D506" s="137" t="s">
        <v>322</v>
      </c>
      <c r="E506" s="137" t="s">
        <v>330</v>
      </c>
      <c r="F506" s="137" t="s">
        <v>331</v>
      </c>
      <c r="G506" s="137" t="s">
        <v>332</v>
      </c>
      <c r="H506" s="137" t="s">
        <v>313</v>
      </c>
      <c r="I506" s="138" t="s">
        <v>314</v>
      </c>
      <c r="O506" s="179"/>
    </row>
    <row r="507" spans="2:15" s="151" customFormat="1" ht="9.75" customHeight="1" x14ac:dyDescent="0.25">
      <c r="B507" s="367" t="s">
        <v>356</v>
      </c>
      <c r="C507" s="368"/>
      <c r="D507" s="180">
        <v>1</v>
      </c>
      <c r="E507" s="141">
        <v>140000</v>
      </c>
      <c r="F507" s="141">
        <f>+E507*0.8</f>
        <v>112000</v>
      </c>
      <c r="G507" s="178">
        <f>D507*E507+F507*D507</f>
        <v>252000</v>
      </c>
      <c r="H507" s="184">
        <v>0.85</v>
      </c>
      <c r="I507" s="143">
        <f>+G507/H507</f>
        <v>296470.5882352941</v>
      </c>
      <c r="J507" s="145"/>
      <c r="K507" s="147"/>
    </row>
    <row r="508" spans="2:15" s="151" customFormat="1" ht="11.25" customHeight="1" x14ac:dyDescent="0.25">
      <c r="B508" s="367" t="s">
        <v>374</v>
      </c>
      <c r="C508" s="368"/>
      <c r="D508" s="180">
        <v>1</v>
      </c>
      <c r="E508" s="141">
        <v>80000</v>
      </c>
      <c r="F508" s="141">
        <f>+E508*0.8</f>
        <v>64000</v>
      </c>
      <c r="G508" s="178">
        <f>D508*E508+F508*D508</f>
        <v>144000</v>
      </c>
      <c r="H508" s="184">
        <f>+H507</f>
        <v>0.85</v>
      </c>
      <c r="I508" s="143">
        <f>+G508/H508</f>
        <v>169411.76470588235</v>
      </c>
      <c r="J508" s="145"/>
      <c r="K508" s="147">
        <v>5949405</v>
      </c>
      <c r="L508" s="179"/>
      <c r="M508" s="179"/>
    </row>
    <row r="509" spans="2:15" s="145" customFormat="1" ht="10.5" customHeight="1" x14ac:dyDescent="0.25">
      <c r="B509" s="367" t="s">
        <v>333</v>
      </c>
      <c r="C509" s="368"/>
      <c r="D509" s="180">
        <v>2</v>
      </c>
      <c r="E509" s="141">
        <v>55000</v>
      </c>
      <c r="F509" s="141">
        <f>+E509*0.8</f>
        <v>44000</v>
      </c>
      <c r="G509" s="178">
        <f>D509*E509+F509*D509</f>
        <v>198000</v>
      </c>
      <c r="H509" s="184">
        <f>+H507</f>
        <v>0.85</v>
      </c>
      <c r="I509" s="143">
        <f>+G509/H509</f>
        <v>232941.17647058825</v>
      </c>
      <c r="K509" s="147"/>
    </row>
    <row r="510" spans="2:15" ht="10.5" customHeight="1" thickBot="1" x14ac:dyDescent="0.3">
      <c r="B510" s="371" t="s">
        <v>318</v>
      </c>
      <c r="C510" s="372"/>
      <c r="D510" s="372"/>
      <c r="E510" s="372"/>
      <c r="F510" s="372"/>
      <c r="G510" s="372"/>
      <c r="H510" s="372"/>
      <c r="I510" s="144">
        <f>SUM(I507:I509)</f>
        <v>698823.5294117647</v>
      </c>
      <c r="K510" s="281">
        <f>+K508-I512</f>
        <v>0</v>
      </c>
      <c r="N510" s="150"/>
    </row>
    <row r="511" spans="2:15" ht="6" customHeight="1" thickBot="1" x14ac:dyDescent="0.3">
      <c r="B511" s="373"/>
      <c r="C511" s="373"/>
      <c r="D511" s="373"/>
      <c r="E511" s="373"/>
      <c r="F511" s="373"/>
      <c r="G511" s="373"/>
      <c r="H511" s="373"/>
      <c r="I511" s="373"/>
    </row>
    <row r="512" spans="2:15" ht="10.5" customHeight="1" thickBot="1" x14ac:dyDescent="0.3">
      <c r="B512" s="374" t="s">
        <v>334</v>
      </c>
      <c r="C512" s="375"/>
      <c r="D512" s="375"/>
      <c r="E512" s="375"/>
      <c r="F512" s="375"/>
      <c r="G512" s="375"/>
      <c r="H512" s="376"/>
      <c r="I512" s="152">
        <f>ROUND(+I493+I498+I503+I510,0)</f>
        <v>5949405</v>
      </c>
      <c r="J512" s="281"/>
      <c r="K512" s="169"/>
      <c r="L512" s="181"/>
      <c r="M512" s="181"/>
      <c r="N512" s="153"/>
    </row>
    <row r="513" spans="2:14" ht="6" customHeight="1" thickBot="1" x14ac:dyDescent="0.3">
      <c r="B513" s="373"/>
      <c r="C513" s="373"/>
      <c r="D513" s="373"/>
      <c r="E513" s="373"/>
      <c r="F513" s="373"/>
      <c r="G513" s="373"/>
      <c r="H513" s="373"/>
      <c r="I513" s="373"/>
    </row>
    <row r="514" spans="2:14" ht="8.25" customHeight="1" x14ac:dyDescent="0.25">
      <c r="B514" s="433" t="s">
        <v>335</v>
      </c>
      <c r="C514" s="417"/>
      <c r="D514" s="418"/>
      <c r="E514" s="418"/>
      <c r="F514" s="419"/>
      <c r="G514" s="369" t="s">
        <v>336</v>
      </c>
      <c r="H514" s="370"/>
      <c r="I514" s="370"/>
    </row>
    <row r="515" spans="2:14" ht="33.75" customHeight="1" x14ac:dyDescent="0.25">
      <c r="B515" s="434"/>
      <c r="C515" s="420"/>
      <c r="D515" s="421"/>
      <c r="E515" s="421"/>
      <c r="F515" s="422"/>
      <c r="G515" s="430" t="s">
        <v>337</v>
      </c>
      <c r="H515" s="431"/>
      <c r="I515" s="431"/>
      <c r="L515" s="181"/>
      <c r="M515" s="181"/>
      <c r="N515" s="179"/>
    </row>
    <row r="516" spans="2:14" ht="13.5" customHeight="1" x14ac:dyDescent="0.25">
      <c r="B516" s="434"/>
      <c r="C516" s="420"/>
      <c r="D516" s="421"/>
      <c r="E516" s="421"/>
      <c r="F516" s="422"/>
      <c r="G516" s="154" t="s">
        <v>92</v>
      </c>
      <c r="H516" s="432" t="s">
        <v>93</v>
      </c>
      <c r="I516" s="432"/>
    </row>
    <row r="517" spans="2:14" ht="16.5" customHeight="1" x14ac:dyDescent="0.25">
      <c r="B517" s="435"/>
      <c r="C517" s="420"/>
      <c r="D517" s="421"/>
      <c r="E517" s="421"/>
      <c r="F517" s="422"/>
      <c r="G517" s="155" t="s">
        <v>94</v>
      </c>
      <c r="H517" s="156" t="s">
        <v>95</v>
      </c>
      <c r="I517" s="157" t="s">
        <v>96</v>
      </c>
    </row>
    <row r="518" spans="2:14" x14ac:dyDescent="0.25">
      <c r="B518" s="268" t="s">
        <v>18</v>
      </c>
      <c r="C518" s="427"/>
      <c r="D518" s="428"/>
      <c r="E518" s="428"/>
      <c r="F518" s="429"/>
      <c r="G518" s="155" t="s">
        <v>98</v>
      </c>
      <c r="H518" s="157" t="s">
        <v>99</v>
      </c>
      <c r="I518" s="157" t="s">
        <v>100</v>
      </c>
    </row>
    <row r="519" spans="2:14" x14ac:dyDescent="0.25">
      <c r="B519" s="269" t="s">
        <v>97</v>
      </c>
      <c r="C519" s="427"/>
      <c r="D519" s="428"/>
      <c r="E519" s="428"/>
      <c r="F519" s="429"/>
      <c r="G519" s="154" t="s">
        <v>338</v>
      </c>
      <c r="H519" s="426"/>
      <c r="I519" s="426"/>
    </row>
    <row r="520" spans="2:14" ht="15.75" thickBot="1" x14ac:dyDescent="0.3">
      <c r="B520" s="270" t="s">
        <v>101</v>
      </c>
      <c r="C520" s="423"/>
      <c r="D520" s="424"/>
      <c r="E520" s="424"/>
      <c r="F520" s="425"/>
      <c r="G520" s="154" t="s">
        <v>102</v>
      </c>
      <c r="H520" s="426" t="s">
        <v>103</v>
      </c>
      <c r="I520" s="426"/>
    </row>
    <row r="521" spans="2:14" ht="45" customHeight="1" thickBot="1" x14ac:dyDescent="0.3">
      <c r="B521" s="401"/>
      <c r="C521" s="402"/>
      <c r="D521" s="402"/>
      <c r="E521" s="402"/>
      <c r="F521" s="403" t="s">
        <v>0</v>
      </c>
      <c r="G521" s="403"/>
      <c r="H521" s="403"/>
      <c r="I521" s="404"/>
    </row>
    <row r="522" spans="2:14" ht="6" customHeight="1" thickBot="1" x14ac:dyDescent="0.3">
      <c r="B522" s="373"/>
      <c r="C522" s="373"/>
      <c r="D522" s="373"/>
      <c r="E522" s="373"/>
      <c r="F522" s="373"/>
      <c r="G522" s="373"/>
      <c r="H522" s="373"/>
      <c r="I522" s="373"/>
    </row>
    <row r="523" spans="2:14" ht="10.5" customHeight="1" x14ac:dyDescent="0.25">
      <c r="B523" s="405" t="s">
        <v>294</v>
      </c>
      <c r="C523" s="406"/>
      <c r="D523" s="407" t="s">
        <v>295</v>
      </c>
      <c r="E523" s="409" t="s">
        <v>296</v>
      </c>
      <c r="F523" s="410"/>
      <c r="G523" s="410"/>
      <c r="H523" s="410"/>
      <c r="I523" s="411"/>
    </row>
    <row r="524" spans="2:14" ht="9" customHeight="1" thickBot="1" x14ac:dyDescent="0.3">
      <c r="B524" s="415"/>
      <c r="C524" s="416"/>
      <c r="D524" s="408"/>
      <c r="E524" s="412"/>
      <c r="F524" s="413"/>
      <c r="G524" s="413"/>
      <c r="H524" s="413"/>
      <c r="I524" s="414"/>
    </row>
    <row r="525" spans="2:14" ht="6" customHeight="1" thickBot="1" x14ac:dyDescent="0.3">
      <c r="B525" s="373"/>
      <c r="C525" s="373"/>
      <c r="D525" s="373"/>
      <c r="E525" s="373"/>
      <c r="F525" s="373"/>
      <c r="G525" s="373"/>
      <c r="H525" s="373"/>
      <c r="I525" s="373"/>
    </row>
    <row r="526" spans="2:14" ht="17.25" customHeight="1" thickBot="1" x14ac:dyDescent="0.3">
      <c r="B526" s="390" t="s">
        <v>297</v>
      </c>
      <c r="C526" s="391"/>
      <c r="D526" s="392"/>
      <c r="E526" s="393"/>
      <c r="F526" s="393"/>
      <c r="G526" s="394"/>
      <c r="H526" s="127" t="s">
        <v>298</v>
      </c>
      <c r="I526" s="128"/>
    </row>
    <row r="527" spans="2:14" ht="6" customHeight="1" thickBot="1" x14ac:dyDescent="0.3">
      <c r="B527" s="373"/>
      <c r="C527" s="373"/>
      <c r="D527" s="373"/>
      <c r="E527" s="373"/>
      <c r="F527" s="373"/>
      <c r="G527" s="373"/>
      <c r="H527" s="373"/>
      <c r="I527" s="373"/>
    </row>
    <row r="528" spans="2:14" ht="19.5" customHeight="1" x14ac:dyDescent="0.25">
      <c r="B528" s="261" t="s">
        <v>299</v>
      </c>
      <c r="C528" s="129" t="s">
        <v>300</v>
      </c>
      <c r="D528" s="130" t="s">
        <v>301</v>
      </c>
      <c r="E528" s="130" t="s">
        <v>302</v>
      </c>
      <c r="F528" s="398" t="s">
        <v>303</v>
      </c>
      <c r="G528" s="399"/>
      <c r="H528" s="400"/>
      <c r="I528" s="131" t="s">
        <v>304</v>
      </c>
    </row>
    <row r="529" spans="2:14" ht="11.25" customHeight="1" x14ac:dyDescent="0.25">
      <c r="B529" s="262"/>
      <c r="C529" s="132"/>
      <c r="D529" s="132" t="s">
        <v>305</v>
      </c>
      <c r="E529" s="132" t="s">
        <v>306</v>
      </c>
      <c r="F529" s="395" t="s">
        <v>339</v>
      </c>
      <c r="G529" s="396"/>
      <c r="H529" s="397"/>
      <c r="I529" s="133"/>
    </row>
    <row r="530" spans="2:14" ht="28.5" customHeight="1" x14ac:dyDescent="0.25">
      <c r="B530" s="263" t="s">
        <v>307</v>
      </c>
      <c r="C530" s="383" t="s">
        <v>414</v>
      </c>
      <c r="D530" s="384"/>
      <c r="E530" s="384"/>
      <c r="F530" s="384"/>
      <c r="G530" s="384"/>
      <c r="H530" s="384"/>
      <c r="I530" s="385"/>
    </row>
    <row r="531" spans="2:14" ht="10.5" customHeight="1" x14ac:dyDescent="0.25">
      <c r="B531" s="264" t="s">
        <v>129</v>
      </c>
      <c r="C531" s="388" t="s">
        <v>308</v>
      </c>
      <c r="D531" s="389"/>
      <c r="E531" s="389"/>
      <c r="F531" s="389"/>
      <c r="G531" s="389"/>
      <c r="H531" s="389"/>
      <c r="I531" s="134" t="s">
        <v>130</v>
      </c>
    </row>
    <row r="532" spans="2:14" ht="50.25" customHeight="1" thickBot="1" x14ac:dyDescent="0.3">
      <c r="B532" s="265">
        <v>5.2299999999999978</v>
      </c>
      <c r="C532" s="386" t="s">
        <v>556</v>
      </c>
      <c r="D532" s="387"/>
      <c r="E532" s="387"/>
      <c r="F532" s="387"/>
      <c r="G532" s="387"/>
      <c r="H532" s="387"/>
      <c r="I532" s="135" t="s">
        <v>27</v>
      </c>
    </row>
    <row r="533" spans="2:14" ht="6" customHeight="1" thickBot="1" x14ac:dyDescent="0.3">
      <c r="B533" s="373"/>
      <c r="C533" s="373"/>
      <c r="D533" s="373"/>
      <c r="E533" s="373"/>
      <c r="F533" s="373"/>
      <c r="G533" s="373"/>
      <c r="H533" s="373"/>
      <c r="I533" s="373"/>
    </row>
    <row r="534" spans="2:14" x14ac:dyDescent="0.25">
      <c r="B534" s="380" t="s">
        <v>309</v>
      </c>
      <c r="C534" s="381"/>
      <c r="D534" s="381"/>
      <c r="E534" s="381"/>
      <c r="F534" s="381"/>
      <c r="G534" s="381"/>
      <c r="H534" s="381"/>
      <c r="I534" s="382"/>
      <c r="K534" s="182"/>
    </row>
    <row r="535" spans="2:14" ht="11.25" customHeight="1" x14ac:dyDescent="0.25">
      <c r="B535" s="377" t="s">
        <v>310</v>
      </c>
      <c r="C535" s="378"/>
      <c r="D535" s="379"/>
      <c r="E535" s="136"/>
      <c r="F535" s="137" t="s">
        <v>311</v>
      </c>
      <c r="G535" s="137" t="s">
        <v>312</v>
      </c>
      <c r="H535" s="137" t="s">
        <v>313</v>
      </c>
      <c r="I535" s="138" t="s">
        <v>314</v>
      </c>
      <c r="L535" s="139"/>
      <c r="M535" s="139"/>
    </row>
    <row r="536" spans="2:14" ht="11.25" customHeight="1" x14ac:dyDescent="0.25">
      <c r="B536" s="362" t="s">
        <v>315</v>
      </c>
      <c r="C536" s="363"/>
      <c r="D536" s="363"/>
      <c r="E536" s="160"/>
      <c r="F536" s="161" t="s">
        <v>316</v>
      </c>
      <c r="G536" s="160">
        <v>5000</v>
      </c>
      <c r="H536" s="142">
        <v>1</v>
      </c>
      <c r="I536" s="143">
        <f>G536*H536</f>
        <v>5000</v>
      </c>
    </row>
    <row r="537" spans="2:14" ht="16.5" customHeight="1" x14ac:dyDescent="0.25">
      <c r="B537" s="362" t="s">
        <v>355</v>
      </c>
      <c r="C537" s="363"/>
      <c r="D537" s="363"/>
      <c r="E537" s="160"/>
      <c r="F537" s="161" t="s">
        <v>317</v>
      </c>
      <c r="G537" s="160">
        <v>90000</v>
      </c>
      <c r="H537" s="142">
        <v>1</v>
      </c>
      <c r="I537" s="143">
        <f>G537*H537</f>
        <v>90000</v>
      </c>
    </row>
    <row r="538" spans="2:14" ht="10.5" customHeight="1" thickBot="1" x14ac:dyDescent="0.3">
      <c r="B538" s="371" t="s">
        <v>318</v>
      </c>
      <c r="C538" s="372"/>
      <c r="D538" s="372"/>
      <c r="E538" s="372"/>
      <c r="F538" s="372"/>
      <c r="G538" s="372"/>
      <c r="H538" s="372"/>
      <c r="I538" s="144">
        <f>SUM(I536:I537)</f>
        <v>95000</v>
      </c>
      <c r="N538" s="150"/>
    </row>
    <row r="539" spans="2:14" ht="6" customHeight="1" thickBot="1" x14ac:dyDescent="0.3">
      <c r="B539" s="373"/>
      <c r="C539" s="373"/>
      <c r="D539" s="373"/>
      <c r="E539" s="373"/>
      <c r="F539" s="373"/>
      <c r="G539" s="373"/>
      <c r="H539" s="373"/>
      <c r="I539" s="373"/>
    </row>
    <row r="540" spans="2:14" s="145" customFormat="1" x14ac:dyDescent="0.25">
      <c r="B540" s="380" t="s">
        <v>319</v>
      </c>
      <c r="C540" s="381"/>
      <c r="D540" s="381"/>
      <c r="E540" s="381"/>
      <c r="F540" s="381"/>
      <c r="G540" s="381"/>
      <c r="H540" s="381"/>
      <c r="I540" s="382"/>
    </row>
    <row r="541" spans="2:14" s="145" customFormat="1" ht="15.75" customHeight="1" x14ac:dyDescent="0.25">
      <c r="B541" s="377" t="s">
        <v>310</v>
      </c>
      <c r="C541" s="378"/>
      <c r="D541" s="379"/>
      <c r="E541" s="137"/>
      <c r="F541" s="137" t="s">
        <v>320</v>
      </c>
      <c r="G541" s="137" t="s">
        <v>321</v>
      </c>
      <c r="H541" s="137" t="s">
        <v>322</v>
      </c>
      <c r="I541" s="138" t="s">
        <v>314</v>
      </c>
    </row>
    <row r="542" spans="2:14" ht="77.25" customHeight="1" x14ac:dyDescent="0.25">
      <c r="B542" s="436" t="s">
        <v>556</v>
      </c>
      <c r="C542" s="437"/>
      <c r="D542" s="438"/>
      <c r="E542" s="163"/>
      <c r="F542" s="161" t="s">
        <v>27</v>
      </c>
      <c r="G542" s="160">
        <f>965500-38000-15000+68000+431993+1126495+1230137+474855-961710-481855-1443350+3146343+582673-1483241</f>
        <v>3602840</v>
      </c>
      <c r="H542" s="142">
        <v>1</v>
      </c>
      <c r="I542" s="143">
        <f>G542*H542</f>
        <v>3602840</v>
      </c>
    </row>
    <row r="543" spans="2:14" ht="10.5" customHeight="1" thickBot="1" x14ac:dyDescent="0.3">
      <c r="B543" s="371" t="s">
        <v>318</v>
      </c>
      <c r="C543" s="372"/>
      <c r="D543" s="372"/>
      <c r="E543" s="372"/>
      <c r="F543" s="372"/>
      <c r="G543" s="372"/>
      <c r="H543" s="372"/>
      <c r="I543" s="144">
        <f>SUM(I542:I542)</f>
        <v>3602840</v>
      </c>
      <c r="N543" s="150"/>
    </row>
    <row r="544" spans="2:14" ht="6" customHeight="1" thickBot="1" x14ac:dyDescent="0.3">
      <c r="B544" s="373"/>
      <c r="C544" s="373"/>
      <c r="D544" s="373"/>
      <c r="E544" s="373"/>
      <c r="F544" s="373"/>
      <c r="G544" s="373"/>
      <c r="H544" s="373"/>
      <c r="I544" s="373"/>
    </row>
    <row r="545" spans="2:15" s="145" customFormat="1" x14ac:dyDescent="0.25">
      <c r="B545" s="380" t="s">
        <v>323</v>
      </c>
      <c r="C545" s="381"/>
      <c r="D545" s="381"/>
      <c r="E545" s="381"/>
      <c r="F545" s="381"/>
      <c r="G545" s="381"/>
      <c r="H545" s="381"/>
      <c r="I545" s="382"/>
      <c r="L545" s="146"/>
      <c r="M545" s="146"/>
    </row>
    <row r="546" spans="2:15" s="145" customFormat="1" x14ac:dyDescent="0.25">
      <c r="B546" s="377" t="s">
        <v>324</v>
      </c>
      <c r="C546" s="378"/>
      <c r="D546" s="379"/>
      <c r="E546" s="137" t="s">
        <v>325</v>
      </c>
      <c r="F546" s="137" t="s">
        <v>326</v>
      </c>
      <c r="G546" s="137" t="s">
        <v>130</v>
      </c>
      <c r="H546" s="137" t="s">
        <v>327</v>
      </c>
      <c r="I546" s="138" t="s">
        <v>314</v>
      </c>
      <c r="K546" s="260"/>
      <c r="N546" s="183"/>
      <c r="O546" s="148"/>
    </row>
    <row r="547" spans="2:15" ht="11.25" customHeight="1" x14ac:dyDescent="0.25">
      <c r="B547" s="362" t="s">
        <v>711</v>
      </c>
      <c r="C547" s="363"/>
      <c r="D547" s="363"/>
      <c r="E547" s="170">
        <v>1</v>
      </c>
      <c r="F547" s="164"/>
      <c r="G547" s="161"/>
      <c r="H547" s="162">
        <v>35000</v>
      </c>
      <c r="I547" s="143">
        <f>H547*E547</f>
        <v>35000</v>
      </c>
    </row>
    <row r="548" spans="2:15" ht="10.5" customHeight="1" thickBot="1" x14ac:dyDescent="0.3">
      <c r="B548" s="371" t="s">
        <v>318</v>
      </c>
      <c r="C548" s="372"/>
      <c r="D548" s="372"/>
      <c r="E548" s="372"/>
      <c r="F548" s="372"/>
      <c r="G548" s="372"/>
      <c r="H548" s="372"/>
      <c r="I548" s="144">
        <f>SUM(I547:I547)</f>
        <v>35000</v>
      </c>
      <c r="N548" s="150"/>
    </row>
    <row r="549" spans="2:15" ht="6" customHeight="1" thickBot="1" x14ac:dyDescent="0.3">
      <c r="B549" s="373"/>
      <c r="C549" s="373"/>
      <c r="D549" s="373"/>
      <c r="E549" s="373"/>
      <c r="F549" s="373"/>
      <c r="G549" s="373"/>
      <c r="H549" s="373"/>
      <c r="I549" s="373"/>
    </row>
    <row r="550" spans="2:15" s="145" customFormat="1" ht="20.100000000000001" customHeight="1" x14ac:dyDescent="0.25">
      <c r="B550" s="380" t="s">
        <v>328</v>
      </c>
      <c r="C550" s="381"/>
      <c r="D550" s="381"/>
      <c r="E550" s="381"/>
      <c r="F550" s="381"/>
      <c r="G550" s="381"/>
      <c r="H550" s="381"/>
      <c r="I550" s="382"/>
      <c r="N550" s="148"/>
      <c r="O550" s="149"/>
    </row>
    <row r="551" spans="2:15" s="145" customFormat="1" ht="20.100000000000001" customHeight="1" x14ac:dyDescent="0.25">
      <c r="B551" s="377" t="s">
        <v>329</v>
      </c>
      <c r="C551" s="379"/>
      <c r="D551" s="137" t="s">
        <v>322</v>
      </c>
      <c r="E551" s="137" t="s">
        <v>330</v>
      </c>
      <c r="F551" s="137" t="s">
        <v>331</v>
      </c>
      <c r="G551" s="137" t="s">
        <v>332</v>
      </c>
      <c r="H551" s="137" t="s">
        <v>313</v>
      </c>
      <c r="I551" s="138" t="s">
        <v>314</v>
      </c>
      <c r="O551" s="179"/>
    </row>
    <row r="552" spans="2:15" s="151" customFormat="1" ht="9.75" customHeight="1" x14ac:dyDescent="0.25">
      <c r="B552" s="367" t="s">
        <v>356</v>
      </c>
      <c r="C552" s="368"/>
      <c r="D552" s="180">
        <v>1</v>
      </c>
      <c r="E552" s="141">
        <v>140000</v>
      </c>
      <c r="F552" s="141">
        <f>+E552*0.8</f>
        <v>112000</v>
      </c>
      <c r="G552" s="178">
        <f>D552*E552+F552*D552</f>
        <v>252000</v>
      </c>
      <c r="H552" s="184">
        <v>1</v>
      </c>
      <c r="I552" s="143">
        <f>+G552/H552</f>
        <v>252000</v>
      </c>
      <c r="J552" s="145"/>
      <c r="K552" s="147"/>
    </row>
    <row r="553" spans="2:15" s="151" customFormat="1" ht="11.25" customHeight="1" x14ac:dyDescent="0.25">
      <c r="B553" s="367" t="s">
        <v>374</v>
      </c>
      <c r="C553" s="368"/>
      <c r="D553" s="180">
        <v>1</v>
      </c>
      <c r="E553" s="141">
        <v>80000</v>
      </c>
      <c r="F553" s="141">
        <f>+E553*0.8</f>
        <v>64000</v>
      </c>
      <c r="G553" s="178">
        <f>D553*E553+F553*D553</f>
        <v>144000</v>
      </c>
      <c r="H553" s="184">
        <f>+H552</f>
        <v>1</v>
      </c>
      <c r="I553" s="143">
        <f>+G553/H553</f>
        <v>144000</v>
      </c>
      <c r="J553" s="145"/>
      <c r="K553" s="147">
        <f>+I557-K555</f>
        <v>0</v>
      </c>
      <c r="L553" s="179"/>
      <c r="M553" s="179"/>
    </row>
    <row r="554" spans="2:15" s="145" customFormat="1" ht="10.5" customHeight="1" x14ac:dyDescent="0.25">
      <c r="B554" s="367" t="s">
        <v>333</v>
      </c>
      <c r="C554" s="368"/>
      <c r="D554" s="180">
        <v>2</v>
      </c>
      <c r="E554" s="141">
        <v>55000</v>
      </c>
      <c r="F554" s="141">
        <f>+E554*0.8</f>
        <v>44000</v>
      </c>
      <c r="G554" s="178">
        <f>D554*E554+F554*D554</f>
        <v>198000</v>
      </c>
      <c r="H554" s="184">
        <f>+H552</f>
        <v>1</v>
      </c>
      <c r="I554" s="143">
        <f>+G554/H554</f>
        <v>198000</v>
      </c>
      <c r="K554" s="147"/>
    </row>
    <row r="555" spans="2:15" ht="10.5" customHeight="1" thickBot="1" x14ac:dyDescent="0.3">
      <c r="B555" s="371" t="s">
        <v>318</v>
      </c>
      <c r="C555" s="372"/>
      <c r="D555" s="372"/>
      <c r="E555" s="372"/>
      <c r="F555" s="372"/>
      <c r="G555" s="372"/>
      <c r="H555" s="372"/>
      <c r="I555" s="144">
        <f>SUM(I552:I554)</f>
        <v>594000</v>
      </c>
      <c r="K555" s="281">
        <v>4326840</v>
      </c>
      <c r="N555" s="150"/>
    </row>
    <row r="556" spans="2:15" ht="6" customHeight="1" thickBot="1" x14ac:dyDescent="0.3">
      <c r="B556" s="373"/>
      <c r="C556" s="373"/>
      <c r="D556" s="373"/>
      <c r="E556" s="373"/>
      <c r="F556" s="373"/>
      <c r="G556" s="373"/>
      <c r="H556" s="373"/>
      <c r="I556" s="373"/>
    </row>
    <row r="557" spans="2:15" ht="10.5" customHeight="1" thickBot="1" x14ac:dyDescent="0.3">
      <c r="B557" s="374" t="s">
        <v>334</v>
      </c>
      <c r="C557" s="375"/>
      <c r="D557" s="375"/>
      <c r="E557" s="375"/>
      <c r="F557" s="375"/>
      <c r="G557" s="375"/>
      <c r="H557" s="376"/>
      <c r="I557" s="152">
        <f>ROUND(+I538+I543+I548+I555,0)</f>
        <v>4326840</v>
      </c>
      <c r="J557" s="281"/>
      <c r="K557" s="169"/>
      <c r="L557" s="181"/>
      <c r="M557" s="181"/>
      <c r="N557" s="153"/>
    </row>
    <row r="558" spans="2:15" ht="6" customHeight="1" thickBot="1" x14ac:dyDescent="0.3">
      <c r="B558" s="373"/>
      <c r="C558" s="373"/>
      <c r="D558" s="373"/>
      <c r="E558" s="373"/>
      <c r="F558" s="373"/>
      <c r="G558" s="373"/>
      <c r="H558" s="373"/>
      <c r="I558" s="373"/>
    </row>
    <row r="559" spans="2:15" ht="8.25" customHeight="1" x14ac:dyDescent="0.25">
      <c r="B559" s="433" t="s">
        <v>335</v>
      </c>
      <c r="C559" s="417"/>
      <c r="D559" s="418"/>
      <c r="E559" s="418"/>
      <c r="F559" s="419"/>
      <c r="G559" s="369" t="s">
        <v>336</v>
      </c>
      <c r="H559" s="370"/>
      <c r="I559" s="370"/>
    </row>
    <row r="560" spans="2:15" ht="33.75" customHeight="1" x14ac:dyDescent="0.25">
      <c r="B560" s="434"/>
      <c r="C560" s="420"/>
      <c r="D560" s="421"/>
      <c r="E560" s="421"/>
      <c r="F560" s="422"/>
      <c r="G560" s="430" t="s">
        <v>337</v>
      </c>
      <c r="H560" s="431"/>
      <c r="I560" s="431"/>
      <c r="L560" s="181"/>
      <c r="M560" s="181"/>
      <c r="N560" s="179"/>
    </row>
    <row r="561" spans="2:9" ht="13.5" customHeight="1" x14ac:dyDescent="0.25">
      <c r="B561" s="434"/>
      <c r="C561" s="420"/>
      <c r="D561" s="421"/>
      <c r="E561" s="421"/>
      <c r="F561" s="422"/>
      <c r="G561" s="154" t="s">
        <v>92</v>
      </c>
      <c r="H561" s="432" t="s">
        <v>93</v>
      </c>
      <c r="I561" s="432"/>
    </row>
    <row r="562" spans="2:9" ht="16.5" customHeight="1" x14ac:dyDescent="0.25">
      <c r="B562" s="435"/>
      <c r="C562" s="420"/>
      <c r="D562" s="421"/>
      <c r="E562" s="421"/>
      <c r="F562" s="422"/>
      <c r="G562" s="155" t="s">
        <v>94</v>
      </c>
      <c r="H562" s="156" t="s">
        <v>95</v>
      </c>
      <c r="I562" s="157" t="s">
        <v>96</v>
      </c>
    </row>
    <row r="563" spans="2:9" x14ac:dyDescent="0.25">
      <c r="B563" s="268" t="s">
        <v>18</v>
      </c>
      <c r="C563" s="427"/>
      <c r="D563" s="428"/>
      <c r="E563" s="428"/>
      <c r="F563" s="429"/>
      <c r="G563" s="155" t="s">
        <v>98</v>
      </c>
      <c r="H563" s="157" t="s">
        <v>99</v>
      </c>
      <c r="I563" s="157" t="s">
        <v>100</v>
      </c>
    </row>
    <row r="564" spans="2:9" x14ac:dyDescent="0.25">
      <c r="B564" s="269" t="s">
        <v>97</v>
      </c>
      <c r="C564" s="427"/>
      <c r="D564" s="428"/>
      <c r="E564" s="428"/>
      <c r="F564" s="429"/>
      <c r="G564" s="154" t="s">
        <v>338</v>
      </c>
      <c r="H564" s="426"/>
      <c r="I564" s="426"/>
    </row>
    <row r="565" spans="2:9" ht="15.75" thickBot="1" x14ac:dyDescent="0.3">
      <c r="B565" s="270" t="s">
        <v>101</v>
      </c>
      <c r="C565" s="423"/>
      <c r="D565" s="424"/>
      <c r="E565" s="424"/>
      <c r="F565" s="425"/>
      <c r="G565" s="154" t="s">
        <v>102</v>
      </c>
      <c r="H565" s="426" t="s">
        <v>103</v>
      </c>
      <c r="I565" s="426"/>
    </row>
    <row r="566" spans="2:9" ht="45" customHeight="1" thickBot="1" x14ac:dyDescent="0.3">
      <c r="B566" s="401"/>
      <c r="C566" s="402"/>
      <c r="D566" s="402"/>
      <c r="E566" s="402"/>
      <c r="F566" s="403" t="s">
        <v>0</v>
      </c>
      <c r="G566" s="403"/>
      <c r="H566" s="403"/>
      <c r="I566" s="404"/>
    </row>
    <row r="567" spans="2:9" ht="6" customHeight="1" thickBot="1" x14ac:dyDescent="0.3">
      <c r="B567" s="373"/>
      <c r="C567" s="373"/>
      <c r="D567" s="373"/>
      <c r="E567" s="373"/>
      <c r="F567" s="373"/>
      <c r="G567" s="373"/>
      <c r="H567" s="373"/>
      <c r="I567" s="373"/>
    </row>
    <row r="568" spans="2:9" ht="10.5" customHeight="1" x14ac:dyDescent="0.25">
      <c r="B568" s="405" t="s">
        <v>294</v>
      </c>
      <c r="C568" s="406"/>
      <c r="D568" s="407" t="s">
        <v>295</v>
      </c>
      <c r="E568" s="409" t="s">
        <v>296</v>
      </c>
      <c r="F568" s="410"/>
      <c r="G568" s="410"/>
      <c r="H568" s="410"/>
      <c r="I568" s="411"/>
    </row>
    <row r="569" spans="2:9" ht="9" customHeight="1" thickBot="1" x14ac:dyDescent="0.3">
      <c r="B569" s="415"/>
      <c r="C569" s="416"/>
      <c r="D569" s="408"/>
      <c r="E569" s="412"/>
      <c r="F569" s="413"/>
      <c r="G569" s="413"/>
      <c r="H569" s="413"/>
      <c r="I569" s="414"/>
    </row>
    <row r="570" spans="2:9" ht="6" customHeight="1" thickBot="1" x14ac:dyDescent="0.3">
      <c r="B570" s="373"/>
      <c r="C570" s="373"/>
      <c r="D570" s="373"/>
      <c r="E570" s="373"/>
      <c r="F570" s="373"/>
      <c r="G570" s="373"/>
      <c r="H570" s="373"/>
      <c r="I570" s="373"/>
    </row>
    <row r="571" spans="2:9" ht="17.25" customHeight="1" thickBot="1" x14ac:dyDescent="0.3">
      <c r="B571" s="390" t="s">
        <v>297</v>
      </c>
      <c r="C571" s="391"/>
      <c r="D571" s="392"/>
      <c r="E571" s="393"/>
      <c r="F571" s="393"/>
      <c r="G571" s="394"/>
      <c r="H571" s="127" t="s">
        <v>298</v>
      </c>
      <c r="I571" s="128"/>
    </row>
    <row r="572" spans="2:9" ht="6" customHeight="1" thickBot="1" x14ac:dyDescent="0.3">
      <c r="B572" s="373"/>
      <c r="C572" s="373"/>
      <c r="D572" s="373"/>
      <c r="E572" s="373"/>
      <c r="F572" s="373"/>
      <c r="G572" s="373"/>
      <c r="H572" s="373"/>
      <c r="I572" s="373"/>
    </row>
    <row r="573" spans="2:9" ht="19.5" customHeight="1" x14ac:dyDescent="0.25">
      <c r="B573" s="261" t="s">
        <v>299</v>
      </c>
      <c r="C573" s="129" t="s">
        <v>300</v>
      </c>
      <c r="D573" s="130" t="s">
        <v>301</v>
      </c>
      <c r="E573" s="130" t="s">
        <v>302</v>
      </c>
      <c r="F573" s="398" t="s">
        <v>303</v>
      </c>
      <c r="G573" s="399"/>
      <c r="H573" s="400"/>
      <c r="I573" s="131" t="s">
        <v>304</v>
      </c>
    </row>
    <row r="574" spans="2:9" ht="11.25" customHeight="1" x14ac:dyDescent="0.25">
      <c r="B574" s="262"/>
      <c r="C574" s="132"/>
      <c r="D574" s="132" t="s">
        <v>305</v>
      </c>
      <c r="E574" s="132" t="s">
        <v>306</v>
      </c>
      <c r="F574" s="395" t="s">
        <v>339</v>
      </c>
      <c r="G574" s="396"/>
      <c r="H574" s="397"/>
      <c r="I574" s="133"/>
    </row>
    <row r="575" spans="2:9" ht="28.5" customHeight="1" x14ac:dyDescent="0.25">
      <c r="B575" s="263" t="s">
        <v>307</v>
      </c>
      <c r="C575" s="383" t="s">
        <v>414</v>
      </c>
      <c r="D575" s="384"/>
      <c r="E575" s="384"/>
      <c r="F575" s="384"/>
      <c r="G575" s="384"/>
      <c r="H575" s="384"/>
      <c r="I575" s="385"/>
    </row>
    <row r="576" spans="2:9" ht="10.5" customHeight="1" x14ac:dyDescent="0.25">
      <c r="B576" s="264" t="s">
        <v>129</v>
      </c>
      <c r="C576" s="388" t="s">
        <v>308</v>
      </c>
      <c r="D576" s="389"/>
      <c r="E576" s="389"/>
      <c r="F576" s="389"/>
      <c r="G576" s="389"/>
      <c r="H576" s="389"/>
      <c r="I576" s="134" t="s">
        <v>130</v>
      </c>
    </row>
    <row r="577" spans="2:15" ht="50.25" customHeight="1" thickBot="1" x14ac:dyDescent="0.3">
      <c r="B577" s="265">
        <v>5.2399999999999975</v>
      </c>
      <c r="C577" s="386" t="s">
        <v>557</v>
      </c>
      <c r="D577" s="387"/>
      <c r="E577" s="387"/>
      <c r="F577" s="387"/>
      <c r="G577" s="387"/>
      <c r="H577" s="387"/>
      <c r="I577" s="135" t="s">
        <v>27</v>
      </c>
    </row>
    <row r="578" spans="2:15" ht="6" customHeight="1" thickBot="1" x14ac:dyDescent="0.3">
      <c r="B578" s="373"/>
      <c r="C578" s="373"/>
      <c r="D578" s="373"/>
      <c r="E578" s="373"/>
      <c r="F578" s="373"/>
      <c r="G578" s="373"/>
      <c r="H578" s="373"/>
      <c r="I578" s="373"/>
    </row>
    <row r="579" spans="2:15" x14ac:dyDescent="0.25">
      <c r="B579" s="380" t="s">
        <v>309</v>
      </c>
      <c r="C579" s="381"/>
      <c r="D579" s="381"/>
      <c r="E579" s="381"/>
      <c r="F579" s="381"/>
      <c r="G579" s="381"/>
      <c r="H579" s="381"/>
      <c r="I579" s="382"/>
      <c r="K579" s="182"/>
    </row>
    <row r="580" spans="2:15" ht="11.25" customHeight="1" x14ac:dyDescent="0.25">
      <c r="B580" s="377" t="s">
        <v>310</v>
      </c>
      <c r="C580" s="378"/>
      <c r="D580" s="379"/>
      <c r="E580" s="136"/>
      <c r="F580" s="137" t="s">
        <v>311</v>
      </c>
      <c r="G580" s="137" t="s">
        <v>312</v>
      </c>
      <c r="H580" s="137" t="s">
        <v>313</v>
      </c>
      <c r="I580" s="138" t="s">
        <v>314</v>
      </c>
      <c r="L580" s="139"/>
      <c r="M580" s="139"/>
    </row>
    <row r="581" spans="2:15" ht="11.25" customHeight="1" x14ac:dyDescent="0.25">
      <c r="B581" s="362" t="s">
        <v>315</v>
      </c>
      <c r="C581" s="363"/>
      <c r="D581" s="363"/>
      <c r="E581" s="160"/>
      <c r="F581" s="161" t="s">
        <v>316</v>
      </c>
      <c r="G581" s="160">
        <v>5000</v>
      </c>
      <c r="H581" s="142">
        <v>0.5</v>
      </c>
      <c r="I581" s="143">
        <f>G581*H581</f>
        <v>2500</v>
      </c>
    </row>
    <row r="582" spans="2:15" ht="16.5" customHeight="1" x14ac:dyDescent="0.25">
      <c r="B582" s="362" t="s">
        <v>355</v>
      </c>
      <c r="C582" s="363"/>
      <c r="D582" s="363"/>
      <c r="E582" s="160"/>
      <c r="F582" s="161" t="s">
        <v>317</v>
      </c>
      <c r="G582" s="160">
        <v>90000</v>
      </c>
      <c r="H582" s="142">
        <v>0.5</v>
      </c>
      <c r="I582" s="143">
        <f>G582*H582</f>
        <v>45000</v>
      </c>
    </row>
    <row r="583" spans="2:15" ht="10.5" customHeight="1" thickBot="1" x14ac:dyDescent="0.3">
      <c r="B583" s="371" t="s">
        <v>318</v>
      </c>
      <c r="C583" s="372"/>
      <c r="D583" s="372"/>
      <c r="E583" s="372"/>
      <c r="F583" s="372"/>
      <c r="G583" s="372"/>
      <c r="H583" s="372"/>
      <c r="I583" s="144">
        <f>SUM(I581:I582)</f>
        <v>47500</v>
      </c>
      <c r="N583" s="150"/>
    </row>
    <row r="584" spans="2:15" ht="6" customHeight="1" thickBot="1" x14ac:dyDescent="0.3">
      <c r="B584" s="373"/>
      <c r="C584" s="373"/>
      <c r="D584" s="373"/>
      <c r="E584" s="373"/>
      <c r="F584" s="373"/>
      <c r="G584" s="373"/>
      <c r="H584" s="373"/>
      <c r="I584" s="373"/>
    </row>
    <row r="585" spans="2:15" s="145" customFormat="1" x14ac:dyDescent="0.25">
      <c r="B585" s="380" t="s">
        <v>319</v>
      </c>
      <c r="C585" s="381"/>
      <c r="D585" s="381"/>
      <c r="E585" s="381"/>
      <c r="F585" s="381"/>
      <c r="G585" s="381"/>
      <c r="H585" s="381"/>
      <c r="I585" s="382"/>
    </row>
    <row r="586" spans="2:15" s="145" customFormat="1" ht="15.75" customHeight="1" x14ac:dyDescent="0.25">
      <c r="B586" s="377" t="s">
        <v>310</v>
      </c>
      <c r="C586" s="378"/>
      <c r="D586" s="379"/>
      <c r="E586" s="137"/>
      <c r="F586" s="137" t="s">
        <v>320</v>
      </c>
      <c r="G586" s="137" t="s">
        <v>321</v>
      </c>
      <c r="H586" s="137" t="s">
        <v>322</v>
      </c>
      <c r="I586" s="138" t="s">
        <v>314</v>
      </c>
    </row>
    <row r="587" spans="2:15" ht="60" customHeight="1" x14ac:dyDescent="0.25">
      <c r="B587" s="436" t="s">
        <v>557</v>
      </c>
      <c r="C587" s="437"/>
      <c r="D587" s="438"/>
      <c r="E587" s="163"/>
      <c r="F587" s="161" t="s">
        <v>27</v>
      </c>
      <c r="G587" s="160">
        <f>965500-38000-15000+68000+431993+1126495+1230137+474855-961710-481855-1443350+3146343+582673-1483241-2245775</f>
        <v>1357065</v>
      </c>
      <c r="H587" s="142">
        <v>1</v>
      </c>
      <c r="I587" s="143">
        <f>G587*H587</f>
        <v>1357065</v>
      </c>
    </row>
    <row r="588" spans="2:15" ht="10.5" customHeight="1" thickBot="1" x14ac:dyDescent="0.3">
      <c r="B588" s="371" t="s">
        <v>318</v>
      </c>
      <c r="C588" s="372"/>
      <c r="D588" s="372"/>
      <c r="E588" s="372"/>
      <c r="F588" s="372"/>
      <c r="G588" s="372"/>
      <c r="H588" s="372"/>
      <c r="I588" s="144">
        <f>SUM(I587:I587)</f>
        <v>1357065</v>
      </c>
      <c r="N588" s="150"/>
    </row>
    <row r="589" spans="2:15" ht="6" customHeight="1" thickBot="1" x14ac:dyDescent="0.3">
      <c r="B589" s="373"/>
      <c r="C589" s="373"/>
      <c r="D589" s="373"/>
      <c r="E589" s="373"/>
      <c r="F589" s="373"/>
      <c r="G589" s="373"/>
      <c r="H589" s="373"/>
      <c r="I589" s="373"/>
    </row>
    <row r="590" spans="2:15" s="145" customFormat="1" x14ac:dyDescent="0.25">
      <c r="B590" s="380" t="s">
        <v>323</v>
      </c>
      <c r="C590" s="381"/>
      <c r="D590" s="381"/>
      <c r="E590" s="381"/>
      <c r="F590" s="381"/>
      <c r="G590" s="381"/>
      <c r="H590" s="381"/>
      <c r="I590" s="382"/>
      <c r="L590" s="146"/>
      <c r="M590" s="146"/>
    </row>
    <row r="591" spans="2:15" s="145" customFormat="1" x14ac:dyDescent="0.25">
      <c r="B591" s="377" t="s">
        <v>324</v>
      </c>
      <c r="C591" s="378"/>
      <c r="D591" s="379"/>
      <c r="E591" s="137" t="s">
        <v>325</v>
      </c>
      <c r="F591" s="137" t="s">
        <v>326</v>
      </c>
      <c r="G591" s="137" t="s">
        <v>130</v>
      </c>
      <c r="H591" s="137" t="s">
        <v>327</v>
      </c>
      <c r="I591" s="138" t="s">
        <v>314</v>
      </c>
      <c r="K591" s="260"/>
      <c r="N591" s="183"/>
      <c r="O591" s="148"/>
    </row>
    <row r="592" spans="2:15" ht="11.25" customHeight="1" x14ac:dyDescent="0.25">
      <c r="B592" s="362" t="s">
        <v>711</v>
      </c>
      <c r="C592" s="363"/>
      <c r="D592" s="363"/>
      <c r="E592" s="170">
        <v>1</v>
      </c>
      <c r="F592" s="164"/>
      <c r="G592" s="161"/>
      <c r="H592" s="162">
        <v>20000</v>
      </c>
      <c r="I592" s="143">
        <f>H592*E592</f>
        <v>20000</v>
      </c>
    </row>
    <row r="593" spans="2:15" ht="10.5" customHeight="1" thickBot="1" x14ac:dyDescent="0.3">
      <c r="B593" s="371" t="s">
        <v>318</v>
      </c>
      <c r="C593" s="372"/>
      <c r="D593" s="372"/>
      <c r="E593" s="372"/>
      <c r="F593" s="372"/>
      <c r="G593" s="372"/>
      <c r="H593" s="372"/>
      <c r="I593" s="144">
        <f>SUM(I592:I592)</f>
        <v>20000</v>
      </c>
      <c r="N593" s="150"/>
    </row>
    <row r="594" spans="2:15" ht="6" customHeight="1" thickBot="1" x14ac:dyDescent="0.3">
      <c r="B594" s="373"/>
      <c r="C594" s="373"/>
      <c r="D594" s="373"/>
      <c r="E594" s="373"/>
      <c r="F594" s="373"/>
      <c r="G594" s="373"/>
      <c r="H594" s="373"/>
      <c r="I594" s="373"/>
    </row>
    <row r="595" spans="2:15" s="145" customFormat="1" ht="20.100000000000001" customHeight="1" x14ac:dyDescent="0.25">
      <c r="B595" s="380" t="s">
        <v>328</v>
      </c>
      <c r="C595" s="381"/>
      <c r="D595" s="381"/>
      <c r="E595" s="381"/>
      <c r="F595" s="381"/>
      <c r="G595" s="381"/>
      <c r="H595" s="381"/>
      <c r="I595" s="382"/>
      <c r="N595" s="148"/>
      <c r="O595" s="149"/>
    </row>
    <row r="596" spans="2:15" s="145" customFormat="1" ht="20.100000000000001" customHeight="1" x14ac:dyDescent="0.25">
      <c r="B596" s="377" t="s">
        <v>329</v>
      </c>
      <c r="C596" s="379"/>
      <c r="D596" s="137" t="s">
        <v>322</v>
      </c>
      <c r="E596" s="137" t="s">
        <v>330</v>
      </c>
      <c r="F596" s="137" t="s">
        <v>331</v>
      </c>
      <c r="G596" s="137" t="s">
        <v>332</v>
      </c>
      <c r="H596" s="137" t="s">
        <v>313</v>
      </c>
      <c r="I596" s="138" t="s">
        <v>314</v>
      </c>
      <c r="O596" s="179"/>
    </row>
    <row r="597" spans="2:15" s="151" customFormat="1" ht="9.75" customHeight="1" x14ac:dyDescent="0.25">
      <c r="B597" s="367" t="s">
        <v>356</v>
      </c>
      <c r="C597" s="368"/>
      <c r="D597" s="180">
        <v>1</v>
      </c>
      <c r="E597" s="141">
        <v>140000</v>
      </c>
      <c r="F597" s="141">
        <f>+E597*0.8</f>
        <v>112000</v>
      </c>
      <c r="G597" s="178">
        <f>D597*E597+F597*D597</f>
        <v>252000</v>
      </c>
      <c r="H597" s="184">
        <v>3</v>
      </c>
      <c r="I597" s="143">
        <f>+G597/H597</f>
        <v>84000</v>
      </c>
      <c r="J597" s="145"/>
      <c r="K597" s="147"/>
    </row>
    <row r="598" spans="2:15" s="151" customFormat="1" ht="11.25" customHeight="1" x14ac:dyDescent="0.25">
      <c r="B598" s="367" t="s">
        <v>374</v>
      </c>
      <c r="C598" s="368"/>
      <c r="D598" s="180">
        <v>1</v>
      </c>
      <c r="E598" s="141">
        <v>80000</v>
      </c>
      <c r="F598" s="141">
        <f>+E598*0.8</f>
        <v>64000</v>
      </c>
      <c r="G598" s="178">
        <f>D598*E598+F598*D598</f>
        <v>144000</v>
      </c>
      <c r="H598" s="184">
        <f>+H597</f>
        <v>3</v>
      </c>
      <c r="I598" s="143">
        <f>+G598/H598</f>
        <v>48000</v>
      </c>
      <c r="J598" s="145"/>
      <c r="K598" s="147"/>
      <c r="L598" s="179"/>
      <c r="M598" s="179"/>
    </row>
    <row r="599" spans="2:15" s="145" customFormat="1" ht="10.5" customHeight="1" x14ac:dyDescent="0.25">
      <c r="B599" s="367" t="s">
        <v>333</v>
      </c>
      <c r="C599" s="368"/>
      <c r="D599" s="180">
        <v>2</v>
      </c>
      <c r="E599" s="141">
        <v>55000</v>
      </c>
      <c r="F599" s="141">
        <f>+E599*0.8</f>
        <v>44000</v>
      </c>
      <c r="G599" s="178">
        <f>D599*E599+F599*D599</f>
        <v>198000</v>
      </c>
      <c r="H599" s="184">
        <f>+H597</f>
        <v>3</v>
      </c>
      <c r="I599" s="143">
        <f>+G599/H599</f>
        <v>66000</v>
      </c>
      <c r="K599" s="147"/>
    </row>
    <row r="600" spans="2:15" ht="10.5" customHeight="1" thickBot="1" x14ac:dyDescent="0.3">
      <c r="B600" s="371" t="s">
        <v>318</v>
      </c>
      <c r="C600" s="372"/>
      <c r="D600" s="372"/>
      <c r="E600" s="372"/>
      <c r="F600" s="372"/>
      <c r="G600" s="372"/>
      <c r="H600" s="372"/>
      <c r="I600" s="144">
        <f>SUM(I597:I599)</f>
        <v>198000</v>
      </c>
      <c r="K600" s="281"/>
      <c r="N600" s="150"/>
    </row>
    <row r="601" spans="2:15" ht="6" customHeight="1" thickBot="1" x14ac:dyDescent="0.3">
      <c r="B601" s="373"/>
      <c r="C601" s="373"/>
      <c r="D601" s="373"/>
      <c r="E601" s="373"/>
      <c r="F601" s="373"/>
      <c r="G601" s="373"/>
      <c r="H601" s="373"/>
      <c r="I601" s="373"/>
    </row>
    <row r="602" spans="2:15" ht="10.5" customHeight="1" thickBot="1" x14ac:dyDescent="0.3">
      <c r="B602" s="374" t="s">
        <v>334</v>
      </c>
      <c r="C602" s="375"/>
      <c r="D602" s="375"/>
      <c r="E602" s="375"/>
      <c r="F602" s="375"/>
      <c r="G602" s="375"/>
      <c r="H602" s="376"/>
      <c r="I602" s="152">
        <f>ROUND(+I583+I588+I593+I600,0)</f>
        <v>1622565</v>
      </c>
      <c r="J602" s="281"/>
      <c r="K602" s="169"/>
      <c r="L602" s="181"/>
      <c r="M602" s="181"/>
      <c r="N602" s="153"/>
    </row>
    <row r="603" spans="2:15" ht="6" customHeight="1" thickBot="1" x14ac:dyDescent="0.3">
      <c r="B603" s="373"/>
      <c r="C603" s="373"/>
      <c r="D603" s="373"/>
      <c r="E603" s="373"/>
      <c r="F603" s="373"/>
      <c r="G603" s="373"/>
      <c r="H603" s="373"/>
      <c r="I603" s="373"/>
    </row>
    <row r="604" spans="2:15" ht="8.25" customHeight="1" x14ac:dyDescent="0.25">
      <c r="B604" s="433" t="s">
        <v>335</v>
      </c>
      <c r="C604" s="417"/>
      <c r="D604" s="418"/>
      <c r="E604" s="418"/>
      <c r="F604" s="419"/>
      <c r="G604" s="369" t="s">
        <v>336</v>
      </c>
      <c r="H604" s="370"/>
      <c r="I604" s="370"/>
    </row>
    <row r="605" spans="2:15" ht="33.75" customHeight="1" x14ac:dyDescent="0.25">
      <c r="B605" s="434"/>
      <c r="C605" s="420"/>
      <c r="D605" s="421"/>
      <c r="E605" s="421"/>
      <c r="F605" s="422"/>
      <c r="G605" s="430" t="s">
        <v>337</v>
      </c>
      <c r="H605" s="431"/>
      <c r="I605" s="431"/>
      <c r="L605" s="181"/>
      <c r="M605" s="181"/>
      <c r="N605" s="179"/>
    </row>
    <row r="606" spans="2:15" ht="13.5" customHeight="1" x14ac:dyDescent="0.25">
      <c r="B606" s="434"/>
      <c r="C606" s="420"/>
      <c r="D606" s="421"/>
      <c r="E606" s="421"/>
      <c r="F606" s="422"/>
      <c r="G606" s="154" t="s">
        <v>92</v>
      </c>
      <c r="H606" s="432" t="s">
        <v>93</v>
      </c>
      <c r="I606" s="432"/>
    </row>
    <row r="607" spans="2:15" ht="16.5" customHeight="1" x14ac:dyDescent="0.25">
      <c r="B607" s="435"/>
      <c r="C607" s="420"/>
      <c r="D607" s="421"/>
      <c r="E607" s="421"/>
      <c r="F607" s="422"/>
      <c r="G607" s="155" t="s">
        <v>94</v>
      </c>
      <c r="H607" s="156" t="s">
        <v>95</v>
      </c>
      <c r="I607" s="157" t="s">
        <v>96</v>
      </c>
    </row>
    <row r="608" spans="2:15" x14ac:dyDescent="0.25">
      <c r="B608" s="268" t="s">
        <v>18</v>
      </c>
      <c r="C608" s="427"/>
      <c r="D608" s="428"/>
      <c r="E608" s="428"/>
      <c r="F608" s="429"/>
      <c r="G608" s="155" t="s">
        <v>98</v>
      </c>
      <c r="H608" s="157" t="s">
        <v>99</v>
      </c>
      <c r="I608" s="157" t="s">
        <v>100</v>
      </c>
    </row>
    <row r="609" spans="2:11" x14ac:dyDescent="0.25">
      <c r="B609" s="269" t="s">
        <v>97</v>
      </c>
      <c r="C609" s="427"/>
      <c r="D609" s="428"/>
      <c r="E609" s="428"/>
      <c r="F609" s="429"/>
      <c r="G609" s="154" t="s">
        <v>338</v>
      </c>
      <c r="H609" s="426"/>
      <c r="I609" s="426"/>
    </row>
    <row r="610" spans="2:11" ht="15.75" thickBot="1" x14ac:dyDescent="0.3">
      <c r="B610" s="270" t="s">
        <v>101</v>
      </c>
      <c r="C610" s="423"/>
      <c r="D610" s="424"/>
      <c r="E610" s="424"/>
      <c r="F610" s="425"/>
      <c r="G610" s="154" t="s">
        <v>102</v>
      </c>
      <c r="H610" s="426" t="s">
        <v>103</v>
      </c>
      <c r="I610" s="426"/>
    </row>
    <row r="611" spans="2:11" ht="45" customHeight="1" thickBot="1" x14ac:dyDescent="0.3">
      <c r="B611" s="401"/>
      <c r="C611" s="402"/>
      <c r="D611" s="402"/>
      <c r="E611" s="402"/>
      <c r="F611" s="403" t="s">
        <v>0</v>
      </c>
      <c r="G611" s="403"/>
      <c r="H611" s="403"/>
      <c r="I611" s="404"/>
    </row>
    <row r="612" spans="2:11" ht="6" customHeight="1" thickBot="1" x14ac:dyDescent="0.3">
      <c r="B612" s="373"/>
      <c r="C612" s="373"/>
      <c r="D612" s="373"/>
      <c r="E612" s="373"/>
      <c r="F612" s="373"/>
      <c r="G612" s="373"/>
      <c r="H612" s="373"/>
      <c r="I612" s="373"/>
    </row>
    <row r="613" spans="2:11" ht="10.5" customHeight="1" x14ac:dyDescent="0.25">
      <c r="B613" s="405" t="s">
        <v>294</v>
      </c>
      <c r="C613" s="406"/>
      <c r="D613" s="407" t="s">
        <v>295</v>
      </c>
      <c r="E613" s="409" t="s">
        <v>296</v>
      </c>
      <c r="F613" s="410"/>
      <c r="G613" s="410"/>
      <c r="H613" s="410"/>
      <c r="I613" s="411"/>
    </row>
    <row r="614" spans="2:11" ht="9" customHeight="1" thickBot="1" x14ac:dyDescent="0.3">
      <c r="B614" s="415"/>
      <c r="C614" s="416"/>
      <c r="D614" s="408"/>
      <c r="E614" s="412"/>
      <c r="F614" s="413"/>
      <c r="G614" s="413"/>
      <c r="H614" s="413"/>
      <c r="I614" s="414"/>
    </row>
    <row r="615" spans="2:11" ht="6" customHeight="1" thickBot="1" x14ac:dyDescent="0.3">
      <c r="B615" s="373"/>
      <c r="C615" s="373"/>
      <c r="D615" s="373"/>
      <c r="E615" s="373"/>
      <c r="F615" s="373"/>
      <c r="G615" s="373"/>
      <c r="H615" s="373"/>
      <c r="I615" s="373"/>
    </row>
    <row r="616" spans="2:11" ht="17.25" customHeight="1" thickBot="1" x14ac:dyDescent="0.3">
      <c r="B616" s="390" t="s">
        <v>297</v>
      </c>
      <c r="C616" s="391"/>
      <c r="D616" s="392"/>
      <c r="E616" s="393"/>
      <c r="F616" s="393"/>
      <c r="G616" s="394"/>
      <c r="H616" s="127" t="s">
        <v>298</v>
      </c>
      <c r="I616" s="128"/>
    </row>
    <row r="617" spans="2:11" ht="6" customHeight="1" thickBot="1" x14ac:dyDescent="0.3">
      <c r="B617" s="373"/>
      <c r="C617" s="373"/>
      <c r="D617" s="373"/>
      <c r="E617" s="373"/>
      <c r="F617" s="373"/>
      <c r="G617" s="373"/>
      <c r="H617" s="373"/>
      <c r="I617" s="373"/>
    </row>
    <row r="618" spans="2:11" ht="19.5" customHeight="1" x14ac:dyDescent="0.25">
      <c r="B618" s="261" t="s">
        <v>299</v>
      </c>
      <c r="C618" s="129" t="s">
        <v>300</v>
      </c>
      <c r="D618" s="130" t="s">
        <v>301</v>
      </c>
      <c r="E618" s="130" t="s">
        <v>302</v>
      </c>
      <c r="F618" s="398" t="s">
        <v>303</v>
      </c>
      <c r="G618" s="399"/>
      <c r="H618" s="400"/>
      <c r="I618" s="131" t="s">
        <v>304</v>
      </c>
    </row>
    <row r="619" spans="2:11" ht="11.25" customHeight="1" x14ac:dyDescent="0.25">
      <c r="B619" s="262"/>
      <c r="C619" s="132"/>
      <c r="D619" s="132" t="s">
        <v>305</v>
      </c>
      <c r="E619" s="132" t="s">
        <v>306</v>
      </c>
      <c r="F619" s="395" t="s">
        <v>339</v>
      </c>
      <c r="G619" s="396"/>
      <c r="H619" s="397"/>
      <c r="I619" s="133"/>
    </row>
    <row r="620" spans="2:11" ht="28.5" customHeight="1" x14ac:dyDescent="0.25">
      <c r="B620" s="263" t="s">
        <v>307</v>
      </c>
      <c r="C620" s="383" t="s">
        <v>414</v>
      </c>
      <c r="D620" s="384"/>
      <c r="E620" s="384"/>
      <c r="F620" s="384"/>
      <c r="G620" s="384"/>
      <c r="H620" s="384"/>
      <c r="I620" s="385"/>
    </row>
    <row r="621" spans="2:11" ht="10.5" customHeight="1" x14ac:dyDescent="0.25">
      <c r="B621" s="264" t="s">
        <v>129</v>
      </c>
      <c r="C621" s="388" t="s">
        <v>308</v>
      </c>
      <c r="D621" s="389"/>
      <c r="E621" s="389"/>
      <c r="F621" s="389"/>
      <c r="G621" s="389"/>
      <c r="H621" s="389"/>
      <c r="I621" s="134" t="s">
        <v>130</v>
      </c>
    </row>
    <row r="622" spans="2:11" ht="50.25" customHeight="1" thickBot="1" x14ac:dyDescent="0.3">
      <c r="B622" s="265">
        <v>5.2599999999999971</v>
      </c>
      <c r="C622" s="386" t="s">
        <v>559</v>
      </c>
      <c r="D622" s="387"/>
      <c r="E622" s="387"/>
      <c r="F622" s="387"/>
      <c r="G622" s="387"/>
      <c r="H622" s="387"/>
      <c r="I622" s="135" t="s">
        <v>27</v>
      </c>
    </row>
    <row r="623" spans="2:11" ht="6" customHeight="1" thickBot="1" x14ac:dyDescent="0.3">
      <c r="B623" s="373"/>
      <c r="C623" s="373"/>
      <c r="D623" s="373"/>
      <c r="E623" s="373"/>
      <c r="F623" s="373"/>
      <c r="G623" s="373"/>
      <c r="H623" s="373"/>
      <c r="I623" s="373"/>
    </row>
    <row r="624" spans="2:11" x14ac:dyDescent="0.25">
      <c r="B624" s="380" t="s">
        <v>309</v>
      </c>
      <c r="C624" s="381"/>
      <c r="D624" s="381"/>
      <c r="E624" s="381"/>
      <c r="F624" s="381"/>
      <c r="G624" s="381"/>
      <c r="H624" s="381"/>
      <c r="I624" s="382"/>
      <c r="K624" s="182"/>
    </row>
    <row r="625" spans="2:15" ht="11.25" customHeight="1" x14ac:dyDescent="0.25">
      <c r="B625" s="377" t="s">
        <v>310</v>
      </c>
      <c r="C625" s="378"/>
      <c r="D625" s="379"/>
      <c r="E625" s="136"/>
      <c r="F625" s="137" t="s">
        <v>311</v>
      </c>
      <c r="G625" s="137" t="s">
        <v>312</v>
      </c>
      <c r="H625" s="137" t="s">
        <v>313</v>
      </c>
      <c r="I625" s="138" t="s">
        <v>314</v>
      </c>
      <c r="L625" s="139"/>
      <c r="M625" s="139"/>
    </row>
    <row r="626" spans="2:15" ht="11.25" customHeight="1" x14ac:dyDescent="0.25">
      <c r="B626" s="362" t="s">
        <v>315</v>
      </c>
      <c r="C626" s="363"/>
      <c r="D626" s="363"/>
      <c r="E626" s="160"/>
      <c r="F626" s="161" t="s">
        <v>316</v>
      </c>
      <c r="G626" s="160">
        <v>5000</v>
      </c>
      <c r="H626" s="142">
        <v>1.3</v>
      </c>
      <c r="I626" s="143">
        <f>G626*H626</f>
        <v>6500</v>
      </c>
    </row>
    <row r="627" spans="2:15" ht="16.5" customHeight="1" x14ac:dyDescent="0.25">
      <c r="B627" s="362" t="s">
        <v>355</v>
      </c>
      <c r="C627" s="363"/>
      <c r="D627" s="363"/>
      <c r="E627" s="160"/>
      <c r="F627" s="161" t="s">
        <v>317</v>
      </c>
      <c r="G627" s="160">
        <v>90000</v>
      </c>
      <c r="H627" s="142">
        <v>1.3</v>
      </c>
      <c r="I627" s="143">
        <f>G627*H627</f>
        <v>117000</v>
      </c>
    </row>
    <row r="628" spans="2:15" ht="10.5" customHeight="1" thickBot="1" x14ac:dyDescent="0.3">
      <c r="B628" s="371" t="s">
        <v>318</v>
      </c>
      <c r="C628" s="372"/>
      <c r="D628" s="372"/>
      <c r="E628" s="372"/>
      <c r="F628" s="372"/>
      <c r="G628" s="372"/>
      <c r="H628" s="372"/>
      <c r="I628" s="144">
        <f>SUM(I626:I627)</f>
        <v>123500</v>
      </c>
      <c r="N628" s="150"/>
    </row>
    <row r="629" spans="2:15" ht="6" customHeight="1" thickBot="1" x14ac:dyDescent="0.3">
      <c r="B629" s="373"/>
      <c r="C629" s="373"/>
      <c r="D629" s="373"/>
      <c r="E629" s="373"/>
      <c r="F629" s="373"/>
      <c r="G629" s="373"/>
      <c r="H629" s="373"/>
      <c r="I629" s="373"/>
    </row>
    <row r="630" spans="2:15" s="145" customFormat="1" x14ac:dyDescent="0.25">
      <c r="B630" s="380" t="s">
        <v>319</v>
      </c>
      <c r="C630" s="381"/>
      <c r="D630" s="381"/>
      <c r="E630" s="381"/>
      <c r="F630" s="381"/>
      <c r="G630" s="381"/>
      <c r="H630" s="381"/>
      <c r="I630" s="382"/>
    </row>
    <row r="631" spans="2:15" s="145" customFormat="1" ht="15.75" customHeight="1" x14ac:dyDescent="0.25">
      <c r="B631" s="377" t="s">
        <v>310</v>
      </c>
      <c r="C631" s="378"/>
      <c r="D631" s="379"/>
      <c r="E631" s="137"/>
      <c r="F631" s="137" t="s">
        <v>320</v>
      </c>
      <c r="G631" s="137" t="s">
        <v>321</v>
      </c>
      <c r="H631" s="137" t="s">
        <v>322</v>
      </c>
      <c r="I631" s="138" t="s">
        <v>314</v>
      </c>
    </row>
    <row r="632" spans="2:15" ht="72" customHeight="1" x14ac:dyDescent="0.25">
      <c r="B632" s="436" t="s">
        <v>559</v>
      </c>
      <c r="C632" s="437"/>
      <c r="D632" s="438"/>
      <c r="E632" s="163"/>
      <c r="F632" s="161" t="s">
        <v>27</v>
      </c>
      <c r="G632" s="160">
        <f>965500-38000-15000+68000+431993+1126495+1230137+474855-961710-481855-1443350+3146343+582673-1483241-2245775+1196923+3816555-247501</f>
        <v>6123042</v>
      </c>
      <c r="H632" s="142">
        <v>1</v>
      </c>
      <c r="I632" s="143">
        <f>G632*H632</f>
        <v>6123042</v>
      </c>
    </row>
    <row r="633" spans="2:15" ht="10.5" customHeight="1" thickBot="1" x14ac:dyDescent="0.3">
      <c r="B633" s="371" t="s">
        <v>318</v>
      </c>
      <c r="C633" s="372"/>
      <c r="D633" s="372"/>
      <c r="E633" s="372"/>
      <c r="F633" s="372"/>
      <c r="G633" s="372"/>
      <c r="H633" s="372"/>
      <c r="I633" s="144">
        <f>SUM(I632:I632)</f>
        <v>6123042</v>
      </c>
      <c r="N633" s="150"/>
    </row>
    <row r="634" spans="2:15" ht="6" customHeight="1" thickBot="1" x14ac:dyDescent="0.3">
      <c r="B634" s="373"/>
      <c r="C634" s="373"/>
      <c r="D634" s="373"/>
      <c r="E634" s="373"/>
      <c r="F634" s="373"/>
      <c r="G634" s="373"/>
      <c r="H634" s="373"/>
      <c r="I634" s="373"/>
    </row>
    <row r="635" spans="2:15" s="145" customFormat="1" x14ac:dyDescent="0.25">
      <c r="B635" s="380" t="s">
        <v>323</v>
      </c>
      <c r="C635" s="381"/>
      <c r="D635" s="381"/>
      <c r="E635" s="381"/>
      <c r="F635" s="381"/>
      <c r="G635" s="381"/>
      <c r="H635" s="381"/>
      <c r="I635" s="382"/>
      <c r="L635" s="146"/>
      <c r="M635" s="146"/>
    </row>
    <row r="636" spans="2:15" s="145" customFormat="1" x14ac:dyDescent="0.25">
      <c r="B636" s="377" t="s">
        <v>324</v>
      </c>
      <c r="C636" s="378"/>
      <c r="D636" s="379"/>
      <c r="E636" s="137" t="s">
        <v>325</v>
      </c>
      <c r="F636" s="137" t="s">
        <v>326</v>
      </c>
      <c r="G636" s="137" t="s">
        <v>130</v>
      </c>
      <c r="H636" s="137" t="s">
        <v>327</v>
      </c>
      <c r="I636" s="138" t="s">
        <v>314</v>
      </c>
      <c r="K636" s="260"/>
      <c r="N636" s="183"/>
      <c r="O636" s="148"/>
    </row>
    <row r="637" spans="2:15" ht="11.25" customHeight="1" x14ac:dyDescent="0.25">
      <c r="B637" s="362" t="s">
        <v>711</v>
      </c>
      <c r="C637" s="363"/>
      <c r="D637" s="363"/>
      <c r="E637" s="170">
        <v>1</v>
      </c>
      <c r="F637" s="164"/>
      <c r="G637" s="161"/>
      <c r="H637" s="162">
        <v>65000</v>
      </c>
      <c r="I637" s="143">
        <f>H637*E637</f>
        <v>65000</v>
      </c>
    </row>
    <row r="638" spans="2:15" ht="10.5" customHeight="1" thickBot="1" x14ac:dyDescent="0.3">
      <c r="B638" s="371" t="s">
        <v>318</v>
      </c>
      <c r="C638" s="372"/>
      <c r="D638" s="372"/>
      <c r="E638" s="372"/>
      <c r="F638" s="372"/>
      <c r="G638" s="372"/>
      <c r="H638" s="372"/>
      <c r="I638" s="144">
        <f>SUM(I637:I637)</f>
        <v>65000</v>
      </c>
      <c r="N638" s="150"/>
    </row>
    <row r="639" spans="2:15" ht="6" customHeight="1" thickBot="1" x14ac:dyDescent="0.3">
      <c r="B639" s="373"/>
      <c r="C639" s="373"/>
      <c r="D639" s="373"/>
      <c r="E639" s="373"/>
      <c r="F639" s="373"/>
      <c r="G639" s="373"/>
      <c r="H639" s="373"/>
      <c r="I639" s="373"/>
    </row>
    <row r="640" spans="2:15" s="145" customFormat="1" ht="20.100000000000001" customHeight="1" x14ac:dyDescent="0.25">
      <c r="B640" s="380" t="s">
        <v>328</v>
      </c>
      <c r="C640" s="381"/>
      <c r="D640" s="381"/>
      <c r="E640" s="381"/>
      <c r="F640" s="381"/>
      <c r="G640" s="381"/>
      <c r="H640" s="381"/>
      <c r="I640" s="382"/>
      <c r="N640" s="148"/>
      <c r="O640" s="149"/>
    </row>
    <row r="641" spans="2:15" s="145" customFormat="1" ht="20.100000000000001" customHeight="1" x14ac:dyDescent="0.25">
      <c r="B641" s="377" t="s">
        <v>329</v>
      </c>
      <c r="C641" s="379"/>
      <c r="D641" s="137" t="s">
        <v>322</v>
      </c>
      <c r="E641" s="137" t="s">
        <v>330</v>
      </c>
      <c r="F641" s="137" t="s">
        <v>331</v>
      </c>
      <c r="G641" s="137" t="s">
        <v>332</v>
      </c>
      <c r="H641" s="137" t="s">
        <v>313</v>
      </c>
      <c r="I641" s="138" t="s">
        <v>314</v>
      </c>
      <c r="O641" s="179"/>
    </row>
    <row r="642" spans="2:15" s="151" customFormat="1" ht="9.75" customHeight="1" x14ac:dyDescent="0.25">
      <c r="B642" s="367" t="s">
        <v>356</v>
      </c>
      <c r="C642" s="368"/>
      <c r="D642" s="180">
        <v>1</v>
      </c>
      <c r="E642" s="141">
        <v>140000</v>
      </c>
      <c r="F642" s="141">
        <f>+E642*0.8</f>
        <v>112000</v>
      </c>
      <c r="G642" s="178">
        <f>D642*E642+F642*D642</f>
        <v>252000</v>
      </c>
      <c r="H642" s="184">
        <v>0.6</v>
      </c>
      <c r="I642" s="143">
        <f>+G642/H642</f>
        <v>420000</v>
      </c>
      <c r="J642" s="145"/>
      <c r="K642" s="147">
        <f>+K645-I647</f>
        <v>0.5</v>
      </c>
    </row>
    <row r="643" spans="2:15" s="151" customFormat="1" ht="11.25" customHeight="1" x14ac:dyDescent="0.25">
      <c r="B643" s="367" t="s">
        <v>374</v>
      </c>
      <c r="C643" s="368"/>
      <c r="D643" s="180">
        <v>1</v>
      </c>
      <c r="E643" s="141">
        <v>80000</v>
      </c>
      <c r="F643" s="141">
        <f>+E643*0.8</f>
        <v>64000</v>
      </c>
      <c r="G643" s="178">
        <f>D643*E643+F643*D643</f>
        <v>144000</v>
      </c>
      <c r="H643" s="184">
        <f>+H642</f>
        <v>0.6</v>
      </c>
      <c r="I643" s="143">
        <f>+G643/H643</f>
        <v>240000</v>
      </c>
      <c r="J643" s="145"/>
      <c r="K643" s="147"/>
      <c r="L643" s="179"/>
      <c r="M643" s="179"/>
    </row>
    <row r="644" spans="2:15" s="145" customFormat="1" ht="10.5" customHeight="1" x14ac:dyDescent="0.25">
      <c r="B644" s="367" t="s">
        <v>333</v>
      </c>
      <c r="C644" s="368"/>
      <c r="D644" s="180">
        <v>2</v>
      </c>
      <c r="E644" s="141">
        <v>55000</v>
      </c>
      <c r="F644" s="141">
        <f>+E644*0.8</f>
        <v>44000</v>
      </c>
      <c r="G644" s="178">
        <f>D644*E644+F644*D644</f>
        <v>198000</v>
      </c>
      <c r="H644" s="184">
        <f>+H642</f>
        <v>0.6</v>
      </c>
      <c r="I644" s="143">
        <f>+G644/H644</f>
        <v>330000</v>
      </c>
      <c r="K644" s="147"/>
    </row>
    <row r="645" spans="2:15" ht="10.5" customHeight="1" thickBot="1" x14ac:dyDescent="0.3">
      <c r="B645" s="371" t="s">
        <v>318</v>
      </c>
      <c r="C645" s="372"/>
      <c r="D645" s="372"/>
      <c r="E645" s="372"/>
      <c r="F645" s="372"/>
      <c r="G645" s="372"/>
      <c r="H645" s="372"/>
      <c r="I645" s="144">
        <f>SUM(I642:I644)</f>
        <v>990000</v>
      </c>
      <c r="K645" s="281">
        <v>7301542.5</v>
      </c>
      <c r="N645" s="150"/>
    </row>
    <row r="646" spans="2:15" ht="6" customHeight="1" thickBot="1" x14ac:dyDescent="0.3">
      <c r="B646" s="373"/>
      <c r="C646" s="373"/>
      <c r="D646" s="373"/>
      <c r="E646" s="373"/>
      <c r="F646" s="373"/>
      <c r="G646" s="373"/>
      <c r="H646" s="373"/>
      <c r="I646" s="373"/>
    </row>
    <row r="647" spans="2:15" ht="10.5" customHeight="1" thickBot="1" x14ac:dyDescent="0.3">
      <c r="B647" s="374" t="s">
        <v>334</v>
      </c>
      <c r="C647" s="375"/>
      <c r="D647" s="375"/>
      <c r="E647" s="375"/>
      <c r="F647" s="375"/>
      <c r="G647" s="375"/>
      <c r="H647" s="376"/>
      <c r="I647" s="152">
        <f>ROUND(+I628+I633+I638+I645,0)</f>
        <v>7301542</v>
      </c>
      <c r="J647" s="281"/>
      <c r="K647" s="169"/>
      <c r="L647" s="181"/>
      <c r="M647" s="181"/>
      <c r="N647" s="153"/>
    </row>
    <row r="648" spans="2:15" ht="6" customHeight="1" thickBot="1" x14ac:dyDescent="0.3">
      <c r="B648" s="373"/>
      <c r="C648" s="373"/>
      <c r="D648" s="373"/>
      <c r="E648" s="373"/>
      <c r="F648" s="373"/>
      <c r="G648" s="373"/>
      <c r="H648" s="373"/>
      <c r="I648" s="373"/>
    </row>
    <row r="649" spans="2:15" ht="8.25" customHeight="1" x14ac:dyDescent="0.25">
      <c r="B649" s="433" t="s">
        <v>335</v>
      </c>
      <c r="C649" s="417"/>
      <c r="D649" s="418"/>
      <c r="E649" s="418"/>
      <c r="F649" s="419"/>
      <c r="G649" s="369" t="s">
        <v>336</v>
      </c>
      <c r="H649" s="370"/>
      <c r="I649" s="370"/>
    </row>
    <row r="650" spans="2:15" ht="33.75" customHeight="1" x14ac:dyDescent="0.25">
      <c r="B650" s="434"/>
      <c r="C650" s="420"/>
      <c r="D650" s="421"/>
      <c r="E650" s="421"/>
      <c r="F650" s="422"/>
      <c r="G650" s="430" t="s">
        <v>337</v>
      </c>
      <c r="H650" s="431"/>
      <c r="I650" s="431"/>
      <c r="L650" s="181"/>
      <c r="M650" s="181"/>
      <c r="N650" s="179"/>
    </row>
    <row r="651" spans="2:15" ht="13.5" customHeight="1" x14ac:dyDescent="0.25">
      <c r="B651" s="434"/>
      <c r="C651" s="420"/>
      <c r="D651" s="421"/>
      <c r="E651" s="421"/>
      <c r="F651" s="422"/>
      <c r="G651" s="154" t="s">
        <v>92</v>
      </c>
      <c r="H651" s="432" t="s">
        <v>93</v>
      </c>
      <c r="I651" s="432"/>
    </row>
    <row r="652" spans="2:15" ht="16.5" customHeight="1" x14ac:dyDescent="0.25">
      <c r="B652" s="435"/>
      <c r="C652" s="420"/>
      <c r="D652" s="421"/>
      <c r="E652" s="421"/>
      <c r="F652" s="422"/>
      <c r="G652" s="155" t="s">
        <v>94</v>
      </c>
      <c r="H652" s="156" t="s">
        <v>95</v>
      </c>
      <c r="I652" s="157" t="s">
        <v>96</v>
      </c>
    </row>
    <row r="653" spans="2:15" x14ac:dyDescent="0.25">
      <c r="B653" s="268" t="s">
        <v>18</v>
      </c>
      <c r="C653" s="427"/>
      <c r="D653" s="428"/>
      <c r="E653" s="428"/>
      <c r="F653" s="429"/>
      <c r="G653" s="155" t="s">
        <v>98</v>
      </c>
      <c r="H653" s="157" t="s">
        <v>99</v>
      </c>
      <c r="I653" s="157" t="s">
        <v>100</v>
      </c>
    </row>
    <row r="654" spans="2:15" x14ac:dyDescent="0.25">
      <c r="B654" s="269" t="s">
        <v>97</v>
      </c>
      <c r="C654" s="427"/>
      <c r="D654" s="428"/>
      <c r="E654" s="428"/>
      <c r="F654" s="429"/>
      <c r="G654" s="154" t="s">
        <v>338</v>
      </c>
      <c r="H654" s="426"/>
      <c r="I654" s="426"/>
    </row>
    <row r="655" spans="2:15" ht="15.75" thickBot="1" x14ac:dyDescent="0.3">
      <c r="B655" s="270" t="s">
        <v>101</v>
      </c>
      <c r="C655" s="423"/>
      <c r="D655" s="424"/>
      <c r="E655" s="424"/>
      <c r="F655" s="425"/>
      <c r="G655" s="154" t="s">
        <v>102</v>
      </c>
      <c r="H655" s="426" t="s">
        <v>103</v>
      </c>
      <c r="I655" s="426"/>
    </row>
    <row r="656" spans="2:15" ht="45" customHeight="1" thickBot="1" x14ac:dyDescent="0.3">
      <c r="B656" s="401"/>
      <c r="C656" s="402"/>
      <c r="D656" s="402"/>
      <c r="E656" s="402"/>
      <c r="F656" s="403" t="s">
        <v>0</v>
      </c>
      <c r="G656" s="403"/>
      <c r="H656" s="403"/>
      <c r="I656" s="404"/>
    </row>
    <row r="657" spans="2:13" ht="6" customHeight="1" thickBot="1" x14ac:dyDescent="0.3">
      <c r="B657" s="373"/>
      <c r="C657" s="373"/>
      <c r="D657" s="373"/>
      <c r="E657" s="373"/>
      <c r="F657" s="373"/>
      <c r="G657" s="373"/>
      <c r="H657" s="373"/>
      <c r="I657" s="373"/>
    </row>
    <row r="658" spans="2:13" ht="10.5" customHeight="1" x14ac:dyDescent="0.25">
      <c r="B658" s="405" t="s">
        <v>294</v>
      </c>
      <c r="C658" s="406"/>
      <c r="D658" s="407" t="s">
        <v>295</v>
      </c>
      <c r="E658" s="409" t="s">
        <v>296</v>
      </c>
      <c r="F658" s="410"/>
      <c r="G658" s="410"/>
      <c r="H658" s="410"/>
      <c r="I658" s="411"/>
    </row>
    <row r="659" spans="2:13" ht="9" customHeight="1" thickBot="1" x14ac:dyDescent="0.3">
      <c r="B659" s="415"/>
      <c r="C659" s="416"/>
      <c r="D659" s="408"/>
      <c r="E659" s="412"/>
      <c r="F659" s="413"/>
      <c r="G659" s="413"/>
      <c r="H659" s="413"/>
      <c r="I659" s="414"/>
    </row>
    <row r="660" spans="2:13" ht="6" customHeight="1" thickBot="1" x14ac:dyDescent="0.3">
      <c r="B660" s="373"/>
      <c r="C660" s="373"/>
      <c r="D660" s="373"/>
      <c r="E660" s="373"/>
      <c r="F660" s="373"/>
      <c r="G660" s="373"/>
      <c r="H660" s="373"/>
      <c r="I660" s="373"/>
    </row>
    <row r="661" spans="2:13" ht="17.25" customHeight="1" thickBot="1" x14ac:dyDescent="0.3">
      <c r="B661" s="390" t="s">
        <v>297</v>
      </c>
      <c r="C661" s="391"/>
      <c r="D661" s="392"/>
      <c r="E661" s="393"/>
      <c r="F661" s="393"/>
      <c r="G661" s="394"/>
      <c r="H661" s="127" t="s">
        <v>298</v>
      </c>
      <c r="I661" s="128"/>
    </row>
    <row r="662" spans="2:13" ht="6" customHeight="1" thickBot="1" x14ac:dyDescent="0.3">
      <c r="B662" s="373"/>
      <c r="C662" s="373"/>
      <c r="D662" s="373"/>
      <c r="E662" s="373"/>
      <c r="F662" s="373"/>
      <c r="G662" s="373"/>
      <c r="H662" s="373"/>
      <c r="I662" s="373"/>
    </row>
    <row r="663" spans="2:13" ht="19.5" customHeight="1" x14ac:dyDescent="0.25">
      <c r="B663" s="261" t="s">
        <v>299</v>
      </c>
      <c r="C663" s="129" t="s">
        <v>300</v>
      </c>
      <c r="D663" s="130" t="s">
        <v>301</v>
      </c>
      <c r="E663" s="130" t="s">
        <v>302</v>
      </c>
      <c r="F663" s="398" t="s">
        <v>303</v>
      </c>
      <c r="G663" s="399"/>
      <c r="H663" s="400"/>
      <c r="I663" s="131" t="s">
        <v>304</v>
      </c>
    </row>
    <row r="664" spans="2:13" ht="11.25" customHeight="1" x14ac:dyDescent="0.25">
      <c r="B664" s="262"/>
      <c r="C664" s="132"/>
      <c r="D664" s="132" t="s">
        <v>305</v>
      </c>
      <c r="E664" s="132" t="s">
        <v>306</v>
      </c>
      <c r="F664" s="395" t="s">
        <v>339</v>
      </c>
      <c r="G664" s="396"/>
      <c r="H664" s="397"/>
      <c r="I664" s="133"/>
    </row>
    <row r="665" spans="2:13" ht="28.5" customHeight="1" x14ac:dyDescent="0.25">
      <c r="B665" s="263" t="s">
        <v>307</v>
      </c>
      <c r="C665" s="383" t="s">
        <v>414</v>
      </c>
      <c r="D665" s="384"/>
      <c r="E665" s="384"/>
      <c r="F665" s="384"/>
      <c r="G665" s="384"/>
      <c r="H665" s="384"/>
      <c r="I665" s="385"/>
    </row>
    <row r="666" spans="2:13" ht="10.5" customHeight="1" x14ac:dyDescent="0.25">
      <c r="B666" s="264" t="s">
        <v>129</v>
      </c>
      <c r="C666" s="388" t="s">
        <v>308</v>
      </c>
      <c r="D666" s="389"/>
      <c r="E666" s="389"/>
      <c r="F666" s="389"/>
      <c r="G666" s="389"/>
      <c r="H666" s="389"/>
      <c r="I666" s="134" t="s">
        <v>130</v>
      </c>
    </row>
    <row r="667" spans="2:13" ht="50.25" customHeight="1" thickBot="1" x14ac:dyDescent="0.3">
      <c r="B667" s="265">
        <v>5.2699999999999969</v>
      </c>
      <c r="C667" s="386" t="s">
        <v>560</v>
      </c>
      <c r="D667" s="387"/>
      <c r="E667" s="387"/>
      <c r="F667" s="387"/>
      <c r="G667" s="387"/>
      <c r="H667" s="387"/>
      <c r="I667" s="135" t="s">
        <v>27</v>
      </c>
    </row>
    <row r="668" spans="2:13" ht="6" customHeight="1" thickBot="1" x14ac:dyDescent="0.3">
      <c r="B668" s="373"/>
      <c r="C668" s="373"/>
      <c r="D668" s="373"/>
      <c r="E668" s="373"/>
      <c r="F668" s="373"/>
      <c r="G668" s="373"/>
      <c r="H668" s="373"/>
      <c r="I668" s="373"/>
    </row>
    <row r="669" spans="2:13" x14ac:dyDescent="0.25">
      <c r="B669" s="380" t="s">
        <v>309</v>
      </c>
      <c r="C669" s="381"/>
      <c r="D669" s="381"/>
      <c r="E669" s="381"/>
      <c r="F669" s="381"/>
      <c r="G669" s="381"/>
      <c r="H669" s="381"/>
      <c r="I669" s="382"/>
      <c r="K669" s="182"/>
    </row>
    <row r="670" spans="2:13" ht="11.25" customHeight="1" x14ac:dyDescent="0.25">
      <c r="B670" s="377" t="s">
        <v>310</v>
      </c>
      <c r="C670" s="378"/>
      <c r="D670" s="379"/>
      <c r="E670" s="136"/>
      <c r="F670" s="137" t="s">
        <v>311</v>
      </c>
      <c r="G670" s="137" t="s">
        <v>312</v>
      </c>
      <c r="H670" s="137" t="s">
        <v>313</v>
      </c>
      <c r="I670" s="138" t="s">
        <v>314</v>
      </c>
      <c r="L670" s="139"/>
      <c r="M670" s="139"/>
    </row>
    <row r="671" spans="2:13" ht="11.25" customHeight="1" x14ac:dyDescent="0.25">
      <c r="B671" s="362" t="s">
        <v>315</v>
      </c>
      <c r="C671" s="363"/>
      <c r="D671" s="363"/>
      <c r="E671" s="160"/>
      <c r="F671" s="161" t="s">
        <v>316</v>
      </c>
      <c r="G671" s="160">
        <v>5000</v>
      </c>
      <c r="H671" s="142">
        <v>1.5</v>
      </c>
      <c r="I671" s="143">
        <f>G671*H671</f>
        <v>7500</v>
      </c>
    </row>
    <row r="672" spans="2:13" ht="16.5" customHeight="1" x14ac:dyDescent="0.25">
      <c r="B672" s="362" t="s">
        <v>355</v>
      </c>
      <c r="C672" s="363"/>
      <c r="D672" s="363"/>
      <c r="E672" s="160"/>
      <c r="F672" s="161" t="s">
        <v>317</v>
      </c>
      <c r="G672" s="160">
        <v>90000</v>
      </c>
      <c r="H672" s="142">
        <v>1.5</v>
      </c>
      <c r="I672" s="143">
        <f>G672*H672</f>
        <v>135000</v>
      </c>
    </row>
    <row r="673" spans="2:15" ht="10.5" customHeight="1" thickBot="1" x14ac:dyDescent="0.3">
      <c r="B673" s="371" t="s">
        <v>318</v>
      </c>
      <c r="C673" s="372"/>
      <c r="D673" s="372"/>
      <c r="E673" s="372"/>
      <c r="F673" s="372"/>
      <c r="G673" s="372"/>
      <c r="H673" s="372"/>
      <c r="I673" s="144">
        <f>SUM(I671:I672)</f>
        <v>142500</v>
      </c>
      <c r="N673" s="150"/>
    </row>
    <row r="674" spans="2:15" ht="6" customHeight="1" thickBot="1" x14ac:dyDescent="0.3">
      <c r="B674" s="373"/>
      <c r="C674" s="373"/>
      <c r="D674" s="373"/>
      <c r="E674" s="373"/>
      <c r="F674" s="373"/>
      <c r="G674" s="373"/>
      <c r="H674" s="373"/>
      <c r="I674" s="373"/>
    </row>
    <row r="675" spans="2:15" s="145" customFormat="1" x14ac:dyDescent="0.25">
      <c r="B675" s="380" t="s">
        <v>319</v>
      </c>
      <c r="C675" s="381"/>
      <c r="D675" s="381"/>
      <c r="E675" s="381"/>
      <c r="F675" s="381"/>
      <c r="G675" s="381"/>
      <c r="H675" s="381"/>
      <c r="I675" s="382"/>
    </row>
    <row r="676" spans="2:15" s="145" customFormat="1" ht="15.75" customHeight="1" x14ac:dyDescent="0.25">
      <c r="B676" s="377" t="s">
        <v>310</v>
      </c>
      <c r="C676" s="378"/>
      <c r="D676" s="379"/>
      <c r="E676" s="137"/>
      <c r="F676" s="137" t="s">
        <v>320</v>
      </c>
      <c r="G676" s="137" t="s">
        <v>321</v>
      </c>
      <c r="H676" s="137" t="s">
        <v>322</v>
      </c>
      <c r="I676" s="138" t="s">
        <v>314</v>
      </c>
    </row>
    <row r="677" spans="2:15" ht="72" customHeight="1" x14ac:dyDescent="0.25">
      <c r="B677" s="436" t="s">
        <v>560</v>
      </c>
      <c r="C677" s="437"/>
      <c r="D677" s="438"/>
      <c r="E677" s="163"/>
      <c r="F677" s="161" t="s">
        <v>27</v>
      </c>
      <c r="G677" s="160">
        <f>965500-38000-15000+68000+431993+1126495+1230137+474855-961710-481855-1443350+3146343+582673-1483241-2245775+1196923+3816555-247501+1315423</f>
        <v>7438465</v>
      </c>
      <c r="H677" s="142">
        <v>1</v>
      </c>
      <c r="I677" s="143">
        <f>G677*H677</f>
        <v>7438465</v>
      </c>
    </row>
    <row r="678" spans="2:15" ht="10.5" customHeight="1" thickBot="1" x14ac:dyDescent="0.3">
      <c r="B678" s="371" t="s">
        <v>318</v>
      </c>
      <c r="C678" s="372"/>
      <c r="D678" s="372"/>
      <c r="E678" s="372"/>
      <c r="F678" s="372"/>
      <c r="G678" s="372"/>
      <c r="H678" s="372"/>
      <c r="I678" s="144">
        <f>SUM(I677:I677)</f>
        <v>7438465</v>
      </c>
      <c r="N678" s="150"/>
    </row>
    <row r="679" spans="2:15" ht="6" customHeight="1" thickBot="1" x14ac:dyDescent="0.3">
      <c r="B679" s="373"/>
      <c r="C679" s="373"/>
      <c r="D679" s="373"/>
      <c r="E679" s="373"/>
      <c r="F679" s="373"/>
      <c r="G679" s="373"/>
      <c r="H679" s="373"/>
      <c r="I679" s="373"/>
    </row>
    <row r="680" spans="2:15" s="145" customFormat="1" x14ac:dyDescent="0.25">
      <c r="B680" s="380" t="s">
        <v>323</v>
      </c>
      <c r="C680" s="381"/>
      <c r="D680" s="381"/>
      <c r="E680" s="381"/>
      <c r="F680" s="381"/>
      <c r="G680" s="381"/>
      <c r="H680" s="381"/>
      <c r="I680" s="382"/>
      <c r="L680" s="146"/>
      <c r="M680" s="146"/>
    </row>
    <row r="681" spans="2:15" s="145" customFormat="1" x14ac:dyDescent="0.25">
      <c r="B681" s="377" t="s">
        <v>324</v>
      </c>
      <c r="C681" s="378"/>
      <c r="D681" s="379"/>
      <c r="E681" s="137" t="s">
        <v>325</v>
      </c>
      <c r="F681" s="137" t="s">
        <v>326</v>
      </c>
      <c r="G681" s="137" t="s">
        <v>130</v>
      </c>
      <c r="H681" s="137" t="s">
        <v>327</v>
      </c>
      <c r="I681" s="138" t="s">
        <v>314</v>
      </c>
      <c r="K681" s="260"/>
      <c r="N681" s="183"/>
      <c r="O681" s="148"/>
    </row>
    <row r="682" spans="2:15" ht="11.25" customHeight="1" x14ac:dyDescent="0.25">
      <c r="B682" s="362" t="s">
        <v>711</v>
      </c>
      <c r="C682" s="363"/>
      <c r="D682" s="363"/>
      <c r="E682" s="170">
        <v>1</v>
      </c>
      <c r="F682" s="164"/>
      <c r="G682" s="161"/>
      <c r="H682" s="162">
        <v>65000</v>
      </c>
      <c r="I682" s="143">
        <f>H682*E682</f>
        <v>65000</v>
      </c>
    </row>
    <row r="683" spans="2:15" ht="10.5" customHeight="1" thickBot="1" x14ac:dyDescent="0.3">
      <c r="B683" s="371" t="s">
        <v>318</v>
      </c>
      <c r="C683" s="372"/>
      <c r="D683" s="372"/>
      <c r="E683" s="372"/>
      <c r="F683" s="372"/>
      <c r="G683" s="372"/>
      <c r="H683" s="372"/>
      <c r="I683" s="144">
        <f>SUM(I682:I682)</f>
        <v>65000</v>
      </c>
      <c r="N683" s="150"/>
    </row>
    <row r="684" spans="2:15" ht="6" customHeight="1" thickBot="1" x14ac:dyDescent="0.3">
      <c r="B684" s="373"/>
      <c r="C684" s="373"/>
      <c r="D684" s="373"/>
      <c r="E684" s="373"/>
      <c r="F684" s="373"/>
      <c r="G684" s="373"/>
      <c r="H684" s="373"/>
      <c r="I684" s="373"/>
    </row>
    <row r="685" spans="2:15" s="145" customFormat="1" ht="20.100000000000001" customHeight="1" x14ac:dyDescent="0.25">
      <c r="B685" s="380" t="s">
        <v>328</v>
      </c>
      <c r="C685" s="381"/>
      <c r="D685" s="381"/>
      <c r="E685" s="381"/>
      <c r="F685" s="381"/>
      <c r="G685" s="381"/>
      <c r="H685" s="381"/>
      <c r="I685" s="382"/>
      <c r="N685" s="148"/>
      <c r="O685" s="149"/>
    </row>
    <row r="686" spans="2:15" s="145" customFormat="1" ht="20.100000000000001" customHeight="1" x14ac:dyDescent="0.25">
      <c r="B686" s="377" t="s">
        <v>329</v>
      </c>
      <c r="C686" s="379"/>
      <c r="D686" s="137" t="s">
        <v>322</v>
      </c>
      <c r="E686" s="137" t="s">
        <v>330</v>
      </c>
      <c r="F686" s="137" t="s">
        <v>331</v>
      </c>
      <c r="G686" s="137" t="s">
        <v>332</v>
      </c>
      <c r="H686" s="137" t="s">
        <v>313</v>
      </c>
      <c r="I686" s="138" t="s">
        <v>314</v>
      </c>
      <c r="O686" s="179"/>
    </row>
    <row r="687" spans="2:15" s="151" customFormat="1" ht="9.75" customHeight="1" x14ac:dyDescent="0.25">
      <c r="B687" s="367" t="s">
        <v>356</v>
      </c>
      <c r="C687" s="368"/>
      <c r="D687" s="180">
        <v>1</v>
      </c>
      <c r="E687" s="141">
        <v>140000</v>
      </c>
      <c r="F687" s="141">
        <f>+E687*0.8</f>
        <v>112000</v>
      </c>
      <c r="G687" s="178">
        <f>D687*E687+F687*D687</f>
        <v>252000</v>
      </c>
      <c r="H687" s="184">
        <v>0.5</v>
      </c>
      <c r="I687" s="143">
        <f>+G687/H687</f>
        <v>504000</v>
      </c>
      <c r="J687" s="145"/>
      <c r="K687" s="147">
        <f>+K690-I692</f>
        <v>0</v>
      </c>
    </row>
    <row r="688" spans="2:15" s="151" customFormat="1" ht="11.25" customHeight="1" x14ac:dyDescent="0.25">
      <c r="B688" s="367" t="s">
        <v>374</v>
      </c>
      <c r="C688" s="368"/>
      <c r="D688" s="180">
        <v>1</v>
      </c>
      <c r="E688" s="141">
        <v>80000</v>
      </c>
      <c r="F688" s="141">
        <f>+E688*0.8</f>
        <v>64000</v>
      </c>
      <c r="G688" s="178">
        <f>D688*E688+F688*D688</f>
        <v>144000</v>
      </c>
      <c r="H688" s="184">
        <f>+H687</f>
        <v>0.5</v>
      </c>
      <c r="I688" s="143">
        <f>+G688/H688</f>
        <v>288000</v>
      </c>
      <c r="J688" s="145"/>
      <c r="K688" s="147"/>
      <c r="L688" s="179"/>
      <c r="M688" s="179"/>
    </row>
    <row r="689" spans="2:14" s="145" customFormat="1" ht="10.5" customHeight="1" x14ac:dyDescent="0.25">
      <c r="B689" s="367" t="s">
        <v>333</v>
      </c>
      <c r="C689" s="368"/>
      <c r="D689" s="180">
        <v>2</v>
      </c>
      <c r="E689" s="141">
        <v>55000</v>
      </c>
      <c r="F689" s="141">
        <f>+E689*0.8</f>
        <v>44000</v>
      </c>
      <c r="G689" s="178">
        <f>D689*E689+F689*D689</f>
        <v>198000</v>
      </c>
      <c r="H689" s="184">
        <f>+H687</f>
        <v>0.5</v>
      </c>
      <c r="I689" s="143">
        <f>+G689/H689</f>
        <v>396000</v>
      </c>
      <c r="K689" s="147"/>
    </row>
    <row r="690" spans="2:14" ht="10.5" customHeight="1" thickBot="1" x14ac:dyDescent="0.3">
      <c r="B690" s="371" t="s">
        <v>318</v>
      </c>
      <c r="C690" s="372"/>
      <c r="D690" s="372"/>
      <c r="E690" s="372"/>
      <c r="F690" s="372"/>
      <c r="G690" s="372"/>
      <c r="H690" s="372"/>
      <c r="I690" s="144">
        <f>SUM(I687:I689)</f>
        <v>1188000</v>
      </c>
      <c r="K690" s="281">
        <v>8833965</v>
      </c>
      <c r="N690" s="150"/>
    </row>
    <row r="691" spans="2:14" ht="6" customHeight="1" thickBot="1" x14ac:dyDescent="0.3">
      <c r="B691" s="373"/>
      <c r="C691" s="373"/>
      <c r="D691" s="373"/>
      <c r="E691" s="373"/>
      <c r="F691" s="373"/>
      <c r="G691" s="373"/>
      <c r="H691" s="373"/>
      <c r="I691" s="373"/>
    </row>
    <row r="692" spans="2:14" ht="10.5" customHeight="1" thickBot="1" x14ac:dyDescent="0.3">
      <c r="B692" s="374" t="s">
        <v>334</v>
      </c>
      <c r="C692" s="375"/>
      <c r="D692" s="375"/>
      <c r="E692" s="375"/>
      <c r="F692" s="375"/>
      <c r="G692" s="375"/>
      <c r="H692" s="376"/>
      <c r="I692" s="152">
        <f>ROUND(+I673+I678+I683+I690,0)</f>
        <v>8833965</v>
      </c>
      <c r="J692" s="281"/>
      <c r="K692" s="169"/>
      <c r="L692" s="181"/>
      <c r="M692" s="181"/>
      <c r="N692" s="153"/>
    </row>
    <row r="693" spans="2:14" ht="6" customHeight="1" thickBot="1" x14ac:dyDescent="0.3">
      <c r="B693" s="373"/>
      <c r="C693" s="373"/>
      <c r="D693" s="373"/>
      <c r="E693" s="373"/>
      <c r="F693" s="373"/>
      <c r="G693" s="373"/>
      <c r="H693" s="373"/>
      <c r="I693" s="373"/>
    </row>
    <row r="694" spans="2:14" ht="8.25" customHeight="1" x14ac:dyDescent="0.25">
      <c r="B694" s="433" t="s">
        <v>335</v>
      </c>
      <c r="C694" s="417"/>
      <c r="D694" s="418"/>
      <c r="E694" s="418"/>
      <c r="F694" s="419"/>
      <c r="G694" s="369" t="s">
        <v>336</v>
      </c>
      <c r="H694" s="370"/>
      <c r="I694" s="370"/>
    </row>
    <row r="695" spans="2:14" ht="33.75" customHeight="1" x14ac:dyDescent="0.25">
      <c r="B695" s="434"/>
      <c r="C695" s="420"/>
      <c r="D695" s="421"/>
      <c r="E695" s="421"/>
      <c r="F695" s="422"/>
      <c r="G695" s="430" t="s">
        <v>337</v>
      </c>
      <c r="H695" s="431"/>
      <c r="I695" s="431"/>
      <c r="L695" s="181"/>
      <c r="M695" s="181"/>
      <c r="N695" s="179"/>
    </row>
    <row r="696" spans="2:14" ht="13.5" customHeight="1" x14ac:dyDescent="0.25">
      <c r="B696" s="434"/>
      <c r="C696" s="420"/>
      <c r="D696" s="421"/>
      <c r="E696" s="421"/>
      <c r="F696" s="422"/>
      <c r="G696" s="154" t="s">
        <v>92</v>
      </c>
      <c r="H696" s="432" t="s">
        <v>93</v>
      </c>
      <c r="I696" s="432"/>
    </row>
    <row r="697" spans="2:14" ht="16.5" customHeight="1" x14ac:dyDescent="0.25">
      <c r="B697" s="435"/>
      <c r="C697" s="420"/>
      <c r="D697" s="421"/>
      <c r="E697" s="421"/>
      <c r="F697" s="422"/>
      <c r="G697" s="155" t="s">
        <v>94</v>
      </c>
      <c r="H697" s="156" t="s">
        <v>95</v>
      </c>
      <c r="I697" s="157" t="s">
        <v>96</v>
      </c>
    </row>
    <row r="698" spans="2:14" x14ac:dyDescent="0.25">
      <c r="B698" s="268" t="s">
        <v>18</v>
      </c>
      <c r="C698" s="427"/>
      <c r="D698" s="428"/>
      <c r="E698" s="428"/>
      <c r="F698" s="429"/>
      <c r="G698" s="155" t="s">
        <v>98</v>
      </c>
      <c r="H698" s="157" t="s">
        <v>99</v>
      </c>
      <c r="I698" s="157" t="s">
        <v>100</v>
      </c>
    </row>
    <row r="699" spans="2:14" x14ac:dyDescent="0.25">
      <c r="B699" s="269" t="s">
        <v>97</v>
      </c>
      <c r="C699" s="427"/>
      <c r="D699" s="428"/>
      <c r="E699" s="428"/>
      <c r="F699" s="429"/>
      <c r="G699" s="154" t="s">
        <v>338</v>
      </c>
      <c r="H699" s="426"/>
      <c r="I699" s="426"/>
    </row>
    <row r="700" spans="2:14" ht="15.75" thickBot="1" x14ac:dyDescent="0.3">
      <c r="B700" s="270" t="s">
        <v>101</v>
      </c>
      <c r="C700" s="423"/>
      <c r="D700" s="424"/>
      <c r="E700" s="424"/>
      <c r="F700" s="425"/>
      <c r="G700" s="154" t="s">
        <v>102</v>
      </c>
      <c r="H700" s="426" t="s">
        <v>103</v>
      </c>
      <c r="I700" s="426"/>
    </row>
    <row r="701" spans="2:14" ht="45" customHeight="1" thickBot="1" x14ac:dyDescent="0.3">
      <c r="B701" s="401"/>
      <c r="C701" s="402"/>
      <c r="D701" s="402"/>
      <c r="E701" s="402"/>
      <c r="F701" s="403" t="s">
        <v>0</v>
      </c>
      <c r="G701" s="403"/>
      <c r="H701" s="403"/>
      <c r="I701" s="404"/>
    </row>
    <row r="702" spans="2:14" ht="6" customHeight="1" thickBot="1" x14ac:dyDescent="0.3">
      <c r="B702" s="373"/>
      <c r="C702" s="373"/>
      <c r="D702" s="373"/>
      <c r="E702" s="373"/>
      <c r="F702" s="373"/>
      <c r="G702" s="373"/>
      <c r="H702" s="373"/>
      <c r="I702" s="373"/>
    </row>
    <row r="703" spans="2:14" ht="10.5" customHeight="1" x14ac:dyDescent="0.25">
      <c r="B703" s="405" t="s">
        <v>294</v>
      </c>
      <c r="C703" s="406"/>
      <c r="D703" s="407" t="s">
        <v>295</v>
      </c>
      <c r="E703" s="409" t="s">
        <v>296</v>
      </c>
      <c r="F703" s="410"/>
      <c r="G703" s="410"/>
      <c r="H703" s="410"/>
      <c r="I703" s="411"/>
    </row>
    <row r="704" spans="2:14" ht="9" customHeight="1" thickBot="1" x14ac:dyDescent="0.3">
      <c r="B704" s="415"/>
      <c r="C704" s="416"/>
      <c r="D704" s="408"/>
      <c r="E704" s="412"/>
      <c r="F704" s="413"/>
      <c r="G704" s="413"/>
      <c r="H704" s="413"/>
      <c r="I704" s="414"/>
    </row>
    <row r="705" spans="2:14" ht="6" customHeight="1" thickBot="1" x14ac:dyDescent="0.3">
      <c r="B705" s="373"/>
      <c r="C705" s="373"/>
      <c r="D705" s="373"/>
      <c r="E705" s="373"/>
      <c r="F705" s="373"/>
      <c r="G705" s="373"/>
      <c r="H705" s="373"/>
      <c r="I705" s="373"/>
    </row>
    <row r="706" spans="2:14" ht="17.25" customHeight="1" thickBot="1" x14ac:dyDescent="0.3">
      <c r="B706" s="390" t="s">
        <v>297</v>
      </c>
      <c r="C706" s="391"/>
      <c r="D706" s="392"/>
      <c r="E706" s="393"/>
      <c r="F706" s="393"/>
      <c r="G706" s="394"/>
      <c r="H706" s="127" t="s">
        <v>298</v>
      </c>
      <c r="I706" s="128"/>
    </row>
    <row r="707" spans="2:14" ht="6" customHeight="1" thickBot="1" x14ac:dyDescent="0.3">
      <c r="B707" s="373"/>
      <c r="C707" s="373"/>
      <c r="D707" s="373"/>
      <c r="E707" s="373"/>
      <c r="F707" s="373"/>
      <c r="G707" s="373"/>
      <c r="H707" s="373"/>
      <c r="I707" s="373"/>
    </row>
    <row r="708" spans="2:14" ht="19.5" customHeight="1" x14ac:dyDescent="0.25">
      <c r="B708" s="261" t="s">
        <v>299</v>
      </c>
      <c r="C708" s="129" t="s">
        <v>300</v>
      </c>
      <c r="D708" s="130" t="s">
        <v>301</v>
      </c>
      <c r="E708" s="130" t="s">
        <v>302</v>
      </c>
      <c r="F708" s="398" t="s">
        <v>303</v>
      </c>
      <c r="G708" s="399"/>
      <c r="H708" s="400"/>
      <c r="I708" s="131" t="s">
        <v>304</v>
      </c>
    </row>
    <row r="709" spans="2:14" ht="11.25" customHeight="1" x14ac:dyDescent="0.25">
      <c r="B709" s="262"/>
      <c r="C709" s="132"/>
      <c r="D709" s="132" t="s">
        <v>305</v>
      </c>
      <c r="E709" s="132" t="s">
        <v>306</v>
      </c>
      <c r="F709" s="395" t="s">
        <v>339</v>
      </c>
      <c r="G709" s="396"/>
      <c r="H709" s="397"/>
      <c r="I709" s="133"/>
    </row>
    <row r="710" spans="2:14" ht="28.5" customHeight="1" x14ac:dyDescent="0.25">
      <c r="B710" s="263" t="s">
        <v>307</v>
      </c>
      <c r="C710" s="383" t="s">
        <v>414</v>
      </c>
      <c r="D710" s="384"/>
      <c r="E710" s="384"/>
      <c r="F710" s="384"/>
      <c r="G710" s="384"/>
      <c r="H710" s="384"/>
      <c r="I710" s="385"/>
    </row>
    <row r="711" spans="2:14" ht="10.5" customHeight="1" x14ac:dyDescent="0.25">
      <c r="B711" s="264" t="s">
        <v>129</v>
      </c>
      <c r="C711" s="388" t="s">
        <v>308</v>
      </c>
      <c r="D711" s="389"/>
      <c r="E711" s="389"/>
      <c r="F711" s="389"/>
      <c r="G711" s="389"/>
      <c r="H711" s="389"/>
      <c r="I711" s="134" t="s">
        <v>130</v>
      </c>
    </row>
    <row r="712" spans="2:14" ht="50.25" customHeight="1" thickBot="1" x14ac:dyDescent="0.3">
      <c r="B712" s="265">
        <v>5.2799999999999967</v>
      </c>
      <c r="C712" s="386" t="s">
        <v>561</v>
      </c>
      <c r="D712" s="387"/>
      <c r="E712" s="387"/>
      <c r="F712" s="387"/>
      <c r="G712" s="387"/>
      <c r="H712" s="387"/>
      <c r="I712" s="135" t="s">
        <v>27</v>
      </c>
    </row>
    <row r="713" spans="2:14" ht="6" customHeight="1" thickBot="1" x14ac:dyDescent="0.3">
      <c r="B713" s="373"/>
      <c r="C713" s="373"/>
      <c r="D713" s="373"/>
      <c r="E713" s="373"/>
      <c r="F713" s="373"/>
      <c r="G713" s="373"/>
      <c r="H713" s="373"/>
      <c r="I713" s="373"/>
    </row>
    <row r="714" spans="2:14" x14ac:dyDescent="0.25">
      <c r="B714" s="380" t="s">
        <v>309</v>
      </c>
      <c r="C714" s="381"/>
      <c r="D714" s="381"/>
      <c r="E714" s="381"/>
      <c r="F714" s="381"/>
      <c r="G714" s="381"/>
      <c r="H714" s="381"/>
      <c r="I714" s="382"/>
      <c r="K714" s="182"/>
    </row>
    <row r="715" spans="2:14" ht="11.25" customHeight="1" x14ac:dyDescent="0.25">
      <c r="B715" s="377" t="s">
        <v>310</v>
      </c>
      <c r="C715" s="378"/>
      <c r="D715" s="379"/>
      <c r="E715" s="136"/>
      <c r="F715" s="137" t="s">
        <v>311</v>
      </c>
      <c r="G715" s="137" t="s">
        <v>312</v>
      </c>
      <c r="H715" s="137" t="s">
        <v>313</v>
      </c>
      <c r="I715" s="138" t="s">
        <v>314</v>
      </c>
      <c r="L715" s="139"/>
      <c r="M715" s="139"/>
    </row>
    <row r="716" spans="2:14" ht="11.25" customHeight="1" x14ac:dyDescent="0.25">
      <c r="B716" s="362" t="s">
        <v>315</v>
      </c>
      <c r="C716" s="363"/>
      <c r="D716" s="363"/>
      <c r="E716" s="160"/>
      <c r="F716" s="161" t="s">
        <v>316</v>
      </c>
      <c r="G716" s="160">
        <v>5000</v>
      </c>
      <c r="H716" s="142">
        <v>0.8</v>
      </c>
      <c r="I716" s="143">
        <f>G716*H716</f>
        <v>4000</v>
      </c>
    </row>
    <row r="717" spans="2:14" ht="16.5" customHeight="1" x14ac:dyDescent="0.25">
      <c r="B717" s="362" t="s">
        <v>355</v>
      </c>
      <c r="C717" s="363"/>
      <c r="D717" s="363"/>
      <c r="E717" s="160"/>
      <c r="F717" s="161" t="s">
        <v>317</v>
      </c>
      <c r="G717" s="160">
        <v>90000</v>
      </c>
      <c r="H717" s="142">
        <v>0.8</v>
      </c>
      <c r="I717" s="143">
        <f>G717*H717</f>
        <v>72000</v>
      </c>
    </row>
    <row r="718" spans="2:14" ht="10.5" customHeight="1" thickBot="1" x14ac:dyDescent="0.3">
      <c r="B718" s="371" t="s">
        <v>318</v>
      </c>
      <c r="C718" s="372"/>
      <c r="D718" s="372"/>
      <c r="E718" s="372"/>
      <c r="F718" s="372"/>
      <c r="G718" s="372"/>
      <c r="H718" s="372"/>
      <c r="I718" s="144">
        <f>SUM(I716:I717)</f>
        <v>76000</v>
      </c>
      <c r="N718" s="150"/>
    </row>
    <row r="719" spans="2:14" ht="6" customHeight="1" thickBot="1" x14ac:dyDescent="0.3">
      <c r="B719" s="373"/>
      <c r="C719" s="373"/>
      <c r="D719" s="373"/>
      <c r="E719" s="373"/>
      <c r="F719" s="373"/>
      <c r="G719" s="373"/>
      <c r="H719" s="373"/>
      <c r="I719" s="373"/>
    </row>
    <row r="720" spans="2:14" s="145" customFormat="1" x14ac:dyDescent="0.25">
      <c r="B720" s="380" t="s">
        <v>319</v>
      </c>
      <c r="C720" s="381"/>
      <c r="D720" s="381"/>
      <c r="E720" s="381"/>
      <c r="F720" s="381"/>
      <c r="G720" s="381"/>
      <c r="H720" s="381"/>
      <c r="I720" s="382"/>
    </row>
    <row r="721" spans="2:15" s="145" customFormat="1" ht="15.75" customHeight="1" x14ac:dyDescent="0.25">
      <c r="B721" s="377" t="s">
        <v>310</v>
      </c>
      <c r="C721" s="378"/>
      <c r="D721" s="379"/>
      <c r="E721" s="137"/>
      <c r="F721" s="137" t="s">
        <v>320</v>
      </c>
      <c r="G721" s="137" t="s">
        <v>321</v>
      </c>
      <c r="H721" s="137" t="s">
        <v>322</v>
      </c>
      <c r="I721" s="138" t="s">
        <v>314</v>
      </c>
    </row>
    <row r="722" spans="2:15" ht="63.75" customHeight="1" x14ac:dyDescent="0.25">
      <c r="B722" s="436" t="s">
        <v>561</v>
      </c>
      <c r="C722" s="437"/>
      <c r="D722" s="438"/>
      <c r="E722" s="163"/>
      <c r="F722" s="161" t="s">
        <v>27</v>
      </c>
      <c r="G722" s="160">
        <f>965500-38000-15000+68000+431993+1126495+1230137+474855-961710-481855-1443350+3146343+582673-1483241-2245775+1196923+3816555-247501+1315423-6073843</f>
        <v>1364622</v>
      </c>
      <c r="H722" s="142">
        <v>1</v>
      </c>
      <c r="I722" s="143">
        <f>G722*H722</f>
        <v>1364622</v>
      </c>
    </row>
    <row r="723" spans="2:15" ht="10.5" customHeight="1" thickBot="1" x14ac:dyDescent="0.3">
      <c r="B723" s="371" t="s">
        <v>318</v>
      </c>
      <c r="C723" s="372"/>
      <c r="D723" s="372"/>
      <c r="E723" s="372"/>
      <c r="F723" s="372"/>
      <c r="G723" s="372"/>
      <c r="H723" s="372"/>
      <c r="I723" s="144">
        <f>SUM(I722:I722)</f>
        <v>1364622</v>
      </c>
      <c r="N723" s="150"/>
    </row>
    <row r="724" spans="2:15" ht="6" customHeight="1" thickBot="1" x14ac:dyDescent="0.3">
      <c r="B724" s="373"/>
      <c r="C724" s="373"/>
      <c r="D724" s="373"/>
      <c r="E724" s="373"/>
      <c r="F724" s="373"/>
      <c r="G724" s="373"/>
      <c r="H724" s="373"/>
      <c r="I724" s="373"/>
    </row>
    <row r="725" spans="2:15" s="145" customFormat="1" x14ac:dyDescent="0.25">
      <c r="B725" s="380" t="s">
        <v>323</v>
      </c>
      <c r="C725" s="381"/>
      <c r="D725" s="381"/>
      <c r="E725" s="381"/>
      <c r="F725" s="381"/>
      <c r="G725" s="381"/>
      <c r="H725" s="381"/>
      <c r="I725" s="382"/>
      <c r="L725" s="146"/>
      <c r="M725" s="146"/>
    </row>
    <row r="726" spans="2:15" s="145" customFormat="1" x14ac:dyDescent="0.25">
      <c r="B726" s="377" t="s">
        <v>324</v>
      </c>
      <c r="C726" s="378"/>
      <c r="D726" s="379"/>
      <c r="E726" s="137" t="s">
        <v>325</v>
      </c>
      <c r="F726" s="137" t="s">
        <v>326</v>
      </c>
      <c r="G726" s="137" t="s">
        <v>130</v>
      </c>
      <c r="H726" s="137" t="s">
        <v>327</v>
      </c>
      <c r="I726" s="138" t="s">
        <v>314</v>
      </c>
      <c r="K726" s="260"/>
      <c r="N726" s="183"/>
      <c r="O726" s="148"/>
    </row>
    <row r="727" spans="2:15" ht="11.25" customHeight="1" x14ac:dyDescent="0.25">
      <c r="B727" s="362" t="s">
        <v>711</v>
      </c>
      <c r="C727" s="363"/>
      <c r="D727" s="363"/>
      <c r="E727" s="170">
        <v>1</v>
      </c>
      <c r="F727" s="164"/>
      <c r="G727" s="161"/>
      <c r="H727" s="162">
        <v>20000</v>
      </c>
      <c r="I727" s="143">
        <f>H727*E727</f>
        <v>20000</v>
      </c>
    </row>
    <row r="728" spans="2:15" ht="10.5" customHeight="1" thickBot="1" x14ac:dyDescent="0.3">
      <c r="B728" s="371" t="s">
        <v>318</v>
      </c>
      <c r="C728" s="372"/>
      <c r="D728" s="372"/>
      <c r="E728" s="372"/>
      <c r="F728" s="372"/>
      <c r="G728" s="372"/>
      <c r="H728" s="372"/>
      <c r="I728" s="144">
        <f>SUM(I727:I727)</f>
        <v>20000</v>
      </c>
      <c r="N728" s="150"/>
    </row>
    <row r="729" spans="2:15" ht="6" customHeight="1" thickBot="1" x14ac:dyDescent="0.3">
      <c r="B729" s="373"/>
      <c r="C729" s="373"/>
      <c r="D729" s="373"/>
      <c r="E729" s="373"/>
      <c r="F729" s="373"/>
      <c r="G729" s="373"/>
      <c r="H729" s="373"/>
      <c r="I729" s="373"/>
    </row>
    <row r="730" spans="2:15" s="145" customFormat="1" ht="20.100000000000001" customHeight="1" x14ac:dyDescent="0.25">
      <c r="B730" s="380" t="s">
        <v>328</v>
      </c>
      <c r="C730" s="381"/>
      <c r="D730" s="381"/>
      <c r="E730" s="381"/>
      <c r="F730" s="381"/>
      <c r="G730" s="381"/>
      <c r="H730" s="381"/>
      <c r="I730" s="382"/>
      <c r="N730" s="148"/>
      <c r="O730" s="149"/>
    </row>
    <row r="731" spans="2:15" s="145" customFormat="1" ht="20.100000000000001" customHeight="1" x14ac:dyDescent="0.25">
      <c r="B731" s="377" t="s">
        <v>329</v>
      </c>
      <c r="C731" s="379"/>
      <c r="D731" s="137" t="s">
        <v>322</v>
      </c>
      <c r="E731" s="137" t="s">
        <v>330</v>
      </c>
      <c r="F731" s="137" t="s">
        <v>331</v>
      </c>
      <c r="G731" s="137" t="s">
        <v>332</v>
      </c>
      <c r="H731" s="137" t="s">
        <v>313</v>
      </c>
      <c r="I731" s="138" t="s">
        <v>314</v>
      </c>
      <c r="O731" s="179"/>
    </row>
    <row r="732" spans="2:15" s="151" customFormat="1" ht="9.75" customHeight="1" x14ac:dyDescent="0.25">
      <c r="B732" s="367" t="s">
        <v>356</v>
      </c>
      <c r="C732" s="368"/>
      <c r="D732" s="180">
        <v>1</v>
      </c>
      <c r="E732" s="141">
        <v>140000</v>
      </c>
      <c r="F732" s="141">
        <f>+E732*0.8</f>
        <v>112000</v>
      </c>
      <c r="G732" s="178">
        <f>D732*E732+F732*D732</f>
        <v>252000</v>
      </c>
      <c r="H732" s="184">
        <v>3</v>
      </c>
      <c r="I732" s="143">
        <f>+G732/H732</f>
        <v>84000</v>
      </c>
      <c r="J732" s="145"/>
      <c r="K732" s="147">
        <f>+K735-I737</f>
        <v>0</v>
      </c>
    </row>
    <row r="733" spans="2:15" s="151" customFormat="1" ht="11.25" customHeight="1" x14ac:dyDescent="0.25">
      <c r="B733" s="367" t="s">
        <v>374</v>
      </c>
      <c r="C733" s="368"/>
      <c r="D733" s="180">
        <v>1</v>
      </c>
      <c r="E733" s="141">
        <v>80000</v>
      </c>
      <c r="F733" s="141">
        <f>+E733*0.8</f>
        <v>64000</v>
      </c>
      <c r="G733" s="178">
        <f>D733*E733+F733*D733</f>
        <v>144000</v>
      </c>
      <c r="H733" s="184">
        <f>+H732</f>
        <v>3</v>
      </c>
      <c r="I733" s="143">
        <f>+G733/H733</f>
        <v>48000</v>
      </c>
      <c r="J733" s="145"/>
      <c r="K733" s="147"/>
      <c r="L733" s="179"/>
      <c r="M733" s="179"/>
    </row>
    <row r="734" spans="2:15" s="145" customFormat="1" ht="10.5" customHeight="1" x14ac:dyDescent="0.25">
      <c r="B734" s="367" t="s">
        <v>333</v>
      </c>
      <c r="C734" s="368"/>
      <c r="D734" s="180">
        <v>2</v>
      </c>
      <c r="E734" s="141">
        <v>55000</v>
      </c>
      <c r="F734" s="141">
        <f>+E734*0.8</f>
        <v>44000</v>
      </c>
      <c r="G734" s="178">
        <f>D734*E734+F734*D734</f>
        <v>198000</v>
      </c>
      <c r="H734" s="184">
        <f>+H732</f>
        <v>3</v>
      </c>
      <c r="I734" s="143">
        <f>+G734/H734</f>
        <v>66000</v>
      </c>
      <c r="K734" s="147"/>
    </row>
    <row r="735" spans="2:15" ht="10.5" customHeight="1" thickBot="1" x14ac:dyDescent="0.3">
      <c r="B735" s="371" t="s">
        <v>318</v>
      </c>
      <c r="C735" s="372"/>
      <c r="D735" s="372"/>
      <c r="E735" s="372"/>
      <c r="F735" s="372"/>
      <c r="G735" s="372"/>
      <c r="H735" s="372"/>
      <c r="I735" s="144">
        <f>SUM(I732:I734)</f>
        <v>198000</v>
      </c>
      <c r="K735" s="281">
        <v>1658622</v>
      </c>
      <c r="N735" s="150"/>
    </row>
    <row r="736" spans="2:15" ht="6" customHeight="1" thickBot="1" x14ac:dyDescent="0.3">
      <c r="B736" s="373"/>
      <c r="C736" s="373"/>
      <c r="D736" s="373"/>
      <c r="E736" s="373"/>
      <c r="F736" s="373"/>
      <c r="G736" s="373"/>
      <c r="H736" s="373"/>
      <c r="I736" s="373"/>
    </row>
    <row r="737" spans="2:14" ht="10.5" customHeight="1" thickBot="1" x14ac:dyDescent="0.3">
      <c r="B737" s="374" t="s">
        <v>334</v>
      </c>
      <c r="C737" s="375"/>
      <c r="D737" s="375"/>
      <c r="E737" s="375"/>
      <c r="F737" s="375"/>
      <c r="G737" s="375"/>
      <c r="H737" s="376"/>
      <c r="I737" s="152">
        <f>ROUND(+I718+I723+I728+I735,0)</f>
        <v>1658622</v>
      </c>
      <c r="J737" s="281"/>
      <c r="K737" s="169"/>
      <c r="L737" s="181"/>
      <c r="M737" s="181"/>
      <c r="N737" s="153"/>
    </row>
    <row r="738" spans="2:14" ht="6" customHeight="1" thickBot="1" x14ac:dyDescent="0.3">
      <c r="B738" s="373"/>
      <c r="C738" s="373"/>
      <c r="D738" s="373"/>
      <c r="E738" s="373"/>
      <c r="F738" s="373"/>
      <c r="G738" s="373"/>
      <c r="H738" s="373"/>
      <c r="I738" s="373"/>
    </row>
    <row r="739" spans="2:14" ht="8.25" customHeight="1" x14ac:dyDescent="0.25">
      <c r="B739" s="433" t="s">
        <v>335</v>
      </c>
      <c r="C739" s="417"/>
      <c r="D739" s="418"/>
      <c r="E739" s="418"/>
      <c r="F739" s="419"/>
      <c r="G739" s="369" t="s">
        <v>336</v>
      </c>
      <c r="H739" s="370"/>
      <c r="I739" s="370"/>
    </row>
    <row r="740" spans="2:14" ht="33.75" customHeight="1" x14ac:dyDescent="0.25">
      <c r="B740" s="434"/>
      <c r="C740" s="420"/>
      <c r="D740" s="421"/>
      <c r="E740" s="421"/>
      <c r="F740" s="422"/>
      <c r="G740" s="430" t="s">
        <v>337</v>
      </c>
      <c r="H740" s="431"/>
      <c r="I740" s="431"/>
      <c r="L740" s="181"/>
      <c r="M740" s="181"/>
      <c r="N740" s="179"/>
    </row>
    <row r="741" spans="2:14" ht="13.5" customHeight="1" x14ac:dyDescent="0.25">
      <c r="B741" s="434"/>
      <c r="C741" s="420"/>
      <c r="D741" s="421"/>
      <c r="E741" s="421"/>
      <c r="F741" s="422"/>
      <c r="G741" s="154" t="s">
        <v>92</v>
      </c>
      <c r="H741" s="432" t="s">
        <v>93</v>
      </c>
      <c r="I741" s="432"/>
    </row>
    <row r="742" spans="2:14" ht="16.5" customHeight="1" x14ac:dyDescent="0.25">
      <c r="B742" s="435"/>
      <c r="C742" s="420"/>
      <c r="D742" s="421"/>
      <c r="E742" s="421"/>
      <c r="F742" s="422"/>
      <c r="G742" s="155" t="s">
        <v>94</v>
      </c>
      <c r="H742" s="156" t="s">
        <v>95</v>
      </c>
      <c r="I742" s="157" t="s">
        <v>96</v>
      </c>
    </row>
    <row r="743" spans="2:14" x14ac:dyDescent="0.25">
      <c r="B743" s="268" t="s">
        <v>18</v>
      </c>
      <c r="C743" s="427"/>
      <c r="D743" s="428"/>
      <c r="E743" s="428"/>
      <c r="F743" s="429"/>
      <c r="G743" s="155" t="s">
        <v>98</v>
      </c>
      <c r="H743" s="157" t="s">
        <v>99</v>
      </c>
      <c r="I743" s="157" t="s">
        <v>100</v>
      </c>
    </row>
    <row r="744" spans="2:14" x14ac:dyDescent="0.25">
      <c r="B744" s="269" t="s">
        <v>97</v>
      </c>
      <c r="C744" s="427"/>
      <c r="D744" s="428"/>
      <c r="E744" s="428"/>
      <c r="F744" s="429"/>
      <c r="G744" s="154" t="s">
        <v>338</v>
      </c>
      <c r="H744" s="426"/>
      <c r="I744" s="426"/>
    </row>
    <row r="745" spans="2:14" ht="15.75" thickBot="1" x14ac:dyDescent="0.3">
      <c r="B745" s="270" t="s">
        <v>101</v>
      </c>
      <c r="C745" s="423"/>
      <c r="D745" s="424"/>
      <c r="E745" s="424"/>
      <c r="F745" s="425"/>
      <c r="G745" s="154" t="s">
        <v>102</v>
      </c>
      <c r="H745" s="426" t="s">
        <v>103</v>
      </c>
      <c r="I745" s="426"/>
    </row>
    <row r="746" spans="2:14" ht="45" customHeight="1" thickBot="1" x14ac:dyDescent="0.3">
      <c r="B746" s="401"/>
      <c r="C746" s="402"/>
      <c r="D746" s="402"/>
      <c r="E746" s="402"/>
      <c r="F746" s="403" t="s">
        <v>0</v>
      </c>
      <c r="G746" s="403"/>
      <c r="H746" s="403"/>
      <c r="I746" s="404"/>
    </row>
    <row r="747" spans="2:14" ht="6" customHeight="1" thickBot="1" x14ac:dyDescent="0.3">
      <c r="B747" s="373"/>
      <c r="C747" s="373"/>
      <c r="D747" s="373"/>
      <c r="E747" s="373"/>
      <c r="F747" s="373"/>
      <c r="G747" s="373"/>
      <c r="H747" s="373"/>
      <c r="I747" s="373"/>
    </row>
    <row r="748" spans="2:14" ht="10.5" customHeight="1" x14ac:dyDescent="0.25">
      <c r="B748" s="405" t="s">
        <v>294</v>
      </c>
      <c r="C748" s="406"/>
      <c r="D748" s="407" t="s">
        <v>295</v>
      </c>
      <c r="E748" s="409" t="s">
        <v>296</v>
      </c>
      <c r="F748" s="410"/>
      <c r="G748" s="410"/>
      <c r="H748" s="410"/>
      <c r="I748" s="411"/>
    </row>
    <row r="749" spans="2:14" ht="9" customHeight="1" thickBot="1" x14ac:dyDescent="0.3">
      <c r="B749" s="415"/>
      <c r="C749" s="416"/>
      <c r="D749" s="408"/>
      <c r="E749" s="412"/>
      <c r="F749" s="413"/>
      <c r="G749" s="413"/>
      <c r="H749" s="413"/>
      <c r="I749" s="414"/>
    </row>
    <row r="750" spans="2:14" ht="6" customHeight="1" thickBot="1" x14ac:dyDescent="0.3">
      <c r="B750" s="373"/>
      <c r="C750" s="373"/>
      <c r="D750" s="373"/>
      <c r="E750" s="373"/>
      <c r="F750" s="373"/>
      <c r="G750" s="373"/>
      <c r="H750" s="373"/>
      <c r="I750" s="373"/>
    </row>
    <row r="751" spans="2:14" ht="17.25" customHeight="1" thickBot="1" x14ac:dyDescent="0.3">
      <c r="B751" s="390" t="s">
        <v>297</v>
      </c>
      <c r="C751" s="391"/>
      <c r="D751" s="392"/>
      <c r="E751" s="393"/>
      <c r="F751" s="393"/>
      <c r="G751" s="394"/>
      <c r="H751" s="127" t="s">
        <v>298</v>
      </c>
      <c r="I751" s="128"/>
    </row>
    <row r="752" spans="2:14" ht="6" customHeight="1" thickBot="1" x14ac:dyDescent="0.3">
      <c r="B752" s="373"/>
      <c r="C752" s="373"/>
      <c r="D752" s="373"/>
      <c r="E752" s="373"/>
      <c r="F752" s="373"/>
      <c r="G752" s="373"/>
      <c r="H752" s="373"/>
      <c r="I752" s="373"/>
    </row>
    <row r="753" spans="2:14" ht="19.5" customHeight="1" x14ac:dyDescent="0.25">
      <c r="B753" s="261" t="s">
        <v>299</v>
      </c>
      <c r="C753" s="129" t="s">
        <v>300</v>
      </c>
      <c r="D753" s="130" t="s">
        <v>301</v>
      </c>
      <c r="E753" s="130" t="s">
        <v>302</v>
      </c>
      <c r="F753" s="398" t="s">
        <v>303</v>
      </c>
      <c r="G753" s="399"/>
      <c r="H753" s="400"/>
      <c r="I753" s="131" t="s">
        <v>304</v>
      </c>
    </row>
    <row r="754" spans="2:14" ht="11.25" customHeight="1" x14ac:dyDescent="0.25">
      <c r="B754" s="262"/>
      <c r="C754" s="132"/>
      <c r="D754" s="132" t="s">
        <v>305</v>
      </c>
      <c r="E754" s="132" t="s">
        <v>306</v>
      </c>
      <c r="F754" s="395" t="s">
        <v>339</v>
      </c>
      <c r="G754" s="396"/>
      <c r="H754" s="397"/>
      <c r="I754" s="133"/>
    </row>
    <row r="755" spans="2:14" ht="28.5" customHeight="1" x14ac:dyDescent="0.25">
      <c r="B755" s="263" t="s">
        <v>307</v>
      </c>
      <c r="C755" s="383" t="s">
        <v>414</v>
      </c>
      <c r="D755" s="384"/>
      <c r="E755" s="384"/>
      <c r="F755" s="384"/>
      <c r="G755" s="384"/>
      <c r="H755" s="384"/>
      <c r="I755" s="385"/>
    </row>
    <row r="756" spans="2:14" ht="10.5" customHeight="1" x14ac:dyDescent="0.25">
      <c r="B756" s="264" t="s">
        <v>129</v>
      </c>
      <c r="C756" s="388" t="s">
        <v>308</v>
      </c>
      <c r="D756" s="389"/>
      <c r="E756" s="389"/>
      <c r="F756" s="389"/>
      <c r="G756" s="389"/>
      <c r="H756" s="389"/>
      <c r="I756" s="134" t="s">
        <v>130</v>
      </c>
    </row>
    <row r="757" spans="2:14" ht="50.25" customHeight="1" thickBot="1" x14ac:dyDescent="0.3">
      <c r="B757" s="265">
        <v>5.2899999999999965</v>
      </c>
      <c r="C757" s="386" t="s">
        <v>562</v>
      </c>
      <c r="D757" s="387"/>
      <c r="E757" s="387"/>
      <c r="F757" s="387"/>
      <c r="G757" s="387"/>
      <c r="H757" s="387"/>
      <c r="I757" s="135" t="s">
        <v>27</v>
      </c>
    </row>
    <row r="758" spans="2:14" ht="6" customHeight="1" thickBot="1" x14ac:dyDescent="0.3">
      <c r="B758" s="373"/>
      <c r="C758" s="373"/>
      <c r="D758" s="373"/>
      <c r="E758" s="373"/>
      <c r="F758" s="373"/>
      <c r="G758" s="373"/>
      <c r="H758" s="373"/>
      <c r="I758" s="373"/>
    </row>
    <row r="759" spans="2:14" x14ac:dyDescent="0.25">
      <c r="B759" s="380" t="s">
        <v>309</v>
      </c>
      <c r="C759" s="381"/>
      <c r="D759" s="381"/>
      <c r="E759" s="381"/>
      <c r="F759" s="381"/>
      <c r="G759" s="381"/>
      <c r="H759" s="381"/>
      <c r="I759" s="382"/>
      <c r="K759" s="182"/>
    </row>
    <row r="760" spans="2:14" ht="11.25" customHeight="1" x14ac:dyDescent="0.25">
      <c r="B760" s="377" t="s">
        <v>310</v>
      </c>
      <c r="C760" s="378"/>
      <c r="D760" s="379"/>
      <c r="E760" s="136"/>
      <c r="F760" s="137" t="s">
        <v>311</v>
      </c>
      <c r="G760" s="137" t="s">
        <v>312</v>
      </c>
      <c r="H760" s="137" t="s">
        <v>313</v>
      </c>
      <c r="I760" s="138" t="s">
        <v>314</v>
      </c>
      <c r="L760" s="139"/>
      <c r="M760" s="139"/>
    </row>
    <row r="761" spans="2:14" ht="11.25" customHeight="1" x14ac:dyDescent="0.25">
      <c r="B761" s="362" t="s">
        <v>315</v>
      </c>
      <c r="C761" s="363"/>
      <c r="D761" s="363"/>
      <c r="E761" s="160"/>
      <c r="F761" s="161" t="s">
        <v>316</v>
      </c>
      <c r="G761" s="160">
        <v>5000</v>
      </c>
      <c r="H761" s="142">
        <v>1</v>
      </c>
      <c r="I761" s="143">
        <f>G761*H761</f>
        <v>5000</v>
      </c>
    </row>
    <row r="762" spans="2:14" ht="16.5" customHeight="1" x14ac:dyDescent="0.25">
      <c r="B762" s="362" t="s">
        <v>355</v>
      </c>
      <c r="C762" s="363"/>
      <c r="D762" s="363"/>
      <c r="E762" s="160"/>
      <c r="F762" s="161" t="s">
        <v>317</v>
      </c>
      <c r="G762" s="160">
        <v>90000</v>
      </c>
      <c r="H762" s="142">
        <v>1</v>
      </c>
      <c r="I762" s="143">
        <f>G762*H762</f>
        <v>90000</v>
      </c>
    </row>
    <row r="763" spans="2:14" ht="10.5" customHeight="1" thickBot="1" x14ac:dyDescent="0.3">
      <c r="B763" s="371" t="s">
        <v>318</v>
      </c>
      <c r="C763" s="372"/>
      <c r="D763" s="372"/>
      <c r="E763" s="372"/>
      <c r="F763" s="372"/>
      <c r="G763" s="372"/>
      <c r="H763" s="372"/>
      <c r="I763" s="144">
        <f>SUM(I761:I762)</f>
        <v>95000</v>
      </c>
      <c r="N763" s="150"/>
    </row>
    <row r="764" spans="2:14" ht="6" customHeight="1" thickBot="1" x14ac:dyDescent="0.3">
      <c r="B764" s="373"/>
      <c r="C764" s="373"/>
      <c r="D764" s="373"/>
      <c r="E764" s="373"/>
      <c r="F764" s="373"/>
      <c r="G764" s="373"/>
      <c r="H764" s="373"/>
      <c r="I764" s="373"/>
    </row>
    <row r="765" spans="2:14" s="145" customFormat="1" x14ac:dyDescent="0.25">
      <c r="B765" s="380" t="s">
        <v>319</v>
      </c>
      <c r="C765" s="381"/>
      <c r="D765" s="381"/>
      <c r="E765" s="381"/>
      <c r="F765" s="381"/>
      <c r="G765" s="381"/>
      <c r="H765" s="381"/>
      <c r="I765" s="382"/>
    </row>
    <row r="766" spans="2:14" s="145" customFormat="1" ht="15.75" customHeight="1" x14ac:dyDescent="0.25">
      <c r="B766" s="377" t="s">
        <v>310</v>
      </c>
      <c r="C766" s="378"/>
      <c r="D766" s="379"/>
      <c r="E766" s="137"/>
      <c r="F766" s="137" t="s">
        <v>320</v>
      </c>
      <c r="G766" s="137" t="s">
        <v>321</v>
      </c>
      <c r="H766" s="137" t="s">
        <v>322</v>
      </c>
      <c r="I766" s="138" t="s">
        <v>314</v>
      </c>
    </row>
    <row r="767" spans="2:14" ht="74.25" customHeight="1" x14ac:dyDescent="0.25">
      <c r="B767" s="436" t="s">
        <v>562</v>
      </c>
      <c r="C767" s="437"/>
      <c r="D767" s="438"/>
      <c r="E767" s="163"/>
      <c r="F767" s="161" t="s">
        <v>27</v>
      </c>
      <c r="G767" s="160">
        <f>965500-38000-15000+68000+431993+1126495+1230137+474855-961710-481855-1443350+3146343+582673-1483241-2245775+1196923+3816555-247501+1315423-6073843+2959358</f>
        <v>4323980</v>
      </c>
      <c r="H767" s="142">
        <v>1</v>
      </c>
      <c r="I767" s="143">
        <f>G767*H767</f>
        <v>4323980</v>
      </c>
    </row>
    <row r="768" spans="2:14" ht="10.5" customHeight="1" thickBot="1" x14ac:dyDescent="0.3">
      <c r="B768" s="371" t="s">
        <v>318</v>
      </c>
      <c r="C768" s="372"/>
      <c r="D768" s="372"/>
      <c r="E768" s="372"/>
      <c r="F768" s="372"/>
      <c r="G768" s="372"/>
      <c r="H768" s="372"/>
      <c r="I768" s="144">
        <f>SUM(I767:I767)</f>
        <v>4323980</v>
      </c>
      <c r="N768" s="150"/>
    </row>
    <row r="769" spans="2:15" ht="6" customHeight="1" thickBot="1" x14ac:dyDescent="0.3">
      <c r="B769" s="373"/>
      <c r="C769" s="373"/>
      <c r="D769" s="373"/>
      <c r="E769" s="373"/>
      <c r="F769" s="373"/>
      <c r="G769" s="373"/>
      <c r="H769" s="373"/>
      <c r="I769" s="373"/>
    </row>
    <row r="770" spans="2:15" s="145" customFormat="1" x14ac:dyDescent="0.25">
      <c r="B770" s="380" t="s">
        <v>323</v>
      </c>
      <c r="C770" s="381"/>
      <c r="D770" s="381"/>
      <c r="E770" s="381"/>
      <c r="F770" s="381"/>
      <c r="G770" s="381"/>
      <c r="H770" s="381"/>
      <c r="I770" s="382"/>
      <c r="L770" s="146"/>
      <c r="M770" s="146"/>
    </row>
    <row r="771" spans="2:15" s="145" customFormat="1" x14ac:dyDescent="0.25">
      <c r="B771" s="377" t="s">
        <v>324</v>
      </c>
      <c r="C771" s="378"/>
      <c r="D771" s="379"/>
      <c r="E771" s="137" t="s">
        <v>325</v>
      </c>
      <c r="F771" s="137" t="s">
        <v>326</v>
      </c>
      <c r="G771" s="137" t="s">
        <v>130</v>
      </c>
      <c r="H771" s="137" t="s">
        <v>327</v>
      </c>
      <c r="I771" s="138" t="s">
        <v>314</v>
      </c>
      <c r="K771" s="260"/>
      <c r="N771" s="183"/>
      <c r="O771" s="148"/>
    </row>
    <row r="772" spans="2:15" ht="11.25" customHeight="1" x14ac:dyDescent="0.25">
      <c r="B772" s="362" t="s">
        <v>711</v>
      </c>
      <c r="C772" s="363"/>
      <c r="D772" s="363"/>
      <c r="E772" s="170">
        <v>1</v>
      </c>
      <c r="F772" s="164"/>
      <c r="G772" s="161"/>
      <c r="H772" s="162">
        <v>35000</v>
      </c>
      <c r="I772" s="143">
        <f>H772*E772</f>
        <v>35000</v>
      </c>
    </row>
    <row r="773" spans="2:15" ht="10.5" customHeight="1" thickBot="1" x14ac:dyDescent="0.3">
      <c r="B773" s="371" t="s">
        <v>318</v>
      </c>
      <c r="C773" s="372"/>
      <c r="D773" s="372"/>
      <c r="E773" s="372"/>
      <c r="F773" s="372"/>
      <c r="G773" s="372"/>
      <c r="H773" s="372"/>
      <c r="I773" s="144">
        <f>SUM(I772:I772)</f>
        <v>35000</v>
      </c>
      <c r="N773" s="150"/>
    </row>
    <row r="774" spans="2:15" ht="6" customHeight="1" thickBot="1" x14ac:dyDescent="0.3">
      <c r="B774" s="373"/>
      <c r="C774" s="373"/>
      <c r="D774" s="373"/>
      <c r="E774" s="373"/>
      <c r="F774" s="373"/>
      <c r="G774" s="373"/>
      <c r="H774" s="373"/>
      <c r="I774" s="373"/>
    </row>
    <row r="775" spans="2:15" s="145" customFormat="1" ht="20.100000000000001" customHeight="1" x14ac:dyDescent="0.25">
      <c r="B775" s="380" t="s">
        <v>328</v>
      </c>
      <c r="C775" s="381"/>
      <c r="D775" s="381"/>
      <c r="E775" s="381"/>
      <c r="F775" s="381"/>
      <c r="G775" s="381"/>
      <c r="H775" s="381"/>
      <c r="I775" s="382"/>
      <c r="N775" s="148"/>
      <c r="O775" s="149"/>
    </row>
    <row r="776" spans="2:15" s="145" customFormat="1" ht="20.100000000000001" customHeight="1" x14ac:dyDescent="0.25">
      <c r="B776" s="377" t="s">
        <v>329</v>
      </c>
      <c r="C776" s="379"/>
      <c r="D776" s="137" t="s">
        <v>322</v>
      </c>
      <c r="E776" s="137" t="s">
        <v>330</v>
      </c>
      <c r="F776" s="137" t="s">
        <v>331</v>
      </c>
      <c r="G776" s="137" t="s">
        <v>332</v>
      </c>
      <c r="H776" s="137" t="s">
        <v>313</v>
      </c>
      <c r="I776" s="138" t="s">
        <v>314</v>
      </c>
      <c r="O776" s="179"/>
    </row>
    <row r="777" spans="2:15" s="151" customFormat="1" ht="9.75" customHeight="1" x14ac:dyDescent="0.25">
      <c r="B777" s="367" t="s">
        <v>356</v>
      </c>
      <c r="C777" s="368"/>
      <c r="D777" s="180">
        <v>1</v>
      </c>
      <c r="E777" s="141">
        <v>140000</v>
      </c>
      <c r="F777" s="141">
        <f>+E777*0.8</f>
        <v>112000</v>
      </c>
      <c r="G777" s="178">
        <f>D777*E777+F777*D777</f>
        <v>252000</v>
      </c>
      <c r="H777" s="184">
        <v>1</v>
      </c>
      <c r="I777" s="143">
        <f>+G777/H777</f>
        <v>252000</v>
      </c>
      <c r="J777" s="145"/>
      <c r="K777" s="147">
        <f>+K780-I782</f>
        <v>0</v>
      </c>
    </row>
    <row r="778" spans="2:15" s="151" customFormat="1" ht="11.25" customHeight="1" x14ac:dyDescent="0.25">
      <c r="B778" s="367" t="s">
        <v>374</v>
      </c>
      <c r="C778" s="368"/>
      <c r="D778" s="180">
        <v>1</v>
      </c>
      <c r="E778" s="141">
        <v>80000</v>
      </c>
      <c r="F778" s="141">
        <f>+E778*0.8</f>
        <v>64000</v>
      </c>
      <c r="G778" s="178">
        <f>D778*E778+F778*D778</f>
        <v>144000</v>
      </c>
      <c r="H778" s="184">
        <f>+H777</f>
        <v>1</v>
      </c>
      <c r="I778" s="143">
        <f>+G778/H778</f>
        <v>144000</v>
      </c>
      <c r="J778" s="145"/>
      <c r="K778" s="147"/>
      <c r="L778" s="179"/>
      <c r="M778" s="179"/>
    </row>
    <row r="779" spans="2:15" s="145" customFormat="1" ht="10.5" customHeight="1" x14ac:dyDescent="0.25">
      <c r="B779" s="367" t="s">
        <v>333</v>
      </c>
      <c r="C779" s="368"/>
      <c r="D779" s="180">
        <v>2</v>
      </c>
      <c r="E779" s="141">
        <v>55000</v>
      </c>
      <c r="F779" s="141">
        <f>+E779*0.8</f>
        <v>44000</v>
      </c>
      <c r="G779" s="178">
        <f>D779*E779+F779*D779</f>
        <v>198000</v>
      </c>
      <c r="H779" s="184">
        <f>+H777</f>
        <v>1</v>
      </c>
      <c r="I779" s="143">
        <f>+G779/H779</f>
        <v>198000</v>
      </c>
      <c r="K779" s="147"/>
    </row>
    <row r="780" spans="2:15" ht="10.5" customHeight="1" thickBot="1" x14ac:dyDescent="0.3">
      <c r="B780" s="371" t="s">
        <v>318</v>
      </c>
      <c r="C780" s="372"/>
      <c r="D780" s="372"/>
      <c r="E780" s="372"/>
      <c r="F780" s="372"/>
      <c r="G780" s="372"/>
      <c r="H780" s="372"/>
      <c r="I780" s="144">
        <f>SUM(I777:I779)</f>
        <v>594000</v>
      </c>
      <c r="K780" s="281">
        <v>5047980</v>
      </c>
      <c r="N780" s="150"/>
    </row>
    <row r="781" spans="2:15" ht="6" customHeight="1" thickBot="1" x14ac:dyDescent="0.3">
      <c r="B781" s="373"/>
      <c r="C781" s="373"/>
      <c r="D781" s="373"/>
      <c r="E781" s="373"/>
      <c r="F781" s="373"/>
      <c r="G781" s="373"/>
      <c r="H781" s="373"/>
      <c r="I781" s="373"/>
    </row>
    <row r="782" spans="2:15" ht="10.5" customHeight="1" thickBot="1" x14ac:dyDescent="0.3">
      <c r="B782" s="374" t="s">
        <v>334</v>
      </c>
      <c r="C782" s="375"/>
      <c r="D782" s="375"/>
      <c r="E782" s="375"/>
      <c r="F782" s="375"/>
      <c r="G782" s="375"/>
      <c r="H782" s="376"/>
      <c r="I782" s="152">
        <f>ROUND(+I763+I768+I773+I780,0)</f>
        <v>5047980</v>
      </c>
      <c r="J782" s="281"/>
      <c r="K782" s="169"/>
      <c r="L782" s="181"/>
      <c r="M782" s="181"/>
      <c r="N782" s="153"/>
    </row>
    <row r="783" spans="2:15" ht="6" customHeight="1" thickBot="1" x14ac:dyDescent="0.3">
      <c r="B783" s="373"/>
      <c r="C783" s="373"/>
      <c r="D783" s="373"/>
      <c r="E783" s="373"/>
      <c r="F783" s="373"/>
      <c r="G783" s="373"/>
      <c r="H783" s="373"/>
      <c r="I783" s="373"/>
    </row>
    <row r="784" spans="2:15" ht="8.25" customHeight="1" x14ac:dyDescent="0.25">
      <c r="B784" s="433" t="s">
        <v>335</v>
      </c>
      <c r="C784" s="417"/>
      <c r="D784" s="418"/>
      <c r="E784" s="418"/>
      <c r="F784" s="419"/>
      <c r="G784" s="369" t="s">
        <v>336</v>
      </c>
      <c r="H784" s="370"/>
      <c r="I784" s="370"/>
    </row>
    <row r="785" spans="2:14" ht="33.75" customHeight="1" x14ac:dyDescent="0.25">
      <c r="B785" s="434"/>
      <c r="C785" s="420"/>
      <c r="D785" s="421"/>
      <c r="E785" s="421"/>
      <c r="F785" s="422"/>
      <c r="G785" s="430" t="s">
        <v>337</v>
      </c>
      <c r="H785" s="431"/>
      <c r="I785" s="431"/>
      <c r="L785" s="181"/>
      <c r="M785" s="181"/>
      <c r="N785" s="179"/>
    </row>
    <row r="786" spans="2:14" ht="13.5" customHeight="1" x14ac:dyDescent="0.25">
      <c r="B786" s="434"/>
      <c r="C786" s="420"/>
      <c r="D786" s="421"/>
      <c r="E786" s="421"/>
      <c r="F786" s="422"/>
      <c r="G786" s="154" t="s">
        <v>92</v>
      </c>
      <c r="H786" s="432" t="s">
        <v>93</v>
      </c>
      <c r="I786" s="432"/>
    </row>
    <row r="787" spans="2:14" ht="16.5" customHeight="1" x14ac:dyDescent="0.25">
      <c r="B787" s="435"/>
      <c r="C787" s="420"/>
      <c r="D787" s="421"/>
      <c r="E787" s="421"/>
      <c r="F787" s="422"/>
      <c r="G787" s="155" t="s">
        <v>94</v>
      </c>
      <c r="H787" s="156" t="s">
        <v>95</v>
      </c>
      <c r="I787" s="157" t="s">
        <v>96</v>
      </c>
    </row>
    <row r="788" spans="2:14" x14ac:dyDescent="0.25">
      <c r="B788" s="268" t="s">
        <v>18</v>
      </c>
      <c r="C788" s="427"/>
      <c r="D788" s="428"/>
      <c r="E788" s="428"/>
      <c r="F788" s="429"/>
      <c r="G788" s="155" t="s">
        <v>98</v>
      </c>
      <c r="H788" s="157" t="s">
        <v>99</v>
      </c>
      <c r="I788" s="157" t="s">
        <v>100</v>
      </c>
    </row>
    <row r="789" spans="2:14" x14ac:dyDescent="0.25">
      <c r="B789" s="269" t="s">
        <v>97</v>
      </c>
      <c r="C789" s="427"/>
      <c r="D789" s="428"/>
      <c r="E789" s="428"/>
      <c r="F789" s="429"/>
      <c r="G789" s="154" t="s">
        <v>338</v>
      </c>
      <c r="H789" s="426"/>
      <c r="I789" s="426"/>
    </row>
    <row r="790" spans="2:14" ht="15.75" thickBot="1" x14ac:dyDescent="0.3">
      <c r="B790" s="270" t="s">
        <v>101</v>
      </c>
      <c r="C790" s="423"/>
      <c r="D790" s="424"/>
      <c r="E790" s="424"/>
      <c r="F790" s="425"/>
      <c r="G790" s="154" t="s">
        <v>102</v>
      </c>
      <c r="H790" s="426" t="s">
        <v>103</v>
      </c>
      <c r="I790" s="426"/>
    </row>
    <row r="791" spans="2:14" ht="45" customHeight="1" thickBot="1" x14ac:dyDescent="0.3">
      <c r="B791" s="401"/>
      <c r="C791" s="402"/>
      <c r="D791" s="402"/>
      <c r="E791" s="402"/>
      <c r="F791" s="403" t="s">
        <v>0</v>
      </c>
      <c r="G791" s="403"/>
      <c r="H791" s="403"/>
      <c r="I791" s="404"/>
    </row>
    <row r="792" spans="2:14" ht="6" customHeight="1" thickBot="1" x14ac:dyDescent="0.3">
      <c r="B792" s="373"/>
      <c r="C792" s="373"/>
      <c r="D792" s="373"/>
      <c r="E792" s="373"/>
      <c r="F792" s="373"/>
      <c r="G792" s="373"/>
      <c r="H792" s="373"/>
      <c r="I792" s="373"/>
    </row>
    <row r="793" spans="2:14" ht="10.5" customHeight="1" x14ac:dyDescent="0.25">
      <c r="B793" s="405" t="s">
        <v>294</v>
      </c>
      <c r="C793" s="406"/>
      <c r="D793" s="407" t="s">
        <v>295</v>
      </c>
      <c r="E793" s="409" t="s">
        <v>296</v>
      </c>
      <c r="F793" s="410"/>
      <c r="G793" s="410"/>
      <c r="H793" s="410"/>
      <c r="I793" s="411"/>
    </row>
    <row r="794" spans="2:14" ht="9" customHeight="1" thickBot="1" x14ac:dyDescent="0.3">
      <c r="B794" s="415"/>
      <c r="C794" s="416"/>
      <c r="D794" s="408"/>
      <c r="E794" s="412"/>
      <c r="F794" s="413"/>
      <c r="G794" s="413"/>
      <c r="H794" s="413"/>
      <c r="I794" s="414"/>
    </row>
    <row r="795" spans="2:14" ht="6" customHeight="1" thickBot="1" x14ac:dyDescent="0.3">
      <c r="B795" s="373"/>
      <c r="C795" s="373"/>
      <c r="D795" s="373"/>
      <c r="E795" s="373"/>
      <c r="F795" s="373"/>
      <c r="G795" s="373"/>
      <c r="H795" s="373"/>
      <c r="I795" s="373"/>
    </row>
    <row r="796" spans="2:14" ht="17.25" customHeight="1" thickBot="1" x14ac:dyDescent="0.3">
      <c r="B796" s="390" t="s">
        <v>297</v>
      </c>
      <c r="C796" s="391"/>
      <c r="D796" s="392"/>
      <c r="E796" s="393"/>
      <c r="F796" s="393"/>
      <c r="G796" s="394"/>
      <c r="H796" s="127" t="s">
        <v>298</v>
      </c>
      <c r="I796" s="128"/>
    </row>
    <row r="797" spans="2:14" ht="6" customHeight="1" thickBot="1" x14ac:dyDescent="0.3">
      <c r="B797" s="373"/>
      <c r="C797" s="373"/>
      <c r="D797" s="373"/>
      <c r="E797" s="373"/>
      <c r="F797" s="373"/>
      <c r="G797" s="373"/>
      <c r="H797" s="373"/>
      <c r="I797" s="373"/>
    </row>
    <row r="798" spans="2:14" ht="19.5" customHeight="1" x14ac:dyDescent="0.25">
      <c r="B798" s="261" t="s">
        <v>299</v>
      </c>
      <c r="C798" s="129" t="s">
        <v>300</v>
      </c>
      <c r="D798" s="130" t="s">
        <v>301</v>
      </c>
      <c r="E798" s="130" t="s">
        <v>302</v>
      </c>
      <c r="F798" s="398" t="s">
        <v>303</v>
      </c>
      <c r="G798" s="399"/>
      <c r="H798" s="400"/>
      <c r="I798" s="131" t="s">
        <v>304</v>
      </c>
    </row>
    <row r="799" spans="2:14" ht="11.25" customHeight="1" x14ac:dyDescent="0.25">
      <c r="B799" s="262"/>
      <c r="C799" s="132"/>
      <c r="D799" s="132" t="s">
        <v>305</v>
      </c>
      <c r="E799" s="132" t="s">
        <v>306</v>
      </c>
      <c r="F799" s="395" t="s">
        <v>339</v>
      </c>
      <c r="G799" s="396"/>
      <c r="H799" s="397"/>
      <c r="I799" s="133"/>
    </row>
    <row r="800" spans="2:14" ht="28.5" customHeight="1" x14ac:dyDescent="0.25">
      <c r="B800" s="263" t="s">
        <v>307</v>
      </c>
      <c r="C800" s="383" t="s">
        <v>414</v>
      </c>
      <c r="D800" s="384"/>
      <c r="E800" s="384"/>
      <c r="F800" s="384"/>
      <c r="G800" s="384"/>
      <c r="H800" s="384"/>
      <c r="I800" s="385"/>
    </row>
    <row r="801" spans="2:15" ht="10.5" customHeight="1" x14ac:dyDescent="0.25">
      <c r="B801" s="264" t="s">
        <v>129</v>
      </c>
      <c r="C801" s="388" t="s">
        <v>308</v>
      </c>
      <c r="D801" s="389"/>
      <c r="E801" s="389"/>
      <c r="F801" s="389"/>
      <c r="G801" s="389"/>
      <c r="H801" s="389"/>
      <c r="I801" s="134" t="s">
        <v>130</v>
      </c>
    </row>
    <row r="802" spans="2:15" ht="50.25" customHeight="1" thickBot="1" x14ac:dyDescent="0.3">
      <c r="B802" s="265">
        <v>5.2999999999999963</v>
      </c>
      <c r="C802" s="386" t="s">
        <v>563</v>
      </c>
      <c r="D802" s="387"/>
      <c r="E802" s="387"/>
      <c r="F802" s="387"/>
      <c r="G802" s="387"/>
      <c r="H802" s="387"/>
      <c r="I802" s="135" t="s">
        <v>27</v>
      </c>
    </row>
    <row r="803" spans="2:15" ht="6" customHeight="1" thickBot="1" x14ac:dyDescent="0.3">
      <c r="B803" s="373"/>
      <c r="C803" s="373"/>
      <c r="D803" s="373"/>
      <c r="E803" s="373"/>
      <c r="F803" s="373"/>
      <c r="G803" s="373"/>
      <c r="H803" s="373"/>
      <c r="I803" s="373"/>
    </row>
    <row r="804" spans="2:15" x14ac:dyDescent="0.25">
      <c r="B804" s="380" t="s">
        <v>309</v>
      </c>
      <c r="C804" s="381"/>
      <c r="D804" s="381"/>
      <c r="E804" s="381"/>
      <c r="F804" s="381"/>
      <c r="G804" s="381"/>
      <c r="H804" s="381"/>
      <c r="I804" s="382"/>
      <c r="K804" s="182"/>
    </row>
    <row r="805" spans="2:15" ht="11.25" customHeight="1" x14ac:dyDescent="0.25">
      <c r="B805" s="377" t="s">
        <v>310</v>
      </c>
      <c r="C805" s="378"/>
      <c r="D805" s="379"/>
      <c r="E805" s="136"/>
      <c r="F805" s="137" t="s">
        <v>311</v>
      </c>
      <c r="G805" s="137" t="s">
        <v>312</v>
      </c>
      <c r="H805" s="137" t="s">
        <v>313</v>
      </c>
      <c r="I805" s="138" t="s">
        <v>314</v>
      </c>
      <c r="L805" s="139"/>
      <c r="M805" s="139"/>
    </row>
    <row r="806" spans="2:15" ht="11.25" customHeight="1" x14ac:dyDescent="0.25">
      <c r="B806" s="362" t="s">
        <v>315</v>
      </c>
      <c r="C806" s="363"/>
      <c r="D806" s="363"/>
      <c r="E806" s="160"/>
      <c r="F806" s="161" t="s">
        <v>316</v>
      </c>
      <c r="G806" s="160">
        <v>5000</v>
      </c>
      <c r="H806" s="142">
        <v>0.8</v>
      </c>
      <c r="I806" s="143">
        <f>G806*H806</f>
        <v>4000</v>
      </c>
    </row>
    <row r="807" spans="2:15" ht="16.5" customHeight="1" x14ac:dyDescent="0.25">
      <c r="B807" s="362" t="s">
        <v>355</v>
      </c>
      <c r="C807" s="363"/>
      <c r="D807" s="363"/>
      <c r="E807" s="160"/>
      <c r="F807" s="161" t="s">
        <v>317</v>
      </c>
      <c r="G807" s="160">
        <v>90000</v>
      </c>
      <c r="H807" s="142">
        <v>0.8</v>
      </c>
      <c r="I807" s="143">
        <f>G807*H807</f>
        <v>72000</v>
      </c>
    </row>
    <row r="808" spans="2:15" ht="10.5" customHeight="1" thickBot="1" x14ac:dyDescent="0.3">
      <c r="B808" s="371" t="s">
        <v>318</v>
      </c>
      <c r="C808" s="372"/>
      <c r="D808" s="372"/>
      <c r="E808" s="372"/>
      <c r="F808" s="372"/>
      <c r="G808" s="372"/>
      <c r="H808" s="372"/>
      <c r="I808" s="144">
        <f>SUM(I806:I807)</f>
        <v>76000</v>
      </c>
      <c r="N808" s="150"/>
    </row>
    <row r="809" spans="2:15" ht="6" customHeight="1" thickBot="1" x14ac:dyDescent="0.3">
      <c r="B809" s="373"/>
      <c r="C809" s="373"/>
      <c r="D809" s="373"/>
      <c r="E809" s="373"/>
      <c r="F809" s="373"/>
      <c r="G809" s="373"/>
      <c r="H809" s="373"/>
      <c r="I809" s="373"/>
    </row>
    <row r="810" spans="2:15" s="145" customFormat="1" x14ac:dyDescent="0.25">
      <c r="B810" s="380" t="s">
        <v>319</v>
      </c>
      <c r="C810" s="381"/>
      <c r="D810" s="381"/>
      <c r="E810" s="381"/>
      <c r="F810" s="381"/>
      <c r="G810" s="381"/>
      <c r="H810" s="381"/>
      <c r="I810" s="382"/>
    </row>
    <row r="811" spans="2:15" s="145" customFormat="1" ht="15.75" customHeight="1" x14ac:dyDescent="0.25">
      <c r="B811" s="377" t="s">
        <v>310</v>
      </c>
      <c r="C811" s="378"/>
      <c r="D811" s="379"/>
      <c r="E811" s="137"/>
      <c r="F811" s="137" t="s">
        <v>320</v>
      </c>
      <c r="G811" s="137" t="s">
        <v>321</v>
      </c>
      <c r="H811" s="137" t="s">
        <v>322</v>
      </c>
      <c r="I811" s="138" t="s">
        <v>314</v>
      </c>
    </row>
    <row r="812" spans="2:15" ht="74.25" customHeight="1" x14ac:dyDescent="0.25">
      <c r="B812" s="436" t="s">
        <v>563</v>
      </c>
      <c r="C812" s="437"/>
      <c r="D812" s="438"/>
      <c r="E812" s="163"/>
      <c r="F812" s="161" t="s">
        <v>27</v>
      </c>
      <c r="G812" s="160">
        <f>965500-38000-15000+68000+431993+1126495+1230137+474855-961710-481855-1443350+3146343+582673-1483241-2245775+1196923+3816555-247501+1315423-6073843+2959358-1731916+1</f>
        <v>2592065</v>
      </c>
      <c r="H812" s="142">
        <v>1</v>
      </c>
      <c r="I812" s="143">
        <f>G812*H812</f>
        <v>2592065</v>
      </c>
    </row>
    <row r="813" spans="2:15" ht="10.5" customHeight="1" thickBot="1" x14ac:dyDescent="0.3">
      <c r="B813" s="371" t="s">
        <v>318</v>
      </c>
      <c r="C813" s="372"/>
      <c r="D813" s="372"/>
      <c r="E813" s="372"/>
      <c r="F813" s="372"/>
      <c r="G813" s="372"/>
      <c r="H813" s="372"/>
      <c r="I813" s="144">
        <f>SUM(I812:I812)</f>
        <v>2592065</v>
      </c>
      <c r="N813" s="150"/>
    </row>
    <row r="814" spans="2:15" ht="6" customHeight="1" thickBot="1" x14ac:dyDescent="0.3">
      <c r="B814" s="373"/>
      <c r="C814" s="373"/>
      <c r="D814" s="373"/>
      <c r="E814" s="373"/>
      <c r="F814" s="373"/>
      <c r="G814" s="373"/>
      <c r="H814" s="373"/>
      <c r="I814" s="373"/>
    </row>
    <row r="815" spans="2:15" s="145" customFormat="1" x14ac:dyDescent="0.25">
      <c r="B815" s="380" t="s">
        <v>323</v>
      </c>
      <c r="C815" s="381"/>
      <c r="D815" s="381"/>
      <c r="E815" s="381"/>
      <c r="F815" s="381"/>
      <c r="G815" s="381"/>
      <c r="H815" s="381"/>
      <c r="I815" s="382"/>
      <c r="L815" s="146"/>
      <c r="M815" s="146"/>
    </row>
    <row r="816" spans="2:15" s="145" customFormat="1" x14ac:dyDescent="0.25">
      <c r="B816" s="377" t="s">
        <v>324</v>
      </c>
      <c r="C816" s="378"/>
      <c r="D816" s="379"/>
      <c r="E816" s="137" t="s">
        <v>325</v>
      </c>
      <c r="F816" s="137" t="s">
        <v>326</v>
      </c>
      <c r="G816" s="137" t="s">
        <v>130</v>
      </c>
      <c r="H816" s="137" t="s">
        <v>327</v>
      </c>
      <c r="I816" s="138" t="s">
        <v>314</v>
      </c>
      <c r="K816" s="260"/>
      <c r="N816" s="183"/>
      <c r="O816" s="148"/>
    </row>
    <row r="817" spans="2:15" ht="11.25" customHeight="1" x14ac:dyDescent="0.25">
      <c r="B817" s="362" t="s">
        <v>711</v>
      </c>
      <c r="C817" s="363"/>
      <c r="D817" s="363"/>
      <c r="E817" s="170">
        <v>1</v>
      </c>
      <c r="F817" s="164"/>
      <c r="G817" s="161"/>
      <c r="H817" s="162">
        <v>30000</v>
      </c>
      <c r="I817" s="143">
        <f>H817*E817</f>
        <v>30000</v>
      </c>
    </row>
    <row r="818" spans="2:15" ht="10.5" customHeight="1" thickBot="1" x14ac:dyDescent="0.3">
      <c r="B818" s="371" t="s">
        <v>318</v>
      </c>
      <c r="C818" s="372"/>
      <c r="D818" s="372"/>
      <c r="E818" s="372"/>
      <c r="F818" s="372"/>
      <c r="G818" s="372"/>
      <c r="H818" s="372"/>
      <c r="I818" s="144">
        <f>SUM(I817:I817)</f>
        <v>30000</v>
      </c>
      <c r="N818" s="150"/>
    </row>
    <row r="819" spans="2:15" ht="6" customHeight="1" thickBot="1" x14ac:dyDescent="0.3">
      <c r="B819" s="373"/>
      <c r="C819" s="373"/>
      <c r="D819" s="373"/>
      <c r="E819" s="373"/>
      <c r="F819" s="373"/>
      <c r="G819" s="373"/>
      <c r="H819" s="373"/>
      <c r="I819" s="373"/>
    </row>
    <row r="820" spans="2:15" s="145" customFormat="1" ht="20.100000000000001" customHeight="1" x14ac:dyDescent="0.25">
      <c r="B820" s="380" t="s">
        <v>328</v>
      </c>
      <c r="C820" s="381"/>
      <c r="D820" s="381"/>
      <c r="E820" s="381"/>
      <c r="F820" s="381"/>
      <c r="G820" s="381"/>
      <c r="H820" s="381"/>
      <c r="I820" s="382"/>
      <c r="N820" s="148"/>
      <c r="O820" s="149"/>
    </row>
    <row r="821" spans="2:15" s="145" customFormat="1" ht="20.100000000000001" customHeight="1" x14ac:dyDescent="0.25">
      <c r="B821" s="377" t="s">
        <v>329</v>
      </c>
      <c r="C821" s="379"/>
      <c r="D821" s="137" t="s">
        <v>322</v>
      </c>
      <c r="E821" s="137" t="s">
        <v>330</v>
      </c>
      <c r="F821" s="137" t="s">
        <v>331</v>
      </c>
      <c r="G821" s="137" t="s">
        <v>332</v>
      </c>
      <c r="H821" s="137" t="s">
        <v>313</v>
      </c>
      <c r="I821" s="138" t="s">
        <v>314</v>
      </c>
      <c r="O821" s="179"/>
    </row>
    <row r="822" spans="2:15" s="151" customFormat="1" ht="9.75" customHeight="1" x14ac:dyDescent="0.25">
      <c r="B822" s="367" t="s">
        <v>356</v>
      </c>
      <c r="C822" s="368"/>
      <c r="D822" s="180">
        <v>1</v>
      </c>
      <c r="E822" s="141">
        <v>140000</v>
      </c>
      <c r="F822" s="141">
        <f>+E822*0.8</f>
        <v>112000</v>
      </c>
      <c r="G822" s="178">
        <f>D822*E822+F822*D822</f>
        <v>252000</v>
      </c>
      <c r="H822" s="184">
        <v>1.3</v>
      </c>
      <c r="I822" s="143">
        <f>+G822/H822</f>
        <v>193846.15384615384</v>
      </c>
      <c r="J822" s="145"/>
      <c r="K822" s="147">
        <f>+K825-I827</f>
        <v>-0.5</v>
      </c>
    </row>
    <row r="823" spans="2:15" s="151" customFormat="1" ht="11.25" customHeight="1" x14ac:dyDescent="0.25">
      <c r="B823" s="367" t="s">
        <v>374</v>
      </c>
      <c r="C823" s="368"/>
      <c r="D823" s="180">
        <v>1</v>
      </c>
      <c r="E823" s="141">
        <v>80000</v>
      </c>
      <c r="F823" s="141">
        <f>+E823*0.8</f>
        <v>64000</v>
      </c>
      <c r="G823" s="178">
        <f>D823*E823+F823*D823</f>
        <v>144000</v>
      </c>
      <c r="H823" s="184">
        <f>+H822</f>
        <v>1.3</v>
      </c>
      <c r="I823" s="143">
        <f>+G823/H823</f>
        <v>110769.23076923077</v>
      </c>
      <c r="J823" s="145"/>
      <c r="K823" s="147"/>
      <c r="L823" s="179"/>
      <c r="M823" s="179"/>
    </row>
    <row r="824" spans="2:15" s="145" customFormat="1" ht="10.5" customHeight="1" x14ac:dyDescent="0.25">
      <c r="B824" s="367" t="s">
        <v>333</v>
      </c>
      <c r="C824" s="368"/>
      <c r="D824" s="180">
        <v>2</v>
      </c>
      <c r="E824" s="141">
        <v>55000</v>
      </c>
      <c r="F824" s="141">
        <f>+E824*0.8</f>
        <v>44000</v>
      </c>
      <c r="G824" s="178">
        <f>D824*E824+F824*D824</f>
        <v>198000</v>
      </c>
      <c r="H824" s="184">
        <f>+H822</f>
        <v>1.3</v>
      </c>
      <c r="I824" s="143">
        <f>+G824/H824</f>
        <v>152307.69230769231</v>
      </c>
      <c r="K824" s="147"/>
    </row>
    <row r="825" spans="2:15" ht="10.5" customHeight="1" thickBot="1" x14ac:dyDescent="0.3">
      <c r="B825" s="371" t="s">
        <v>318</v>
      </c>
      <c r="C825" s="372"/>
      <c r="D825" s="372"/>
      <c r="E825" s="372"/>
      <c r="F825" s="372"/>
      <c r="G825" s="372"/>
      <c r="H825" s="372"/>
      <c r="I825" s="144">
        <f>SUM(I822:I824)</f>
        <v>456923.07692307694</v>
      </c>
      <c r="K825" s="281">
        <v>3154987.5</v>
      </c>
      <c r="N825" s="150"/>
    </row>
    <row r="826" spans="2:15" ht="6" customHeight="1" thickBot="1" x14ac:dyDescent="0.3">
      <c r="B826" s="373"/>
      <c r="C826" s="373"/>
      <c r="D826" s="373"/>
      <c r="E826" s="373"/>
      <c r="F826" s="373"/>
      <c r="G826" s="373"/>
      <c r="H826" s="373"/>
      <c r="I826" s="373"/>
    </row>
    <row r="827" spans="2:15" ht="10.5" customHeight="1" thickBot="1" x14ac:dyDescent="0.3">
      <c r="B827" s="374" t="s">
        <v>334</v>
      </c>
      <c r="C827" s="375"/>
      <c r="D827" s="375"/>
      <c r="E827" s="375"/>
      <c r="F827" s="375"/>
      <c r="G827" s="375"/>
      <c r="H827" s="376"/>
      <c r="I827" s="152">
        <f>ROUND(+I808+I813+I818+I825,0)</f>
        <v>3154988</v>
      </c>
      <c r="J827" s="281"/>
      <c r="K827" s="169"/>
      <c r="L827" s="181"/>
      <c r="M827" s="181"/>
      <c r="N827" s="153"/>
    </row>
    <row r="828" spans="2:15" ht="6" customHeight="1" thickBot="1" x14ac:dyDescent="0.3">
      <c r="B828" s="373"/>
      <c r="C828" s="373"/>
      <c r="D828" s="373"/>
      <c r="E828" s="373"/>
      <c r="F828" s="373"/>
      <c r="G828" s="373"/>
      <c r="H828" s="373"/>
      <c r="I828" s="373"/>
    </row>
    <row r="829" spans="2:15" ht="8.25" customHeight="1" x14ac:dyDescent="0.25">
      <c r="B829" s="433" t="s">
        <v>335</v>
      </c>
      <c r="C829" s="417"/>
      <c r="D829" s="418"/>
      <c r="E829" s="418"/>
      <c r="F829" s="419"/>
      <c r="G829" s="369" t="s">
        <v>336</v>
      </c>
      <c r="H829" s="370"/>
      <c r="I829" s="370"/>
    </row>
    <row r="830" spans="2:15" ht="33.75" customHeight="1" x14ac:dyDescent="0.25">
      <c r="B830" s="434"/>
      <c r="C830" s="420"/>
      <c r="D830" s="421"/>
      <c r="E830" s="421"/>
      <c r="F830" s="422"/>
      <c r="G830" s="430" t="s">
        <v>337</v>
      </c>
      <c r="H830" s="431"/>
      <c r="I830" s="431"/>
      <c r="L830" s="181"/>
      <c r="M830" s="181"/>
      <c r="N830" s="179"/>
    </row>
    <row r="831" spans="2:15" ht="13.5" customHeight="1" x14ac:dyDescent="0.25">
      <c r="B831" s="434"/>
      <c r="C831" s="420"/>
      <c r="D831" s="421"/>
      <c r="E831" s="421"/>
      <c r="F831" s="422"/>
      <c r="G831" s="154" t="s">
        <v>92</v>
      </c>
      <c r="H831" s="432" t="s">
        <v>93</v>
      </c>
      <c r="I831" s="432"/>
    </row>
    <row r="832" spans="2:15" ht="16.5" customHeight="1" x14ac:dyDescent="0.25">
      <c r="B832" s="435"/>
      <c r="C832" s="420"/>
      <c r="D832" s="421"/>
      <c r="E832" s="421"/>
      <c r="F832" s="422"/>
      <c r="G832" s="155" t="s">
        <v>94</v>
      </c>
      <c r="H832" s="156" t="s">
        <v>95</v>
      </c>
      <c r="I832" s="157" t="s">
        <v>96</v>
      </c>
    </row>
    <row r="833" spans="2:9" x14ac:dyDescent="0.25">
      <c r="B833" s="268" t="s">
        <v>18</v>
      </c>
      <c r="C833" s="427"/>
      <c r="D833" s="428"/>
      <c r="E833" s="428"/>
      <c r="F833" s="429"/>
      <c r="G833" s="155" t="s">
        <v>98</v>
      </c>
      <c r="H833" s="157" t="s">
        <v>99</v>
      </c>
      <c r="I833" s="157" t="s">
        <v>100</v>
      </c>
    </row>
    <row r="834" spans="2:9" x14ac:dyDescent="0.25">
      <c r="B834" s="269" t="s">
        <v>97</v>
      </c>
      <c r="C834" s="427"/>
      <c r="D834" s="428"/>
      <c r="E834" s="428"/>
      <c r="F834" s="429"/>
      <c r="G834" s="154" t="s">
        <v>338</v>
      </c>
      <c r="H834" s="426"/>
      <c r="I834" s="426"/>
    </row>
    <row r="835" spans="2:9" ht="15.75" thickBot="1" x14ac:dyDescent="0.3">
      <c r="B835" s="270" t="s">
        <v>101</v>
      </c>
      <c r="C835" s="423"/>
      <c r="D835" s="424"/>
      <c r="E835" s="424"/>
      <c r="F835" s="425"/>
      <c r="G835" s="154" t="s">
        <v>102</v>
      </c>
      <c r="H835" s="426" t="s">
        <v>103</v>
      </c>
      <c r="I835" s="426"/>
    </row>
    <row r="836" spans="2:9" ht="45" customHeight="1" thickBot="1" x14ac:dyDescent="0.3">
      <c r="B836" s="401"/>
      <c r="C836" s="402"/>
      <c r="D836" s="402"/>
      <c r="E836" s="402"/>
      <c r="F836" s="403" t="s">
        <v>0</v>
      </c>
      <c r="G836" s="403"/>
      <c r="H836" s="403"/>
      <c r="I836" s="404"/>
    </row>
    <row r="837" spans="2:9" ht="6" customHeight="1" thickBot="1" x14ac:dyDescent="0.3">
      <c r="B837" s="373"/>
      <c r="C837" s="373"/>
      <c r="D837" s="373"/>
      <c r="E837" s="373"/>
      <c r="F837" s="373"/>
      <c r="G837" s="373"/>
      <c r="H837" s="373"/>
      <c r="I837" s="373"/>
    </row>
    <row r="838" spans="2:9" ht="10.5" customHeight="1" x14ac:dyDescent="0.25">
      <c r="B838" s="405" t="s">
        <v>294</v>
      </c>
      <c r="C838" s="406"/>
      <c r="D838" s="407" t="s">
        <v>295</v>
      </c>
      <c r="E838" s="409" t="s">
        <v>296</v>
      </c>
      <c r="F838" s="410"/>
      <c r="G838" s="410"/>
      <c r="H838" s="410"/>
      <c r="I838" s="411"/>
    </row>
    <row r="839" spans="2:9" ht="9" customHeight="1" thickBot="1" x14ac:dyDescent="0.3">
      <c r="B839" s="415"/>
      <c r="C839" s="416"/>
      <c r="D839" s="408"/>
      <c r="E839" s="412"/>
      <c r="F839" s="413"/>
      <c r="G839" s="413"/>
      <c r="H839" s="413"/>
      <c r="I839" s="414"/>
    </row>
    <row r="840" spans="2:9" ht="6" customHeight="1" thickBot="1" x14ac:dyDescent="0.3">
      <c r="B840" s="373"/>
      <c r="C840" s="373"/>
      <c r="D840" s="373"/>
      <c r="E840" s="373"/>
      <c r="F840" s="373"/>
      <c r="G840" s="373"/>
      <c r="H840" s="373"/>
      <c r="I840" s="373"/>
    </row>
    <row r="841" spans="2:9" ht="17.25" customHeight="1" thickBot="1" x14ac:dyDescent="0.3">
      <c r="B841" s="390" t="s">
        <v>297</v>
      </c>
      <c r="C841" s="391"/>
      <c r="D841" s="392"/>
      <c r="E841" s="393"/>
      <c r="F841" s="393"/>
      <c r="G841" s="394"/>
      <c r="H841" s="127" t="s">
        <v>298</v>
      </c>
      <c r="I841" s="128"/>
    </row>
    <row r="842" spans="2:9" ht="6" customHeight="1" thickBot="1" x14ac:dyDescent="0.3">
      <c r="B842" s="373"/>
      <c r="C842" s="373"/>
      <c r="D842" s="373"/>
      <c r="E842" s="373"/>
      <c r="F842" s="373"/>
      <c r="G842" s="373"/>
      <c r="H842" s="373"/>
      <c r="I842" s="373"/>
    </row>
    <row r="843" spans="2:9" ht="19.5" customHeight="1" x14ac:dyDescent="0.25">
      <c r="B843" s="261" t="s">
        <v>299</v>
      </c>
      <c r="C843" s="129" t="s">
        <v>300</v>
      </c>
      <c r="D843" s="130" t="s">
        <v>301</v>
      </c>
      <c r="E843" s="130" t="s">
        <v>302</v>
      </c>
      <c r="F843" s="398" t="s">
        <v>303</v>
      </c>
      <c r="G843" s="399"/>
      <c r="H843" s="400"/>
      <c r="I843" s="131" t="s">
        <v>304</v>
      </c>
    </row>
    <row r="844" spans="2:9" ht="11.25" customHeight="1" x14ac:dyDescent="0.25">
      <c r="B844" s="262"/>
      <c r="C844" s="132"/>
      <c r="D844" s="132" t="s">
        <v>305</v>
      </c>
      <c r="E844" s="132" t="s">
        <v>306</v>
      </c>
      <c r="F844" s="395" t="s">
        <v>339</v>
      </c>
      <c r="G844" s="396"/>
      <c r="H844" s="397"/>
      <c r="I844" s="133"/>
    </row>
    <row r="845" spans="2:9" ht="28.5" customHeight="1" x14ac:dyDescent="0.25">
      <c r="B845" s="263" t="s">
        <v>307</v>
      </c>
      <c r="C845" s="383" t="s">
        <v>414</v>
      </c>
      <c r="D845" s="384"/>
      <c r="E845" s="384"/>
      <c r="F845" s="384"/>
      <c r="G845" s="384"/>
      <c r="H845" s="384"/>
      <c r="I845" s="385"/>
    </row>
    <row r="846" spans="2:9" ht="10.5" customHeight="1" x14ac:dyDescent="0.25">
      <c r="B846" s="264" t="s">
        <v>129</v>
      </c>
      <c r="C846" s="388" t="s">
        <v>308</v>
      </c>
      <c r="D846" s="389"/>
      <c r="E846" s="389"/>
      <c r="F846" s="389"/>
      <c r="G846" s="389"/>
      <c r="H846" s="389"/>
      <c r="I846" s="134" t="s">
        <v>130</v>
      </c>
    </row>
    <row r="847" spans="2:9" ht="50.25" customHeight="1" thickBot="1" x14ac:dyDescent="0.3">
      <c r="B847" s="265">
        <v>5.3099999999999961</v>
      </c>
      <c r="C847" s="386" t="s">
        <v>564</v>
      </c>
      <c r="D847" s="387"/>
      <c r="E847" s="387"/>
      <c r="F847" s="387"/>
      <c r="G847" s="387"/>
      <c r="H847" s="387"/>
      <c r="I847" s="135" t="s">
        <v>27</v>
      </c>
    </row>
    <row r="848" spans="2:9" ht="6" customHeight="1" thickBot="1" x14ac:dyDescent="0.3">
      <c r="B848" s="373"/>
      <c r="C848" s="373"/>
      <c r="D848" s="373"/>
      <c r="E848" s="373"/>
      <c r="F848" s="373"/>
      <c r="G848" s="373"/>
      <c r="H848" s="373"/>
      <c r="I848" s="373"/>
    </row>
    <row r="849" spans="2:15" x14ac:dyDescent="0.25">
      <c r="B849" s="380" t="s">
        <v>309</v>
      </c>
      <c r="C849" s="381"/>
      <c r="D849" s="381"/>
      <c r="E849" s="381"/>
      <c r="F849" s="381"/>
      <c r="G849" s="381"/>
      <c r="H849" s="381"/>
      <c r="I849" s="382"/>
      <c r="K849" s="182"/>
    </row>
    <row r="850" spans="2:15" ht="11.25" customHeight="1" x14ac:dyDescent="0.25">
      <c r="B850" s="377" t="s">
        <v>310</v>
      </c>
      <c r="C850" s="378"/>
      <c r="D850" s="379"/>
      <c r="E850" s="136"/>
      <c r="F850" s="137" t="s">
        <v>311</v>
      </c>
      <c r="G850" s="137" t="s">
        <v>312</v>
      </c>
      <c r="H850" s="137" t="s">
        <v>313</v>
      </c>
      <c r="I850" s="138" t="s">
        <v>314</v>
      </c>
      <c r="L850" s="139"/>
      <c r="M850" s="139"/>
    </row>
    <row r="851" spans="2:15" ht="11.25" customHeight="1" x14ac:dyDescent="0.25">
      <c r="B851" s="362" t="s">
        <v>315</v>
      </c>
      <c r="C851" s="363"/>
      <c r="D851" s="363"/>
      <c r="E851" s="160"/>
      <c r="F851" s="161" t="s">
        <v>316</v>
      </c>
      <c r="G851" s="160">
        <v>5000</v>
      </c>
      <c r="H851" s="142">
        <v>0.5</v>
      </c>
      <c r="I851" s="143">
        <f>G851*H851</f>
        <v>2500</v>
      </c>
    </row>
    <row r="852" spans="2:15" ht="16.5" customHeight="1" x14ac:dyDescent="0.25">
      <c r="B852" s="362" t="s">
        <v>355</v>
      </c>
      <c r="C852" s="363"/>
      <c r="D852" s="363"/>
      <c r="E852" s="160"/>
      <c r="F852" s="161" t="s">
        <v>317</v>
      </c>
      <c r="G852" s="160">
        <v>90000</v>
      </c>
      <c r="H852" s="142">
        <v>0.5</v>
      </c>
      <c r="I852" s="143">
        <f>G852*H852</f>
        <v>45000</v>
      </c>
    </row>
    <row r="853" spans="2:15" ht="10.5" customHeight="1" thickBot="1" x14ac:dyDescent="0.3">
      <c r="B853" s="371" t="s">
        <v>318</v>
      </c>
      <c r="C853" s="372"/>
      <c r="D853" s="372"/>
      <c r="E853" s="372"/>
      <c r="F853" s="372"/>
      <c r="G853" s="372"/>
      <c r="H853" s="372"/>
      <c r="I853" s="144">
        <f>SUM(I851:I852)</f>
        <v>47500</v>
      </c>
      <c r="N853" s="150"/>
    </row>
    <row r="854" spans="2:15" ht="6" customHeight="1" thickBot="1" x14ac:dyDescent="0.3">
      <c r="B854" s="373"/>
      <c r="C854" s="373"/>
      <c r="D854" s="373"/>
      <c r="E854" s="373"/>
      <c r="F854" s="373"/>
      <c r="G854" s="373"/>
      <c r="H854" s="373"/>
      <c r="I854" s="373"/>
    </row>
    <row r="855" spans="2:15" s="145" customFormat="1" x14ac:dyDescent="0.25">
      <c r="B855" s="380" t="s">
        <v>319</v>
      </c>
      <c r="C855" s="381"/>
      <c r="D855" s="381"/>
      <c r="E855" s="381"/>
      <c r="F855" s="381"/>
      <c r="G855" s="381"/>
      <c r="H855" s="381"/>
      <c r="I855" s="382"/>
    </row>
    <row r="856" spans="2:15" s="145" customFormat="1" ht="15.75" customHeight="1" x14ac:dyDescent="0.25">
      <c r="B856" s="377" t="s">
        <v>310</v>
      </c>
      <c r="C856" s="378"/>
      <c r="D856" s="379"/>
      <c r="E856" s="137"/>
      <c r="F856" s="137" t="s">
        <v>320</v>
      </c>
      <c r="G856" s="137" t="s">
        <v>321</v>
      </c>
      <c r="H856" s="137" t="s">
        <v>322</v>
      </c>
      <c r="I856" s="138" t="s">
        <v>314</v>
      </c>
    </row>
    <row r="857" spans="2:15" ht="74.25" customHeight="1" x14ac:dyDescent="0.25">
      <c r="B857" s="436" t="s">
        <v>564</v>
      </c>
      <c r="C857" s="437"/>
      <c r="D857" s="438"/>
      <c r="E857" s="163"/>
      <c r="F857" s="161" t="s">
        <v>27</v>
      </c>
      <c r="G857" s="160">
        <f>965500-38000-15000+68000+431993+1126495+1230137+474855-961710-481855-1443350+3146343+582673-1483241-2245775+1196923+3816555-247501+1315423-6073843+2959358-1731916+1-1472142+1</f>
        <v>1119924</v>
      </c>
      <c r="H857" s="142">
        <v>1</v>
      </c>
      <c r="I857" s="143">
        <f>G857*H857</f>
        <v>1119924</v>
      </c>
    </row>
    <row r="858" spans="2:15" ht="10.5" customHeight="1" thickBot="1" x14ac:dyDescent="0.3">
      <c r="B858" s="371" t="s">
        <v>318</v>
      </c>
      <c r="C858" s="372"/>
      <c r="D858" s="372"/>
      <c r="E858" s="372"/>
      <c r="F858" s="372"/>
      <c r="G858" s="372"/>
      <c r="H858" s="372"/>
      <c r="I858" s="144">
        <f>SUM(I857:I857)</f>
        <v>1119924</v>
      </c>
      <c r="N858" s="150"/>
    </row>
    <row r="859" spans="2:15" ht="6" customHeight="1" thickBot="1" x14ac:dyDescent="0.3">
      <c r="B859" s="373"/>
      <c r="C859" s="373"/>
      <c r="D859" s="373"/>
      <c r="E859" s="373"/>
      <c r="F859" s="373"/>
      <c r="G859" s="373"/>
      <c r="H859" s="373"/>
      <c r="I859" s="373"/>
    </row>
    <row r="860" spans="2:15" s="145" customFormat="1" x14ac:dyDescent="0.25">
      <c r="B860" s="380" t="s">
        <v>323</v>
      </c>
      <c r="C860" s="381"/>
      <c r="D860" s="381"/>
      <c r="E860" s="381"/>
      <c r="F860" s="381"/>
      <c r="G860" s="381"/>
      <c r="H860" s="381"/>
      <c r="I860" s="382"/>
      <c r="L860" s="146"/>
      <c r="M860" s="146"/>
    </row>
    <row r="861" spans="2:15" s="145" customFormat="1" x14ac:dyDescent="0.25">
      <c r="B861" s="377" t="s">
        <v>324</v>
      </c>
      <c r="C861" s="378"/>
      <c r="D861" s="379"/>
      <c r="E861" s="137" t="s">
        <v>325</v>
      </c>
      <c r="F861" s="137" t="s">
        <v>326</v>
      </c>
      <c r="G861" s="137" t="s">
        <v>130</v>
      </c>
      <c r="H861" s="137" t="s">
        <v>327</v>
      </c>
      <c r="I861" s="138" t="s">
        <v>314</v>
      </c>
      <c r="K861" s="260"/>
      <c r="N861" s="183"/>
      <c r="O861" s="148"/>
    </row>
    <row r="862" spans="2:15" ht="11.25" customHeight="1" x14ac:dyDescent="0.25">
      <c r="B862" s="362" t="s">
        <v>711</v>
      </c>
      <c r="C862" s="363"/>
      <c r="D862" s="363"/>
      <c r="E862" s="170">
        <v>1</v>
      </c>
      <c r="F862" s="164"/>
      <c r="G862" s="161"/>
      <c r="H862" s="162">
        <v>15000</v>
      </c>
      <c r="I862" s="143">
        <f>H862*E862</f>
        <v>15000</v>
      </c>
    </row>
    <row r="863" spans="2:15" ht="10.5" customHeight="1" thickBot="1" x14ac:dyDescent="0.3">
      <c r="B863" s="371" t="s">
        <v>318</v>
      </c>
      <c r="C863" s="372"/>
      <c r="D863" s="372"/>
      <c r="E863" s="372"/>
      <c r="F863" s="372"/>
      <c r="G863" s="372"/>
      <c r="H863" s="372"/>
      <c r="I863" s="144">
        <f>SUM(I862:I862)</f>
        <v>15000</v>
      </c>
      <c r="N863" s="150"/>
    </row>
    <row r="864" spans="2:15" ht="6" customHeight="1" thickBot="1" x14ac:dyDescent="0.3">
      <c r="B864" s="373"/>
      <c r="C864" s="373"/>
      <c r="D864" s="373"/>
      <c r="E864" s="373"/>
      <c r="F864" s="373"/>
      <c r="G864" s="373"/>
      <c r="H864" s="373"/>
      <c r="I864" s="373"/>
    </row>
    <row r="865" spans="2:15" s="145" customFormat="1" ht="20.100000000000001" customHeight="1" x14ac:dyDescent="0.25">
      <c r="B865" s="380" t="s">
        <v>328</v>
      </c>
      <c r="C865" s="381"/>
      <c r="D865" s="381"/>
      <c r="E865" s="381"/>
      <c r="F865" s="381"/>
      <c r="G865" s="381"/>
      <c r="H865" s="381"/>
      <c r="I865" s="382"/>
      <c r="N865" s="148"/>
      <c r="O865" s="149"/>
    </row>
    <row r="866" spans="2:15" s="145" customFormat="1" ht="20.100000000000001" customHeight="1" x14ac:dyDescent="0.25">
      <c r="B866" s="377" t="s">
        <v>329</v>
      </c>
      <c r="C866" s="379"/>
      <c r="D866" s="137" t="s">
        <v>322</v>
      </c>
      <c r="E866" s="137" t="s">
        <v>330</v>
      </c>
      <c r="F866" s="137" t="s">
        <v>331</v>
      </c>
      <c r="G866" s="137" t="s">
        <v>332</v>
      </c>
      <c r="H866" s="137" t="s">
        <v>313</v>
      </c>
      <c r="I866" s="138" t="s">
        <v>314</v>
      </c>
      <c r="O866" s="179"/>
    </row>
    <row r="867" spans="2:15" s="151" customFormat="1" ht="9.75" customHeight="1" x14ac:dyDescent="0.25">
      <c r="B867" s="367" t="s">
        <v>356</v>
      </c>
      <c r="C867" s="368"/>
      <c r="D867" s="180">
        <v>1</v>
      </c>
      <c r="E867" s="141">
        <v>140000</v>
      </c>
      <c r="F867" s="141">
        <f>+E867*0.8</f>
        <v>112000</v>
      </c>
      <c r="G867" s="178">
        <f>D867*E867+F867*D867</f>
        <v>252000</v>
      </c>
      <c r="H867" s="184">
        <v>3.5</v>
      </c>
      <c r="I867" s="143">
        <f>+G867/H867</f>
        <v>72000</v>
      </c>
      <c r="J867" s="145"/>
      <c r="K867" s="147">
        <f>+K870-I872</f>
        <v>-0.5</v>
      </c>
    </row>
    <row r="868" spans="2:15" s="151" customFormat="1" ht="11.25" customHeight="1" x14ac:dyDescent="0.25">
      <c r="B868" s="367" t="s">
        <v>374</v>
      </c>
      <c r="C868" s="368"/>
      <c r="D868" s="180">
        <v>1</v>
      </c>
      <c r="E868" s="141">
        <v>80000</v>
      </c>
      <c r="F868" s="141">
        <f>+E868*0.8</f>
        <v>64000</v>
      </c>
      <c r="G868" s="178">
        <f>D868*E868+F868*D868</f>
        <v>144000</v>
      </c>
      <c r="H868" s="184">
        <f>+H867</f>
        <v>3.5</v>
      </c>
      <c r="I868" s="143">
        <f>+G868/H868</f>
        <v>41142.857142857145</v>
      </c>
      <c r="J868" s="145"/>
      <c r="K868" s="147"/>
      <c r="L868" s="179"/>
      <c r="M868" s="179"/>
    </row>
    <row r="869" spans="2:15" s="145" customFormat="1" ht="10.5" customHeight="1" x14ac:dyDescent="0.25">
      <c r="B869" s="367" t="s">
        <v>333</v>
      </c>
      <c r="C869" s="368"/>
      <c r="D869" s="180">
        <v>2</v>
      </c>
      <c r="E869" s="141">
        <v>55000</v>
      </c>
      <c r="F869" s="141">
        <f>+E869*0.8</f>
        <v>44000</v>
      </c>
      <c r="G869" s="178">
        <f>D869*E869+F869*D869</f>
        <v>198000</v>
      </c>
      <c r="H869" s="184">
        <f>+H867</f>
        <v>3.5</v>
      </c>
      <c r="I869" s="143">
        <f>+G869/H869</f>
        <v>56571.428571428572</v>
      </c>
      <c r="K869" s="147"/>
    </row>
    <row r="870" spans="2:15" ht="10.5" customHeight="1" thickBot="1" x14ac:dyDescent="0.3">
      <c r="B870" s="371" t="s">
        <v>318</v>
      </c>
      <c r="C870" s="372"/>
      <c r="D870" s="372"/>
      <c r="E870" s="372"/>
      <c r="F870" s="372"/>
      <c r="G870" s="372"/>
      <c r="H870" s="372"/>
      <c r="I870" s="144">
        <f>SUM(I867:I869)</f>
        <v>169714.28571428571</v>
      </c>
      <c r="K870" s="281">
        <v>1352137.5</v>
      </c>
      <c r="N870" s="150"/>
    </row>
    <row r="871" spans="2:15" ht="6" customHeight="1" thickBot="1" x14ac:dyDescent="0.3">
      <c r="B871" s="373"/>
      <c r="C871" s="373"/>
      <c r="D871" s="373"/>
      <c r="E871" s="373"/>
      <c r="F871" s="373"/>
      <c r="G871" s="373"/>
      <c r="H871" s="373"/>
      <c r="I871" s="373"/>
    </row>
    <row r="872" spans="2:15" ht="10.5" customHeight="1" thickBot="1" x14ac:dyDescent="0.3">
      <c r="B872" s="374" t="s">
        <v>334</v>
      </c>
      <c r="C872" s="375"/>
      <c r="D872" s="375"/>
      <c r="E872" s="375"/>
      <c r="F872" s="375"/>
      <c r="G872" s="375"/>
      <c r="H872" s="376"/>
      <c r="I872" s="152">
        <f>ROUND(+I853+I858+I863+I870,0)</f>
        <v>1352138</v>
      </c>
      <c r="J872" s="281"/>
      <c r="K872" s="169"/>
      <c r="L872" s="181"/>
      <c r="M872" s="181"/>
      <c r="N872" s="153"/>
    </row>
    <row r="873" spans="2:15" ht="6" customHeight="1" thickBot="1" x14ac:dyDescent="0.3">
      <c r="B873" s="373"/>
      <c r="C873" s="373"/>
      <c r="D873" s="373"/>
      <c r="E873" s="373"/>
      <c r="F873" s="373"/>
      <c r="G873" s="373"/>
      <c r="H873" s="373"/>
      <c r="I873" s="373"/>
    </row>
    <row r="874" spans="2:15" ht="8.25" customHeight="1" x14ac:dyDescent="0.25">
      <c r="B874" s="433" t="s">
        <v>335</v>
      </c>
      <c r="C874" s="417"/>
      <c r="D874" s="418"/>
      <c r="E874" s="418"/>
      <c r="F874" s="419"/>
      <c r="G874" s="369" t="s">
        <v>336</v>
      </c>
      <c r="H874" s="370"/>
      <c r="I874" s="370"/>
    </row>
    <row r="875" spans="2:15" ht="33.75" customHeight="1" x14ac:dyDescent="0.25">
      <c r="B875" s="434"/>
      <c r="C875" s="420"/>
      <c r="D875" s="421"/>
      <c r="E875" s="421"/>
      <c r="F875" s="422"/>
      <c r="G875" s="430" t="s">
        <v>337</v>
      </c>
      <c r="H875" s="431"/>
      <c r="I875" s="431"/>
      <c r="L875" s="181"/>
      <c r="M875" s="181"/>
      <c r="N875" s="179"/>
    </row>
    <row r="876" spans="2:15" ht="13.5" customHeight="1" x14ac:dyDescent="0.25">
      <c r="B876" s="434"/>
      <c r="C876" s="420"/>
      <c r="D876" s="421"/>
      <c r="E876" s="421"/>
      <c r="F876" s="422"/>
      <c r="G876" s="154" t="s">
        <v>92</v>
      </c>
      <c r="H876" s="432" t="s">
        <v>93</v>
      </c>
      <c r="I876" s="432"/>
    </row>
    <row r="877" spans="2:15" ht="16.5" customHeight="1" x14ac:dyDescent="0.25">
      <c r="B877" s="435"/>
      <c r="C877" s="420"/>
      <c r="D877" s="421"/>
      <c r="E877" s="421"/>
      <c r="F877" s="422"/>
      <c r="G877" s="155" t="s">
        <v>94</v>
      </c>
      <c r="H877" s="156" t="s">
        <v>95</v>
      </c>
      <c r="I877" s="157" t="s">
        <v>96</v>
      </c>
    </row>
    <row r="878" spans="2:15" x14ac:dyDescent="0.25">
      <c r="B878" s="268" t="s">
        <v>18</v>
      </c>
      <c r="C878" s="427"/>
      <c r="D878" s="428"/>
      <c r="E878" s="428"/>
      <c r="F878" s="429"/>
      <c r="G878" s="155" t="s">
        <v>98</v>
      </c>
      <c r="H878" s="157" t="s">
        <v>99</v>
      </c>
      <c r="I878" s="157" t="s">
        <v>100</v>
      </c>
    </row>
    <row r="879" spans="2:15" x14ac:dyDescent="0.25">
      <c r="B879" s="269" t="s">
        <v>97</v>
      </c>
      <c r="C879" s="427"/>
      <c r="D879" s="428"/>
      <c r="E879" s="428"/>
      <c r="F879" s="429"/>
      <c r="G879" s="154" t="s">
        <v>338</v>
      </c>
      <c r="H879" s="426"/>
      <c r="I879" s="426"/>
    </row>
    <row r="880" spans="2:15" ht="15.75" thickBot="1" x14ac:dyDescent="0.3">
      <c r="B880" s="270" t="s">
        <v>101</v>
      </c>
      <c r="C880" s="423"/>
      <c r="D880" s="424"/>
      <c r="E880" s="424"/>
      <c r="F880" s="425"/>
      <c r="G880" s="154" t="s">
        <v>102</v>
      </c>
      <c r="H880" s="426" t="s">
        <v>103</v>
      </c>
      <c r="I880" s="426"/>
    </row>
    <row r="881" spans="2:13" ht="45" customHeight="1" thickBot="1" x14ac:dyDescent="0.3">
      <c r="B881" s="401"/>
      <c r="C881" s="402"/>
      <c r="D881" s="402"/>
      <c r="E881" s="402"/>
      <c r="F881" s="403" t="s">
        <v>0</v>
      </c>
      <c r="G881" s="403"/>
      <c r="H881" s="403"/>
      <c r="I881" s="404"/>
    </row>
    <row r="882" spans="2:13" ht="6" customHeight="1" thickBot="1" x14ac:dyDescent="0.3">
      <c r="B882" s="373"/>
      <c r="C882" s="373"/>
      <c r="D882" s="373"/>
      <c r="E882" s="373"/>
      <c r="F882" s="373"/>
      <c r="G882" s="373"/>
      <c r="H882" s="373"/>
      <c r="I882" s="373"/>
    </row>
    <row r="883" spans="2:13" ht="10.5" customHeight="1" x14ac:dyDescent="0.25">
      <c r="B883" s="405" t="s">
        <v>294</v>
      </c>
      <c r="C883" s="406"/>
      <c r="D883" s="407" t="s">
        <v>295</v>
      </c>
      <c r="E883" s="409" t="s">
        <v>296</v>
      </c>
      <c r="F883" s="410"/>
      <c r="G883" s="410"/>
      <c r="H883" s="410"/>
      <c r="I883" s="411"/>
    </row>
    <row r="884" spans="2:13" ht="9" customHeight="1" thickBot="1" x14ac:dyDescent="0.3">
      <c r="B884" s="415"/>
      <c r="C884" s="416"/>
      <c r="D884" s="408"/>
      <c r="E884" s="412"/>
      <c r="F884" s="413"/>
      <c r="G884" s="413"/>
      <c r="H884" s="413"/>
      <c r="I884" s="414"/>
    </row>
    <row r="885" spans="2:13" ht="6" customHeight="1" thickBot="1" x14ac:dyDescent="0.3">
      <c r="B885" s="373"/>
      <c r="C885" s="373"/>
      <c r="D885" s="373"/>
      <c r="E885" s="373"/>
      <c r="F885" s="373"/>
      <c r="G885" s="373"/>
      <c r="H885" s="373"/>
      <c r="I885" s="373"/>
    </row>
    <row r="886" spans="2:13" ht="17.25" customHeight="1" thickBot="1" x14ac:dyDescent="0.3">
      <c r="B886" s="390" t="s">
        <v>297</v>
      </c>
      <c r="C886" s="391"/>
      <c r="D886" s="392"/>
      <c r="E886" s="393"/>
      <c r="F886" s="393"/>
      <c r="G886" s="394"/>
      <c r="H886" s="127" t="s">
        <v>298</v>
      </c>
      <c r="I886" s="128"/>
    </row>
    <row r="887" spans="2:13" ht="6" customHeight="1" thickBot="1" x14ac:dyDescent="0.3">
      <c r="B887" s="373"/>
      <c r="C887" s="373"/>
      <c r="D887" s="373"/>
      <c r="E887" s="373"/>
      <c r="F887" s="373"/>
      <c r="G887" s="373"/>
      <c r="H887" s="373"/>
      <c r="I887" s="373"/>
    </row>
    <row r="888" spans="2:13" ht="19.5" customHeight="1" x14ac:dyDescent="0.25">
      <c r="B888" s="261" t="s">
        <v>299</v>
      </c>
      <c r="C888" s="129" t="s">
        <v>300</v>
      </c>
      <c r="D888" s="130" t="s">
        <v>301</v>
      </c>
      <c r="E888" s="130" t="s">
        <v>302</v>
      </c>
      <c r="F888" s="398" t="s">
        <v>303</v>
      </c>
      <c r="G888" s="399"/>
      <c r="H888" s="400"/>
      <c r="I888" s="131" t="s">
        <v>304</v>
      </c>
    </row>
    <row r="889" spans="2:13" ht="11.25" customHeight="1" x14ac:dyDescent="0.25">
      <c r="B889" s="262"/>
      <c r="C889" s="132"/>
      <c r="D889" s="132" t="s">
        <v>305</v>
      </c>
      <c r="E889" s="132" t="s">
        <v>306</v>
      </c>
      <c r="F889" s="395" t="s">
        <v>339</v>
      </c>
      <c r="G889" s="396"/>
      <c r="H889" s="397"/>
      <c r="I889" s="133"/>
    </row>
    <row r="890" spans="2:13" ht="28.5" customHeight="1" x14ac:dyDescent="0.25">
      <c r="B890" s="263" t="s">
        <v>307</v>
      </c>
      <c r="C890" s="383" t="s">
        <v>414</v>
      </c>
      <c r="D890" s="384"/>
      <c r="E890" s="384"/>
      <c r="F890" s="384"/>
      <c r="G890" s="384"/>
      <c r="H890" s="384"/>
      <c r="I890" s="385"/>
    </row>
    <row r="891" spans="2:13" ht="10.5" customHeight="1" x14ac:dyDescent="0.25">
      <c r="B891" s="264" t="s">
        <v>129</v>
      </c>
      <c r="C891" s="388" t="s">
        <v>308</v>
      </c>
      <c r="D891" s="389"/>
      <c r="E891" s="389"/>
      <c r="F891" s="389"/>
      <c r="G891" s="389"/>
      <c r="H891" s="389"/>
      <c r="I891" s="134" t="s">
        <v>130</v>
      </c>
    </row>
    <row r="892" spans="2:13" ht="50.25" customHeight="1" thickBot="1" x14ac:dyDescent="0.3">
      <c r="B892" s="265">
        <v>5.3199999999999958</v>
      </c>
      <c r="C892" s="386" t="s">
        <v>565</v>
      </c>
      <c r="D892" s="387"/>
      <c r="E892" s="387"/>
      <c r="F892" s="387"/>
      <c r="G892" s="387"/>
      <c r="H892" s="387"/>
      <c r="I892" s="135" t="s">
        <v>27</v>
      </c>
    </row>
    <row r="893" spans="2:13" ht="6" customHeight="1" thickBot="1" x14ac:dyDescent="0.3">
      <c r="B893" s="373"/>
      <c r="C893" s="373"/>
      <c r="D893" s="373"/>
      <c r="E893" s="373"/>
      <c r="F893" s="373"/>
      <c r="G893" s="373"/>
      <c r="H893" s="373"/>
      <c r="I893" s="373"/>
    </row>
    <row r="894" spans="2:13" x14ac:dyDescent="0.25">
      <c r="B894" s="380" t="s">
        <v>309</v>
      </c>
      <c r="C894" s="381"/>
      <c r="D894" s="381"/>
      <c r="E894" s="381"/>
      <c r="F894" s="381"/>
      <c r="G894" s="381"/>
      <c r="H894" s="381"/>
      <c r="I894" s="382"/>
      <c r="K894" s="182"/>
    </row>
    <row r="895" spans="2:13" ht="11.25" customHeight="1" x14ac:dyDescent="0.25">
      <c r="B895" s="377" t="s">
        <v>310</v>
      </c>
      <c r="C895" s="378"/>
      <c r="D895" s="379"/>
      <c r="E895" s="136"/>
      <c r="F895" s="137" t="s">
        <v>311</v>
      </c>
      <c r="G895" s="137" t="s">
        <v>312</v>
      </c>
      <c r="H895" s="137" t="s">
        <v>313</v>
      </c>
      <c r="I895" s="138" t="s">
        <v>314</v>
      </c>
      <c r="L895" s="139"/>
      <c r="M895" s="139"/>
    </row>
    <row r="896" spans="2:13" ht="11.25" customHeight="1" x14ac:dyDescent="0.25">
      <c r="B896" s="362" t="s">
        <v>315</v>
      </c>
      <c r="C896" s="363"/>
      <c r="D896" s="363"/>
      <c r="E896" s="160"/>
      <c r="F896" s="161" t="s">
        <v>316</v>
      </c>
      <c r="G896" s="160">
        <v>5000</v>
      </c>
      <c r="H896" s="142">
        <v>0.8</v>
      </c>
      <c r="I896" s="143">
        <f>G896*H896</f>
        <v>4000</v>
      </c>
    </row>
    <row r="897" spans="2:15" ht="16.5" customHeight="1" x14ac:dyDescent="0.25">
      <c r="B897" s="362" t="s">
        <v>355</v>
      </c>
      <c r="C897" s="363"/>
      <c r="D897" s="363"/>
      <c r="E897" s="160"/>
      <c r="F897" s="161" t="s">
        <v>317</v>
      </c>
      <c r="G897" s="160">
        <v>90000</v>
      </c>
      <c r="H897" s="142">
        <v>0.8</v>
      </c>
      <c r="I897" s="143">
        <f>G897*H897</f>
        <v>72000</v>
      </c>
    </row>
    <row r="898" spans="2:15" ht="10.5" customHeight="1" thickBot="1" x14ac:dyDescent="0.3">
      <c r="B898" s="371" t="s">
        <v>318</v>
      </c>
      <c r="C898" s="372"/>
      <c r="D898" s="372"/>
      <c r="E898" s="372"/>
      <c r="F898" s="372"/>
      <c r="G898" s="372"/>
      <c r="H898" s="372"/>
      <c r="I898" s="144">
        <f>SUM(I896:I897)</f>
        <v>76000</v>
      </c>
      <c r="N898" s="150"/>
    </row>
    <row r="899" spans="2:15" ht="6" customHeight="1" thickBot="1" x14ac:dyDescent="0.3">
      <c r="B899" s="373"/>
      <c r="C899" s="373"/>
      <c r="D899" s="373"/>
      <c r="E899" s="373"/>
      <c r="F899" s="373"/>
      <c r="G899" s="373"/>
      <c r="H899" s="373"/>
      <c r="I899" s="373"/>
    </row>
    <row r="900" spans="2:15" s="145" customFormat="1" x14ac:dyDescent="0.25">
      <c r="B900" s="380" t="s">
        <v>319</v>
      </c>
      <c r="C900" s="381"/>
      <c r="D900" s="381"/>
      <c r="E900" s="381"/>
      <c r="F900" s="381"/>
      <c r="G900" s="381"/>
      <c r="H900" s="381"/>
      <c r="I900" s="382"/>
    </row>
    <row r="901" spans="2:15" s="145" customFormat="1" ht="15.75" customHeight="1" x14ac:dyDescent="0.25">
      <c r="B901" s="377" t="s">
        <v>310</v>
      </c>
      <c r="C901" s="378"/>
      <c r="D901" s="379"/>
      <c r="E901" s="137"/>
      <c r="F901" s="137" t="s">
        <v>320</v>
      </c>
      <c r="G901" s="137" t="s">
        <v>321</v>
      </c>
      <c r="H901" s="137" t="s">
        <v>322</v>
      </c>
      <c r="I901" s="138" t="s">
        <v>314</v>
      </c>
    </row>
    <row r="902" spans="2:15" ht="74.25" customHeight="1" x14ac:dyDescent="0.25">
      <c r="B902" s="436" t="s">
        <v>565</v>
      </c>
      <c r="C902" s="437"/>
      <c r="D902" s="438"/>
      <c r="E902" s="163"/>
      <c r="F902" s="161" t="s">
        <v>27</v>
      </c>
      <c r="G902" s="160">
        <f>965500-38000-15000+68000+431993+1126495+1230137+474855-961710-481855-1443350+3146343+582673-1483241-2245775+1196923+3816555-247501+1315423-6073843+2959358-1731916+1-1472142+1+1893634</f>
        <v>3013558</v>
      </c>
      <c r="H902" s="142">
        <v>1</v>
      </c>
      <c r="I902" s="143">
        <f>G902*H902</f>
        <v>3013558</v>
      </c>
    </row>
    <row r="903" spans="2:15" ht="10.5" customHeight="1" thickBot="1" x14ac:dyDescent="0.3">
      <c r="B903" s="371" t="s">
        <v>318</v>
      </c>
      <c r="C903" s="372"/>
      <c r="D903" s="372"/>
      <c r="E903" s="372"/>
      <c r="F903" s="372"/>
      <c r="G903" s="372"/>
      <c r="H903" s="372"/>
      <c r="I903" s="144">
        <f>SUM(I902:I902)</f>
        <v>3013558</v>
      </c>
      <c r="N903" s="150"/>
    </row>
    <row r="904" spans="2:15" ht="6" customHeight="1" thickBot="1" x14ac:dyDescent="0.3">
      <c r="B904" s="373"/>
      <c r="C904" s="373"/>
      <c r="D904" s="373"/>
      <c r="E904" s="373"/>
      <c r="F904" s="373"/>
      <c r="G904" s="373"/>
      <c r="H904" s="373"/>
      <c r="I904" s="373"/>
    </row>
    <row r="905" spans="2:15" s="145" customFormat="1" x14ac:dyDescent="0.25">
      <c r="B905" s="380" t="s">
        <v>323</v>
      </c>
      <c r="C905" s="381"/>
      <c r="D905" s="381"/>
      <c r="E905" s="381"/>
      <c r="F905" s="381"/>
      <c r="G905" s="381"/>
      <c r="H905" s="381"/>
      <c r="I905" s="382"/>
      <c r="L905" s="146"/>
      <c r="M905" s="146"/>
    </row>
    <row r="906" spans="2:15" s="145" customFormat="1" x14ac:dyDescent="0.25">
      <c r="B906" s="377" t="s">
        <v>324</v>
      </c>
      <c r="C906" s="378"/>
      <c r="D906" s="379"/>
      <c r="E906" s="137" t="s">
        <v>325</v>
      </c>
      <c r="F906" s="137" t="s">
        <v>326</v>
      </c>
      <c r="G906" s="137" t="s">
        <v>130</v>
      </c>
      <c r="H906" s="137" t="s">
        <v>327</v>
      </c>
      <c r="I906" s="138" t="s">
        <v>314</v>
      </c>
      <c r="K906" s="260"/>
      <c r="N906" s="183"/>
      <c r="O906" s="148"/>
    </row>
    <row r="907" spans="2:15" ht="11.25" customHeight="1" x14ac:dyDescent="0.25">
      <c r="B907" s="362" t="s">
        <v>711</v>
      </c>
      <c r="C907" s="363"/>
      <c r="D907" s="363"/>
      <c r="E907" s="170">
        <v>1</v>
      </c>
      <c r="F907" s="164"/>
      <c r="G907" s="161"/>
      <c r="H907" s="162">
        <v>30000</v>
      </c>
      <c r="I907" s="143">
        <f>H907*E907</f>
        <v>30000</v>
      </c>
    </row>
    <row r="908" spans="2:15" ht="10.5" customHeight="1" thickBot="1" x14ac:dyDescent="0.3">
      <c r="B908" s="371" t="s">
        <v>318</v>
      </c>
      <c r="C908" s="372"/>
      <c r="D908" s="372"/>
      <c r="E908" s="372"/>
      <c r="F908" s="372"/>
      <c r="G908" s="372"/>
      <c r="H908" s="372"/>
      <c r="I908" s="144">
        <f>SUM(I907:I907)</f>
        <v>30000</v>
      </c>
      <c r="N908" s="150"/>
    </row>
    <row r="909" spans="2:15" ht="6" customHeight="1" thickBot="1" x14ac:dyDescent="0.3">
      <c r="B909" s="373"/>
      <c r="C909" s="373"/>
      <c r="D909" s="373"/>
      <c r="E909" s="373"/>
      <c r="F909" s="373"/>
      <c r="G909" s="373"/>
      <c r="H909" s="373"/>
      <c r="I909" s="373"/>
    </row>
    <row r="910" spans="2:15" s="145" customFormat="1" ht="20.100000000000001" customHeight="1" x14ac:dyDescent="0.25">
      <c r="B910" s="380" t="s">
        <v>328</v>
      </c>
      <c r="C910" s="381"/>
      <c r="D910" s="381"/>
      <c r="E910" s="381"/>
      <c r="F910" s="381"/>
      <c r="G910" s="381"/>
      <c r="H910" s="381"/>
      <c r="I910" s="382"/>
      <c r="N910" s="148"/>
      <c r="O910" s="149"/>
    </row>
    <row r="911" spans="2:15" s="145" customFormat="1" ht="20.100000000000001" customHeight="1" x14ac:dyDescent="0.25">
      <c r="B911" s="377" t="s">
        <v>329</v>
      </c>
      <c r="C911" s="379"/>
      <c r="D911" s="137" t="s">
        <v>322</v>
      </c>
      <c r="E911" s="137" t="s">
        <v>330</v>
      </c>
      <c r="F911" s="137" t="s">
        <v>331</v>
      </c>
      <c r="G911" s="137" t="s">
        <v>332</v>
      </c>
      <c r="H911" s="137" t="s">
        <v>313</v>
      </c>
      <c r="I911" s="138" t="s">
        <v>314</v>
      </c>
      <c r="O911" s="179"/>
    </row>
    <row r="912" spans="2:15" s="151" customFormat="1" ht="9.75" customHeight="1" x14ac:dyDescent="0.25">
      <c r="B912" s="367" t="s">
        <v>356</v>
      </c>
      <c r="C912" s="368"/>
      <c r="D912" s="180">
        <v>1</v>
      </c>
      <c r="E912" s="141">
        <v>140000</v>
      </c>
      <c r="F912" s="141">
        <f>+E912*0.8</f>
        <v>112000</v>
      </c>
      <c r="G912" s="178">
        <f>D912*E912+F912*D912</f>
        <v>252000</v>
      </c>
      <c r="H912" s="184">
        <v>1.5</v>
      </c>
      <c r="I912" s="143">
        <f>+G912/H912</f>
        <v>168000</v>
      </c>
      <c r="J912" s="145"/>
      <c r="K912" s="147">
        <f>+K915-I917</f>
        <v>-0.5</v>
      </c>
    </row>
    <row r="913" spans="2:14" s="151" customFormat="1" ht="11.25" customHeight="1" x14ac:dyDescent="0.25">
      <c r="B913" s="367" t="s">
        <v>374</v>
      </c>
      <c r="C913" s="368"/>
      <c r="D913" s="180">
        <v>1</v>
      </c>
      <c r="E913" s="141">
        <v>80000</v>
      </c>
      <c r="F913" s="141">
        <f>+E913*0.8</f>
        <v>64000</v>
      </c>
      <c r="G913" s="178">
        <f>D913*E913+F913*D913</f>
        <v>144000</v>
      </c>
      <c r="H913" s="184">
        <f>+H912</f>
        <v>1.5</v>
      </c>
      <c r="I913" s="143">
        <f>+G913/H913</f>
        <v>96000</v>
      </c>
      <c r="J913" s="145"/>
      <c r="K913" s="147"/>
      <c r="L913" s="179"/>
      <c r="M913" s="179"/>
    </row>
    <row r="914" spans="2:14" s="145" customFormat="1" ht="10.5" customHeight="1" x14ac:dyDescent="0.25">
      <c r="B914" s="367" t="s">
        <v>333</v>
      </c>
      <c r="C914" s="368"/>
      <c r="D914" s="180">
        <v>2</v>
      </c>
      <c r="E914" s="141">
        <v>55000</v>
      </c>
      <c r="F914" s="141">
        <f>+E914*0.8</f>
        <v>44000</v>
      </c>
      <c r="G914" s="178">
        <f>D914*E914+F914*D914</f>
        <v>198000</v>
      </c>
      <c r="H914" s="184">
        <f>+H912</f>
        <v>1.5</v>
      </c>
      <c r="I914" s="143">
        <f>+G914/H914</f>
        <v>132000</v>
      </c>
      <c r="K914" s="147"/>
    </row>
    <row r="915" spans="2:14" ht="10.5" customHeight="1" thickBot="1" x14ac:dyDescent="0.3">
      <c r="B915" s="371" t="s">
        <v>318</v>
      </c>
      <c r="C915" s="372"/>
      <c r="D915" s="372"/>
      <c r="E915" s="372"/>
      <c r="F915" s="372"/>
      <c r="G915" s="372"/>
      <c r="H915" s="372"/>
      <c r="I915" s="144">
        <f>SUM(I912:I914)</f>
        <v>396000</v>
      </c>
      <c r="K915" s="281">
        <v>3515557.5</v>
      </c>
      <c r="N915" s="150"/>
    </row>
    <row r="916" spans="2:14" ht="6" customHeight="1" thickBot="1" x14ac:dyDescent="0.3">
      <c r="B916" s="373"/>
      <c r="C916" s="373"/>
      <c r="D916" s="373"/>
      <c r="E916" s="373"/>
      <c r="F916" s="373"/>
      <c r="G916" s="373"/>
      <c r="H916" s="373"/>
      <c r="I916" s="373"/>
    </row>
    <row r="917" spans="2:14" ht="10.5" customHeight="1" thickBot="1" x14ac:dyDescent="0.3">
      <c r="B917" s="374" t="s">
        <v>334</v>
      </c>
      <c r="C917" s="375"/>
      <c r="D917" s="375"/>
      <c r="E917" s="375"/>
      <c r="F917" s="375"/>
      <c r="G917" s="375"/>
      <c r="H917" s="376"/>
      <c r="I917" s="152">
        <f>ROUND(+I898+I903+I908+I915,0)</f>
        <v>3515558</v>
      </c>
      <c r="J917" s="281"/>
      <c r="K917" s="169"/>
      <c r="L917" s="181"/>
      <c r="M917" s="181"/>
      <c r="N917" s="153"/>
    </row>
    <row r="918" spans="2:14" ht="6" customHeight="1" thickBot="1" x14ac:dyDescent="0.3">
      <c r="B918" s="373"/>
      <c r="C918" s="373"/>
      <c r="D918" s="373"/>
      <c r="E918" s="373"/>
      <c r="F918" s="373"/>
      <c r="G918" s="373"/>
      <c r="H918" s="373"/>
      <c r="I918" s="373"/>
    </row>
    <row r="919" spans="2:14" ht="8.25" customHeight="1" x14ac:dyDescent="0.25">
      <c r="B919" s="433" t="s">
        <v>335</v>
      </c>
      <c r="C919" s="417"/>
      <c r="D919" s="418"/>
      <c r="E919" s="418"/>
      <c r="F919" s="419"/>
      <c r="G919" s="369" t="s">
        <v>336</v>
      </c>
      <c r="H919" s="370"/>
      <c r="I919" s="370"/>
    </row>
    <row r="920" spans="2:14" ht="33.75" customHeight="1" x14ac:dyDescent="0.25">
      <c r="B920" s="434"/>
      <c r="C920" s="420"/>
      <c r="D920" s="421"/>
      <c r="E920" s="421"/>
      <c r="F920" s="422"/>
      <c r="G920" s="430" t="s">
        <v>337</v>
      </c>
      <c r="H920" s="431"/>
      <c r="I920" s="431"/>
      <c r="L920" s="181"/>
      <c r="M920" s="181"/>
      <c r="N920" s="179"/>
    </row>
    <row r="921" spans="2:14" ht="13.5" customHeight="1" x14ac:dyDescent="0.25">
      <c r="B921" s="434"/>
      <c r="C921" s="420"/>
      <c r="D921" s="421"/>
      <c r="E921" s="421"/>
      <c r="F921" s="422"/>
      <c r="G921" s="154" t="s">
        <v>92</v>
      </c>
      <c r="H921" s="432" t="s">
        <v>93</v>
      </c>
      <c r="I921" s="432"/>
    </row>
    <row r="922" spans="2:14" ht="16.5" customHeight="1" x14ac:dyDescent="0.25">
      <c r="B922" s="435"/>
      <c r="C922" s="420"/>
      <c r="D922" s="421"/>
      <c r="E922" s="421"/>
      <c r="F922" s="422"/>
      <c r="G922" s="155" t="s">
        <v>94</v>
      </c>
      <c r="H922" s="156" t="s">
        <v>95</v>
      </c>
      <c r="I922" s="157" t="s">
        <v>96</v>
      </c>
    </row>
    <row r="923" spans="2:14" x14ac:dyDescent="0.25">
      <c r="B923" s="268" t="s">
        <v>18</v>
      </c>
      <c r="C923" s="427"/>
      <c r="D923" s="428"/>
      <c r="E923" s="428"/>
      <c r="F923" s="429"/>
      <c r="G923" s="155" t="s">
        <v>98</v>
      </c>
      <c r="H923" s="157" t="s">
        <v>99</v>
      </c>
      <c r="I923" s="157" t="s">
        <v>100</v>
      </c>
    </row>
    <row r="924" spans="2:14" x14ac:dyDescent="0.25">
      <c r="B924" s="269" t="s">
        <v>97</v>
      </c>
      <c r="C924" s="427"/>
      <c r="D924" s="428"/>
      <c r="E924" s="428"/>
      <c r="F924" s="429"/>
      <c r="G924" s="154" t="s">
        <v>338</v>
      </c>
      <c r="H924" s="426"/>
      <c r="I924" s="426"/>
    </row>
    <row r="925" spans="2:14" ht="15.75" thickBot="1" x14ac:dyDescent="0.3">
      <c r="B925" s="270" t="s">
        <v>101</v>
      </c>
      <c r="C925" s="423"/>
      <c r="D925" s="424"/>
      <c r="E925" s="424"/>
      <c r="F925" s="425"/>
      <c r="G925" s="154" t="s">
        <v>102</v>
      </c>
      <c r="H925" s="426" t="s">
        <v>103</v>
      </c>
      <c r="I925" s="426"/>
    </row>
    <row r="926" spans="2:14" ht="45" customHeight="1" thickBot="1" x14ac:dyDescent="0.3">
      <c r="B926" s="401"/>
      <c r="C926" s="402"/>
      <c r="D926" s="402"/>
      <c r="E926" s="402"/>
      <c r="F926" s="403" t="s">
        <v>0</v>
      </c>
      <c r="G926" s="403"/>
      <c r="H926" s="403"/>
      <c r="I926" s="404"/>
    </row>
    <row r="927" spans="2:14" ht="6" customHeight="1" thickBot="1" x14ac:dyDescent="0.3">
      <c r="B927" s="373"/>
      <c r="C927" s="373"/>
      <c r="D927" s="373"/>
      <c r="E927" s="373"/>
      <c r="F927" s="373"/>
      <c r="G927" s="373"/>
      <c r="H927" s="373"/>
      <c r="I927" s="373"/>
    </row>
    <row r="928" spans="2:14" ht="10.5" customHeight="1" x14ac:dyDescent="0.25">
      <c r="B928" s="405" t="s">
        <v>294</v>
      </c>
      <c r="C928" s="406"/>
      <c r="D928" s="407" t="s">
        <v>295</v>
      </c>
      <c r="E928" s="409" t="s">
        <v>296</v>
      </c>
      <c r="F928" s="410"/>
      <c r="G928" s="410"/>
      <c r="H928" s="410"/>
      <c r="I928" s="411"/>
    </row>
    <row r="929" spans="2:14" ht="9" customHeight="1" thickBot="1" x14ac:dyDescent="0.3">
      <c r="B929" s="415"/>
      <c r="C929" s="416"/>
      <c r="D929" s="408"/>
      <c r="E929" s="412"/>
      <c r="F929" s="413"/>
      <c r="G929" s="413"/>
      <c r="H929" s="413"/>
      <c r="I929" s="414"/>
    </row>
    <row r="930" spans="2:14" ht="6" customHeight="1" thickBot="1" x14ac:dyDescent="0.3">
      <c r="B930" s="373"/>
      <c r="C930" s="373"/>
      <c r="D930" s="373"/>
      <c r="E930" s="373"/>
      <c r="F930" s="373"/>
      <c r="G930" s="373"/>
      <c r="H930" s="373"/>
      <c r="I930" s="373"/>
    </row>
    <row r="931" spans="2:14" ht="17.25" customHeight="1" thickBot="1" x14ac:dyDescent="0.3">
      <c r="B931" s="390" t="s">
        <v>297</v>
      </c>
      <c r="C931" s="391"/>
      <c r="D931" s="392"/>
      <c r="E931" s="393"/>
      <c r="F931" s="393"/>
      <c r="G931" s="394"/>
      <c r="H931" s="127" t="s">
        <v>298</v>
      </c>
      <c r="I931" s="128"/>
    </row>
    <row r="932" spans="2:14" ht="6" customHeight="1" thickBot="1" x14ac:dyDescent="0.3">
      <c r="B932" s="373"/>
      <c r="C932" s="373"/>
      <c r="D932" s="373"/>
      <c r="E932" s="373"/>
      <c r="F932" s="373"/>
      <c r="G932" s="373"/>
      <c r="H932" s="373"/>
      <c r="I932" s="373"/>
    </row>
    <row r="933" spans="2:14" ht="19.5" customHeight="1" x14ac:dyDescent="0.25">
      <c r="B933" s="261" t="s">
        <v>299</v>
      </c>
      <c r="C933" s="129" t="s">
        <v>300</v>
      </c>
      <c r="D933" s="130" t="s">
        <v>301</v>
      </c>
      <c r="E933" s="130" t="s">
        <v>302</v>
      </c>
      <c r="F933" s="398" t="s">
        <v>303</v>
      </c>
      <c r="G933" s="399"/>
      <c r="H933" s="400"/>
      <c r="I933" s="131" t="s">
        <v>304</v>
      </c>
    </row>
    <row r="934" spans="2:14" ht="11.25" customHeight="1" x14ac:dyDescent="0.25">
      <c r="B934" s="262"/>
      <c r="C934" s="132"/>
      <c r="D934" s="132" t="s">
        <v>305</v>
      </c>
      <c r="E934" s="132" t="s">
        <v>306</v>
      </c>
      <c r="F934" s="395" t="s">
        <v>339</v>
      </c>
      <c r="G934" s="396"/>
      <c r="H934" s="397"/>
      <c r="I934" s="133"/>
    </row>
    <row r="935" spans="2:14" ht="28.5" customHeight="1" x14ac:dyDescent="0.25">
      <c r="B935" s="263" t="s">
        <v>307</v>
      </c>
      <c r="C935" s="383" t="s">
        <v>414</v>
      </c>
      <c r="D935" s="384"/>
      <c r="E935" s="384"/>
      <c r="F935" s="384"/>
      <c r="G935" s="384"/>
      <c r="H935" s="384"/>
      <c r="I935" s="385"/>
    </row>
    <row r="936" spans="2:14" ht="10.5" customHeight="1" x14ac:dyDescent="0.25">
      <c r="B936" s="264" t="s">
        <v>129</v>
      </c>
      <c r="C936" s="388" t="s">
        <v>308</v>
      </c>
      <c r="D936" s="389"/>
      <c r="E936" s="389"/>
      <c r="F936" s="389"/>
      <c r="G936" s="389"/>
      <c r="H936" s="389"/>
      <c r="I936" s="134" t="s">
        <v>130</v>
      </c>
    </row>
    <row r="937" spans="2:14" ht="50.25" customHeight="1" thickBot="1" x14ac:dyDescent="0.3">
      <c r="B937" s="265">
        <v>5.3299999999999956</v>
      </c>
      <c r="C937" s="386" t="s">
        <v>671</v>
      </c>
      <c r="D937" s="387"/>
      <c r="E937" s="387"/>
      <c r="F937" s="387"/>
      <c r="G937" s="387"/>
      <c r="H937" s="387"/>
      <c r="I937" s="135" t="s">
        <v>27</v>
      </c>
    </row>
    <row r="938" spans="2:14" ht="6" customHeight="1" thickBot="1" x14ac:dyDescent="0.3">
      <c r="B938" s="373"/>
      <c r="C938" s="373"/>
      <c r="D938" s="373"/>
      <c r="E938" s="373"/>
      <c r="F938" s="373"/>
      <c r="G938" s="373"/>
      <c r="H938" s="373"/>
      <c r="I938" s="373"/>
    </row>
    <row r="939" spans="2:14" x14ac:dyDescent="0.25">
      <c r="B939" s="380" t="s">
        <v>309</v>
      </c>
      <c r="C939" s="381"/>
      <c r="D939" s="381"/>
      <c r="E939" s="381"/>
      <c r="F939" s="381"/>
      <c r="G939" s="381"/>
      <c r="H939" s="381"/>
      <c r="I939" s="382"/>
      <c r="K939" s="182"/>
    </row>
    <row r="940" spans="2:14" ht="11.25" customHeight="1" x14ac:dyDescent="0.25">
      <c r="B940" s="377" t="s">
        <v>310</v>
      </c>
      <c r="C940" s="378"/>
      <c r="D940" s="379"/>
      <c r="E940" s="136"/>
      <c r="F940" s="137" t="s">
        <v>311</v>
      </c>
      <c r="G940" s="137" t="s">
        <v>312</v>
      </c>
      <c r="H940" s="137" t="s">
        <v>313</v>
      </c>
      <c r="I940" s="138" t="s">
        <v>314</v>
      </c>
      <c r="L940" s="139"/>
      <c r="M940" s="139"/>
    </row>
    <row r="941" spans="2:14" ht="11.25" customHeight="1" x14ac:dyDescent="0.25">
      <c r="B941" s="362" t="s">
        <v>315</v>
      </c>
      <c r="C941" s="363"/>
      <c r="D941" s="363"/>
      <c r="E941" s="160"/>
      <c r="F941" s="161" t="s">
        <v>316</v>
      </c>
      <c r="G941" s="160">
        <v>5000</v>
      </c>
      <c r="H941" s="142">
        <v>0.5</v>
      </c>
      <c r="I941" s="143">
        <f>G941*H941</f>
        <v>2500</v>
      </c>
    </row>
    <row r="942" spans="2:14" ht="16.5" customHeight="1" x14ac:dyDescent="0.25">
      <c r="B942" s="362" t="s">
        <v>355</v>
      </c>
      <c r="C942" s="363"/>
      <c r="D942" s="363"/>
      <c r="E942" s="160"/>
      <c r="F942" s="161" t="s">
        <v>317</v>
      </c>
      <c r="G942" s="160">
        <v>90000</v>
      </c>
      <c r="H942" s="142">
        <v>0.5</v>
      </c>
      <c r="I942" s="143">
        <f>G942*H942</f>
        <v>45000</v>
      </c>
    </row>
    <row r="943" spans="2:14" ht="10.5" customHeight="1" thickBot="1" x14ac:dyDescent="0.3">
      <c r="B943" s="371" t="s">
        <v>318</v>
      </c>
      <c r="C943" s="372"/>
      <c r="D943" s="372"/>
      <c r="E943" s="372"/>
      <c r="F943" s="372"/>
      <c r="G943" s="372"/>
      <c r="H943" s="372"/>
      <c r="I943" s="144">
        <f>SUM(I941:I942)</f>
        <v>47500</v>
      </c>
      <c r="N943" s="150"/>
    </row>
    <row r="944" spans="2:14" ht="6" customHeight="1" thickBot="1" x14ac:dyDescent="0.3">
      <c r="B944" s="373"/>
      <c r="C944" s="373"/>
      <c r="D944" s="373"/>
      <c r="E944" s="373"/>
      <c r="F944" s="373"/>
      <c r="G944" s="373"/>
      <c r="H944" s="373"/>
      <c r="I944" s="373"/>
    </row>
    <row r="945" spans="2:15" s="145" customFormat="1" x14ac:dyDescent="0.25">
      <c r="B945" s="380" t="s">
        <v>319</v>
      </c>
      <c r="C945" s="381"/>
      <c r="D945" s="381"/>
      <c r="E945" s="381"/>
      <c r="F945" s="381"/>
      <c r="G945" s="381"/>
      <c r="H945" s="381"/>
      <c r="I945" s="382"/>
    </row>
    <row r="946" spans="2:15" s="145" customFormat="1" ht="15.75" customHeight="1" x14ac:dyDescent="0.25">
      <c r="B946" s="377" t="s">
        <v>310</v>
      </c>
      <c r="C946" s="378"/>
      <c r="D946" s="379"/>
      <c r="E946" s="137"/>
      <c r="F946" s="137" t="s">
        <v>320</v>
      </c>
      <c r="G946" s="137" t="s">
        <v>321</v>
      </c>
      <c r="H946" s="137" t="s">
        <v>322</v>
      </c>
      <c r="I946" s="138" t="s">
        <v>314</v>
      </c>
    </row>
    <row r="947" spans="2:15" ht="74.25" customHeight="1" x14ac:dyDescent="0.25">
      <c r="B947" s="436" t="s">
        <v>671</v>
      </c>
      <c r="C947" s="437"/>
      <c r="D947" s="438"/>
      <c r="E947" s="163"/>
      <c r="F947" s="161" t="s">
        <v>27</v>
      </c>
      <c r="G947" s="160">
        <f>965500-38000-15000+68000+431993+1126495+1230137+474855-961710-481855-1443350+3146343+582673-1483241-2245775+1196923+3816555-247501+1315423-6073843+2959358-1731916+1-1472142+1+1893634-1864065-91337</f>
        <v>1058156</v>
      </c>
      <c r="H947" s="142">
        <v>1</v>
      </c>
      <c r="I947" s="143">
        <f>G947*H947</f>
        <v>1058156</v>
      </c>
    </row>
    <row r="948" spans="2:15" ht="10.5" customHeight="1" thickBot="1" x14ac:dyDescent="0.3">
      <c r="B948" s="371" t="s">
        <v>318</v>
      </c>
      <c r="C948" s="372"/>
      <c r="D948" s="372"/>
      <c r="E948" s="372"/>
      <c r="F948" s="372"/>
      <c r="G948" s="372"/>
      <c r="H948" s="372"/>
      <c r="I948" s="144">
        <f>SUM(I947:I947)</f>
        <v>1058156</v>
      </c>
      <c r="N948" s="150"/>
    </row>
    <row r="949" spans="2:15" ht="6" customHeight="1" thickBot="1" x14ac:dyDescent="0.3">
      <c r="B949" s="373"/>
      <c r="C949" s="373"/>
      <c r="D949" s="373"/>
      <c r="E949" s="373"/>
      <c r="F949" s="373"/>
      <c r="G949" s="373"/>
      <c r="H949" s="373"/>
      <c r="I949" s="373"/>
    </row>
    <row r="950" spans="2:15" s="145" customFormat="1" x14ac:dyDescent="0.25">
      <c r="B950" s="380" t="s">
        <v>323</v>
      </c>
      <c r="C950" s="381"/>
      <c r="D950" s="381"/>
      <c r="E950" s="381"/>
      <c r="F950" s="381"/>
      <c r="G950" s="381"/>
      <c r="H950" s="381"/>
      <c r="I950" s="382"/>
      <c r="L950" s="146"/>
      <c r="M950" s="146"/>
    </row>
    <row r="951" spans="2:15" s="145" customFormat="1" x14ac:dyDescent="0.25">
      <c r="B951" s="377" t="s">
        <v>324</v>
      </c>
      <c r="C951" s="378"/>
      <c r="D951" s="379"/>
      <c r="E951" s="137" t="s">
        <v>325</v>
      </c>
      <c r="F951" s="137" t="s">
        <v>326</v>
      </c>
      <c r="G951" s="137" t="s">
        <v>130</v>
      </c>
      <c r="H951" s="137" t="s">
        <v>327</v>
      </c>
      <c r="I951" s="138" t="s">
        <v>314</v>
      </c>
      <c r="K951" s="260"/>
      <c r="N951" s="183"/>
      <c r="O951" s="148"/>
    </row>
    <row r="952" spans="2:15" ht="11.25" customHeight="1" x14ac:dyDescent="0.25">
      <c r="B952" s="362" t="s">
        <v>711</v>
      </c>
      <c r="C952" s="363"/>
      <c r="D952" s="363"/>
      <c r="E952" s="170">
        <v>1</v>
      </c>
      <c r="F952" s="164"/>
      <c r="G952" s="161"/>
      <c r="H952" s="162">
        <v>15000</v>
      </c>
      <c r="I952" s="143">
        <f>H952*E952</f>
        <v>15000</v>
      </c>
    </row>
    <row r="953" spans="2:15" ht="10.5" customHeight="1" thickBot="1" x14ac:dyDescent="0.3">
      <c r="B953" s="371" t="s">
        <v>318</v>
      </c>
      <c r="C953" s="372"/>
      <c r="D953" s="372"/>
      <c r="E953" s="372"/>
      <c r="F953" s="372"/>
      <c r="G953" s="372"/>
      <c r="H953" s="372"/>
      <c r="I953" s="144">
        <f>SUM(I952:I952)</f>
        <v>15000</v>
      </c>
      <c r="N953" s="150"/>
    </row>
    <row r="954" spans="2:15" ht="6" customHeight="1" thickBot="1" x14ac:dyDescent="0.3">
      <c r="B954" s="373"/>
      <c r="C954" s="373"/>
      <c r="D954" s="373"/>
      <c r="E954" s="373"/>
      <c r="F954" s="373"/>
      <c r="G954" s="373"/>
      <c r="H954" s="373"/>
      <c r="I954" s="373"/>
    </row>
    <row r="955" spans="2:15" s="145" customFormat="1" ht="20.100000000000001" customHeight="1" x14ac:dyDescent="0.25">
      <c r="B955" s="380" t="s">
        <v>328</v>
      </c>
      <c r="C955" s="381"/>
      <c r="D955" s="381"/>
      <c r="E955" s="381"/>
      <c r="F955" s="381"/>
      <c r="G955" s="381"/>
      <c r="H955" s="381"/>
      <c r="I955" s="382"/>
      <c r="N955" s="148"/>
      <c r="O955" s="149"/>
    </row>
    <row r="956" spans="2:15" s="145" customFormat="1" ht="20.100000000000001" customHeight="1" x14ac:dyDescent="0.25">
      <c r="B956" s="377" t="s">
        <v>329</v>
      </c>
      <c r="C956" s="379"/>
      <c r="D956" s="137" t="s">
        <v>322</v>
      </c>
      <c r="E956" s="137" t="s">
        <v>330</v>
      </c>
      <c r="F956" s="137" t="s">
        <v>331</v>
      </c>
      <c r="G956" s="137" t="s">
        <v>332</v>
      </c>
      <c r="H956" s="137" t="s">
        <v>313</v>
      </c>
      <c r="I956" s="138" t="s">
        <v>314</v>
      </c>
      <c r="O956" s="179"/>
    </row>
    <row r="957" spans="2:15" s="151" customFormat="1" ht="9.75" customHeight="1" x14ac:dyDescent="0.25">
      <c r="B957" s="367" t="s">
        <v>356</v>
      </c>
      <c r="C957" s="368"/>
      <c r="D957" s="180">
        <v>1</v>
      </c>
      <c r="E957" s="141">
        <v>140000</v>
      </c>
      <c r="F957" s="141">
        <f>+E957*0.8</f>
        <v>112000</v>
      </c>
      <c r="G957" s="178">
        <f>D957*E957+F957*D957</f>
        <v>252000</v>
      </c>
      <c r="H957" s="184">
        <v>3</v>
      </c>
      <c r="I957" s="143">
        <f>+G957/H957</f>
        <v>84000</v>
      </c>
      <c r="J957" s="145"/>
      <c r="K957" s="147">
        <f>+K960-I962</f>
        <v>0</v>
      </c>
    </row>
    <row r="958" spans="2:15" s="151" customFormat="1" ht="11.25" customHeight="1" x14ac:dyDescent="0.25">
      <c r="B958" s="367" t="s">
        <v>374</v>
      </c>
      <c r="C958" s="368"/>
      <c r="D958" s="180">
        <v>1</v>
      </c>
      <c r="E958" s="141">
        <v>80000</v>
      </c>
      <c r="F958" s="141">
        <f>+E958*0.8</f>
        <v>64000</v>
      </c>
      <c r="G958" s="178">
        <f>D958*E958+F958*D958</f>
        <v>144000</v>
      </c>
      <c r="H958" s="184">
        <f>+H957</f>
        <v>3</v>
      </c>
      <c r="I958" s="143">
        <f>+G958/H958</f>
        <v>48000</v>
      </c>
      <c r="J958" s="145"/>
      <c r="K958" s="147"/>
      <c r="L958" s="179"/>
      <c r="M958" s="179"/>
    </row>
    <row r="959" spans="2:15" s="145" customFormat="1" ht="10.5" customHeight="1" x14ac:dyDescent="0.25">
      <c r="B959" s="367" t="s">
        <v>333</v>
      </c>
      <c r="C959" s="368"/>
      <c r="D959" s="180">
        <v>2</v>
      </c>
      <c r="E959" s="141">
        <v>55000</v>
      </c>
      <c r="F959" s="141">
        <f>+E959*0.8</f>
        <v>44000</v>
      </c>
      <c r="G959" s="178">
        <f>D959*E959+F959*D959</f>
        <v>198000</v>
      </c>
      <c r="H959" s="184">
        <f>+H957</f>
        <v>3</v>
      </c>
      <c r="I959" s="143">
        <f>+G959/H959</f>
        <v>66000</v>
      </c>
      <c r="K959" s="147"/>
    </row>
    <row r="960" spans="2:15" ht="10.5" customHeight="1" thickBot="1" x14ac:dyDescent="0.3">
      <c r="B960" s="371" t="s">
        <v>318</v>
      </c>
      <c r="C960" s="372"/>
      <c r="D960" s="372"/>
      <c r="E960" s="372"/>
      <c r="F960" s="372"/>
      <c r="G960" s="372"/>
      <c r="H960" s="372"/>
      <c r="I960" s="144">
        <f>SUM(I957:I959)</f>
        <v>198000</v>
      </c>
      <c r="K960" s="281">
        <v>1318656</v>
      </c>
      <c r="N960" s="150"/>
    </row>
    <row r="961" spans="2:14" ht="6" customHeight="1" thickBot="1" x14ac:dyDescent="0.3">
      <c r="B961" s="373"/>
      <c r="C961" s="373"/>
      <c r="D961" s="373"/>
      <c r="E961" s="373"/>
      <c r="F961" s="373"/>
      <c r="G961" s="373"/>
      <c r="H961" s="373"/>
      <c r="I961" s="373"/>
    </row>
    <row r="962" spans="2:14" ht="10.5" customHeight="1" thickBot="1" x14ac:dyDescent="0.3">
      <c r="B962" s="374" t="s">
        <v>334</v>
      </c>
      <c r="C962" s="375"/>
      <c r="D962" s="375"/>
      <c r="E962" s="375"/>
      <c r="F962" s="375"/>
      <c r="G962" s="375"/>
      <c r="H962" s="376"/>
      <c r="I962" s="152">
        <f>ROUND(+I943+I948+I953+I960,0)</f>
        <v>1318656</v>
      </c>
      <c r="J962" s="281"/>
      <c r="K962" s="169"/>
      <c r="L962" s="181"/>
      <c r="M962" s="181"/>
      <c r="N962" s="153"/>
    </row>
    <row r="963" spans="2:14" ht="6" customHeight="1" thickBot="1" x14ac:dyDescent="0.3">
      <c r="B963" s="373"/>
      <c r="C963" s="373"/>
      <c r="D963" s="373"/>
      <c r="E963" s="373"/>
      <c r="F963" s="373"/>
      <c r="G963" s="373"/>
      <c r="H963" s="373"/>
      <c r="I963" s="373"/>
    </row>
    <row r="964" spans="2:14" ht="8.25" customHeight="1" x14ac:dyDescent="0.25">
      <c r="B964" s="433" t="s">
        <v>335</v>
      </c>
      <c r="C964" s="417"/>
      <c r="D964" s="418"/>
      <c r="E964" s="418"/>
      <c r="F964" s="419"/>
      <c r="G964" s="369" t="s">
        <v>336</v>
      </c>
      <c r="H964" s="370"/>
      <c r="I964" s="370"/>
    </row>
    <row r="965" spans="2:14" ht="33.75" customHeight="1" x14ac:dyDescent="0.25">
      <c r="B965" s="434"/>
      <c r="C965" s="420"/>
      <c r="D965" s="421"/>
      <c r="E965" s="421"/>
      <c r="F965" s="422"/>
      <c r="G965" s="430" t="s">
        <v>337</v>
      </c>
      <c r="H965" s="431"/>
      <c r="I965" s="431"/>
      <c r="L965" s="181"/>
      <c r="M965" s="181"/>
      <c r="N965" s="179"/>
    </row>
    <row r="966" spans="2:14" ht="13.5" customHeight="1" x14ac:dyDescent="0.25">
      <c r="B966" s="434"/>
      <c r="C966" s="420"/>
      <c r="D966" s="421"/>
      <c r="E966" s="421"/>
      <c r="F966" s="422"/>
      <c r="G966" s="154" t="s">
        <v>92</v>
      </c>
      <c r="H966" s="432" t="s">
        <v>93</v>
      </c>
      <c r="I966" s="432"/>
    </row>
    <row r="967" spans="2:14" ht="16.5" customHeight="1" x14ac:dyDescent="0.25">
      <c r="B967" s="435"/>
      <c r="C967" s="420"/>
      <c r="D967" s="421"/>
      <c r="E967" s="421"/>
      <c r="F967" s="422"/>
      <c r="G967" s="155" t="s">
        <v>94</v>
      </c>
      <c r="H967" s="156" t="s">
        <v>95</v>
      </c>
      <c r="I967" s="157" t="s">
        <v>96</v>
      </c>
    </row>
    <row r="968" spans="2:14" x14ac:dyDescent="0.25">
      <c r="B968" s="268" t="s">
        <v>18</v>
      </c>
      <c r="C968" s="427"/>
      <c r="D968" s="428"/>
      <c r="E968" s="428"/>
      <c r="F968" s="429"/>
      <c r="G968" s="155" t="s">
        <v>98</v>
      </c>
      <c r="H968" s="157" t="s">
        <v>99</v>
      </c>
      <c r="I968" s="157" t="s">
        <v>100</v>
      </c>
    </row>
    <row r="969" spans="2:14" x14ac:dyDescent="0.25">
      <c r="B969" s="269" t="s">
        <v>97</v>
      </c>
      <c r="C969" s="427"/>
      <c r="D969" s="428"/>
      <c r="E969" s="428"/>
      <c r="F969" s="429"/>
      <c r="G969" s="154" t="s">
        <v>338</v>
      </c>
      <c r="H969" s="426"/>
      <c r="I969" s="426"/>
    </row>
    <row r="970" spans="2:14" ht="15.75" thickBot="1" x14ac:dyDescent="0.3">
      <c r="B970" s="270" t="s">
        <v>101</v>
      </c>
      <c r="C970" s="423"/>
      <c r="D970" s="424"/>
      <c r="E970" s="424"/>
      <c r="F970" s="425"/>
      <c r="G970" s="154" t="s">
        <v>102</v>
      </c>
      <c r="H970" s="426" t="s">
        <v>103</v>
      </c>
      <c r="I970" s="426"/>
    </row>
    <row r="971" spans="2:14" ht="45" customHeight="1" thickBot="1" x14ac:dyDescent="0.3">
      <c r="B971" s="401"/>
      <c r="C971" s="402"/>
      <c r="D971" s="402"/>
      <c r="E971" s="402"/>
      <c r="F971" s="403" t="s">
        <v>0</v>
      </c>
      <c r="G971" s="403"/>
      <c r="H971" s="403"/>
      <c r="I971" s="404"/>
    </row>
    <row r="972" spans="2:14" ht="6" customHeight="1" thickBot="1" x14ac:dyDescent="0.3">
      <c r="B972" s="373"/>
      <c r="C972" s="373"/>
      <c r="D972" s="373"/>
      <c r="E972" s="373"/>
      <c r="F972" s="373"/>
      <c r="G972" s="373"/>
      <c r="H972" s="373"/>
      <c r="I972" s="373"/>
    </row>
    <row r="973" spans="2:14" ht="10.5" customHeight="1" x14ac:dyDescent="0.25">
      <c r="B973" s="405" t="s">
        <v>294</v>
      </c>
      <c r="C973" s="406"/>
      <c r="D973" s="407" t="s">
        <v>295</v>
      </c>
      <c r="E973" s="409" t="s">
        <v>296</v>
      </c>
      <c r="F973" s="410"/>
      <c r="G973" s="410"/>
      <c r="H973" s="410"/>
      <c r="I973" s="411"/>
    </row>
    <row r="974" spans="2:14" ht="9" customHeight="1" thickBot="1" x14ac:dyDescent="0.3">
      <c r="B974" s="415"/>
      <c r="C974" s="416"/>
      <c r="D974" s="408"/>
      <c r="E974" s="412"/>
      <c r="F974" s="413"/>
      <c r="G974" s="413"/>
      <c r="H974" s="413"/>
      <c r="I974" s="414"/>
    </row>
    <row r="975" spans="2:14" ht="6" customHeight="1" thickBot="1" x14ac:dyDescent="0.3">
      <c r="B975" s="373"/>
      <c r="C975" s="373"/>
      <c r="D975" s="373"/>
      <c r="E975" s="373"/>
      <c r="F975" s="373"/>
      <c r="G975" s="373"/>
      <c r="H975" s="373"/>
      <c r="I975" s="373"/>
    </row>
    <row r="976" spans="2:14" ht="17.25" customHeight="1" thickBot="1" x14ac:dyDescent="0.3">
      <c r="B976" s="390" t="s">
        <v>297</v>
      </c>
      <c r="C976" s="391"/>
      <c r="D976" s="392"/>
      <c r="E976" s="393"/>
      <c r="F976" s="393"/>
      <c r="G976" s="394"/>
      <c r="H976" s="127" t="s">
        <v>298</v>
      </c>
      <c r="I976" s="128"/>
    </row>
    <row r="977" spans="2:14" ht="6" customHeight="1" thickBot="1" x14ac:dyDescent="0.3">
      <c r="B977" s="373"/>
      <c r="C977" s="373"/>
      <c r="D977" s="373"/>
      <c r="E977" s="373"/>
      <c r="F977" s="373"/>
      <c r="G977" s="373"/>
      <c r="H977" s="373"/>
      <c r="I977" s="373"/>
    </row>
    <row r="978" spans="2:14" ht="19.5" customHeight="1" x14ac:dyDescent="0.25">
      <c r="B978" s="261" t="s">
        <v>299</v>
      </c>
      <c r="C978" s="129" t="s">
        <v>300</v>
      </c>
      <c r="D978" s="130" t="s">
        <v>301</v>
      </c>
      <c r="E978" s="130" t="s">
        <v>302</v>
      </c>
      <c r="F978" s="398" t="s">
        <v>303</v>
      </c>
      <c r="G978" s="399"/>
      <c r="H978" s="400"/>
      <c r="I978" s="131" t="s">
        <v>304</v>
      </c>
    </row>
    <row r="979" spans="2:14" ht="11.25" customHeight="1" x14ac:dyDescent="0.25">
      <c r="B979" s="262"/>
      <c r="C979" s="132"/>
      <c r="D979" s="132" t="s">
        <v>305</v>
      </c>
      <c r="E979" s="132" t="s">
        <v>306</v>
      </c>
      <c r="F979" s="395" t="s">
        <v>339</v>
      </c>
      <c r="G979" s="396"/>
      <c r="H979" s="397"/>
      <c r="I979" s="133"/>
    </row>
    <row r="980" spans="2:14" ht="28.5" customHeight="1" x14ac:dyDescent="0.25">
      <c r="B980" s="263" t="s">
        <v>307</v>
      </c>
      <c r="C980" s="383" t="s">
        <v>414</v>
      </c>
      <c r="D980" s="384"/>
      <c r="E980" s="384"/>
      <c r="F980" s="384"/>
      <c r="G980" s="384"/>
      <c r="H980" s="384"/>
      <c r="I980" s="385"/>
    </row>
    <row r="981" spans="2:14" ht="10.5" customHeight="1" x14ac:dyDescent="0.25">
      <c r="B981" s="264" t="s">
        <v>129</v>
      </c>
      <c r="C981" s="388" t="s">
        <v>308</v>
      </c>
      <c r="D981" s="389"/>
      <c r="E981" s="389"/>
      <c r="F981" s="389"/>
      <c r="G981" s="389"/>
      <c r="H981" s="389"/>
      <c r="I981" s="134" t="s">
        <v>130</v>
      </c>
    </row>
    <row r="982" spans="2:14" ht="50.25" customHeight="1" thickBot="1" x14ac:dyDescent="0.3">
      <c r="B982" s="265">
        <v>6.0899999999999981</v>
      </c>
      <c r="C982" s="386" t="s">
        <v>566</v>
      </c>
      <c r="D982" s="387"/>
      <c r="E982" s="387"/>
      <c r="F982" s="387"/>
      <c r="G982" s="387"/>
      <c r="H982" s="387"/>
      <c r="I982" s="135" t="s">
        <v>27</v>
      </c>
    </row>
    <row r="983" spans="2:14" ht="6" customHeight="1" thickBot="1" x14ac:dyDescent="0.3">
      <c r="B983" s="373"/>
      <c r="C983" s="373"/>
      <c r="D983" s="373"/>
      <c r="E983" s="373"/>
      <c r="F983" s="373"/>
      <c r="G983" s="373"/>
      <c r="H983" s="373"/>
      <c r="I983" s="373"/>
    </row>
    <row r="984" spans="2:14" x14ac:dyDescent="0.25">
      <c r="B984" s="380" t="s">
        <v>309</v>
      </c>
      <c r="C984" s="381"/>
      <c r="D984" s="381"/>
      <c r="E984" s="381"/>
      <c r="F984" s="381"/>
      <c r="G984" s="381"/>
      <c r="H984" s="381"/>
      <c r="I984" s="382"/>
      <c r="K984" s="182"/>
    </row>
    <row r="985" spans="2:14" ht="11.25" customHeight="1" x14ac:dyDescent="0.25">
      <c r="B985" s="377" t="s">
        <v>310</v>
      </c>
      <c r="C985" s="378"/>
      <c r="D985" s="379"/>
      <c r="E985" s="136"/>
      <c r="F985" s="137" t="s">
        <v>311</v>
      </c>
      <c r="G985" s="137" t="s">
        <v>312</v>
      </c>
      <c r="H985" s="137" t="s">
        <v>313</v>
      </c>
      <c r="I985" s="138" t="s">
        <v>314</v>
      </c>
      <c r="L985" s="139"/>
      <c r="M985" s="139"/>
    </row>
    <row r="986" spans="2:14" ht="11.25" customHeight="1" x14ac:dyDescent="0.25">
      <c r="B986" s="362" t="s">
        <v>315</v>
      </c>
      <c r="C986" s="363"/>
      <c r="D986" s="363"/>
      <c r="E986" s="160"/>
      <c r="F986" s="161" t="s">
        <v>316</v>
      </c>
      <c r="G986" s="160">
        <v>5000</v>
      </c>
      <c r="H986" s="142">
        <v>0.6</v>
      </c>
      <c r="I986" s="143">
        <f>G986*H986</f>
        <v>3000</v>
      </c>
    </row>
    <row r="987" spans="2:14" ht="16.5" customHeight="1" x14ac:dyDescent="0.25">
      <c r="B987" s="362" t="s">
        <v>355</v>
      </c>
      <c r="C987" s="363"/>
      <c r="D987" s="363"/>
      <c r="E987" s="160"/>
      <c r="F987" s="161" t="s">
        <v>317</v>
      </c>
      <c r="G987" s="160">
        <v>90000</v>
      </c>
      <c r="H987" s="142">
        <v>0.6</v>
      </c>
      <c r="I987" s="143">
        <f>G987*H987</f>
        <v>54000</v>
      </c>
    </row>
    <row r="988" spans="2:14" ht="10.5" customHeight="1" thickBot="1" x14ac:dyDescent="0.3">
      <c r="B988" s="371" t="s">
        <v>318</v>
      </c>
      <c r="C988" s="372"/>
      <c r="D988" s="372"/>
      <c r="E988" s="372"/>
      <c r="F988" s="372"/>
      <c r="G988" s="372"/>
      <c r="H988" s="372"/>
      <c r="I988" s="144">
        <f>SUM(I986:I987)</f>
        <v>57000</v>
      </c>
      <c r="N988" s="150"/>
    </row>
    <row r="989" spans="2:14" ht="6" customHeight="1" thickBot="1" x14ac:dyDescent="0.3">
      <c r="B989" s="373"/>
      <c r="C989" s="373"/>
      <c r="D989" s="373"/>
      <c r="E989" s="373"/>
      <c r="F989" s="373"/>
      <c r="G989" s="373"/>
      <c r="H989" s="373"/>
      <c r="I989" s="373"/>
    </row>
    <row r="990" spans="2:14" s="145" customFormat="1" x14ac:dyDescent="0.25">
      <c r="B990" s="380" t="s">
        <v>319</v>
      </c>
      <c r="C990" s="381"/>
      <c r="D990" s="381"/>
      <c r="E990" s="381"/>
      <c r="F990" s="381"/>
      <c r="G990" s="381"/>
      <c r="H990" s="381"/>
      <c r="I990" s="382"/>
    </row>
    <row r="991" spans="2:14" s="145" customFormat="1" ht="15.75" customHeight="1" x14ac:dyDescent="0.25">
      <c r="B991" s="377" t="s">
        <v>310</v>
      </c>
      <c r="C991" s="378"/>
      <c r="D991" s="379"/>
      <c r="E991" s="137"/>
      <c r="F991" s="137" t="s">
        <v>320</v>
      </c>
      <c r="G991" s="137" t="s">
        <v>321</v>
      </c>
      <c r="H991" s="137" t="s">
        <v>322</v>
      </c>
      <c r="I991" s="138" t="s">
        <v>314</v>
      </c>
    </row>
    <row r="992" spans="2:14" ht="74.25" customHeight="1" x14ac:dyDescent="0.25">
      <c r="B992" s="436" t="s">
        <v>566</v>
      </c>
      <c r="C992" s="437"/>
      <c r="D992" s="438"/>
      <c r="E992" s="163"/>
      <c r="F992" s="161" t="s">
        <v>27</v>
      </c>
      <c r="G992" s="160">
        <f>965500-38000-15000+68000+431993+1126495+1230137+474855-961710-481855-1443350+3146343+582673-1483241-2245775+1196923+3816555-247501+1315423-6073843+2959358-1731916+1-1472142+1+1893634-1864065-91337+515237</f>
        <v>1573393</v>
      </c>
      <c r="H992" s="142">
        <v>1</v>
      </c>
      <c r="I992" s="143">
        <f>G992*H992</f>
        <v>1573393</v>
      </c>
    </row>
    <row r="993" spans="2:15" ht="10.5" customHeight="1" thickBot="1" x14ac:dyDescent="0.3">
      <c r="B993" s="371" t="s">
        <v>318</v>
      </c>
      <c r="C993" s="372"/>
      <c r="D993" s="372"/>
      <c r="E993" s="372"/>
      <c r="F993" s="372"/>
      <c r="G993" s="372"/>
      <c r="H993" s="372"/>
      <c r="I993" s="144">
        <f>SUM(I992:I992)</f>
        <v>1573393</v>
      </c>
      <c r="N993" s="150"/>
    </row>
    <row r="994" spans="2:15" ht="6" customHeight="1" thickBot="1" x14ac:dyDescent="0.3">
      <c r="B994" s="373"/>
      <c r="C994" s="373"/>
      <c r="D994" s="373"/>
      <c r="E994" s="373"/>
      <c r="F994" s="373"/>
      <c r="G994" s="373"/>
      <c r="H994" s="373"/>
      <c r="I994" s="373"/>
    </row>
    <row r="995" spans="2:15" s="145" customFormat="1" x14ac:dyDescent="0.25">
      <c r="B995" s="380" t="s">
        <v>323</v>
      </c>
      <c r="C995" s="381"/>
      <c r="D995" s="381"/>
      <c r="E995" s="381"/>
      <c r="F995" s="381"/>
      <c r="G995" s="381"/>
      <c r="H995" s="381"/>
      <c r="I995" s="382"/>
      <c r="L995" s="146"/>
      <c r="M995" s="146"/>
    </row>
    <row r="996" spans="2:15" s="145" customFormat="1" x14ac:dyDescent="0.25">
      <c r="B996" s="377" t="s">
        <v>324</v>
      </c>
      <c r="C996" s="378"/>
      <c r="D996" s="379"/>
      <c r="E996" s="137" t="s">
        <v>325</v>
      </c>
      <c r="F996" s="137" t="s">
        <v>326</v>
      </c>
      <c r="G996" s="137" t="s">
        <v>130</v>
      </c>
      <c r="H996" s="137" t="s">
        <v>327</v>
      </c>
      <c r="I996" s="138" t="s">
        <v>314</v>
      </c>
      <c r="K996" s="260"/>
      <c r="N996" s="183"/>
      <c r="O996" s="148"/>
    </row>
    <row r="997" spans="2:15" ht="11.25" customHeight="1" x14ac:dyDescent="0.25">
      <c r="B997" s="362" t="s">
        <v>711</v>
      </c>
      <c r="C997" s="363"/>
      <c r="D997" s="363"/>
      <c r="E997" s="170">
        <v>1</v>
      </c>
      <c r="F997" s="164"/>
      <c r="G997" s="161"/>
      <c r="H997" s="162">
        <v>25000</v>
      </c>
      <c r="I997" s="143">
        <f>H997*E997</f>
        <v>25000</v>
      </c>
    </row>
    <row r="998" spans="2:15" ht="10.5" customHeight="1" thickBot="1" x14ac:dyDescent="0.3">
      <c r="B998" s="371" t="s">
        <v>318</v>
      </c>
      <c r="C998" s="372"/>
      <c r="D998" s="372"/>
      <c r="E998" s="372"/>
      <c r="F998" s="372"/>
      <c r="G998" s="372"/>
      <c r="H998" s="372"/>
      <c r="I998" s="144">
        <f>SUM(I997:I997)</f>
        <v>25000</v>
      </c>
      <c r="N998" s="150"/>
    </row>
    <row r="999" spans="2:15" ht="6" customHeight="1" thickBot="1" x14ac:dyDescent="0.3">
      <c r="B999" s="373"/>
      <c r="C999" s="373"/>
      <c r="D999" s="373"/>
      <c r="E999" s="373"/>
      <c r="F999" s="373"/>
      <c r="G999" s="373"/>
      <c r="H999" s="373"/>
      <c r="I999" s="373"/>
    </row>
    <row r="1000" spans="2:15" s="145" customFormat="1" ht="20.100000000000001" customHeight="1" x14ac:dyDescent="0.25">
      <c r="B1000" s="380" t="s">
        <v>328</v>
      </c>
      <c r="C1000" s="381"/>
      <c r="D1000" s="381"/>
      <c r="E1000" s="381"/>
      <c r="F1000" s="381"/>
      <c r="G1000" s="381"/>
      <c r="H1000" s="381"/>
      <c r="I1000" s="382"/>
      <c r="N1000" s="148"/>
      <c r="O1000" s="149"/>
    </row>
    <row r="1001" spans="2:15" s="145" customFormat="1" ht="20.100000000000001" customHeight="1" x14ac:dyDescent="0.25">
      <c r="B1001" s="377" t="s">
        <v>329</v>
      </c>
      <c r="C1001" s="379"/>
      <c r="D1001" s="137" t="s">
        <v>322</v>
      </c>
      <c r="E1001" s="137" t="s">
        <v>330</v>
      </c>
      <c r="F1001" s="137" t="s">
        <v>331</v>
      </c>
      <c r="G1001" s="137" t="s">
        <v>332</v>
      </c>
      <c r="H1001" s="137" t="s">
        <v>313</v>
      </c>
      <c r="I1001" s="138" t="s">
        <v>314</v>
      </c>
      <c r="O1001" s="179"/>
    </row>
    <row r="1002" spans="2:15" s="151" customFormat="1" ht="9.75" customHeight="1" x14ac:dyDescent="0.25">
      <c r="B1002" s="367" t="s">
        <v>356</v>
      </c>
      <c r="C1002" s="368"/>
      <c r="D1002" s="180">
        <v>1</v>
      </c>
      <c r="E1002" s="141">
        <v>140000</v>
      </c>
      <c r="F1002" s="141">
        <f>+E1002*0.8</f>
        <v>112000</v>
      </c>
      <c r="G1002" s="178">
        <f>D1002*E1002+F1002*D1002</f>
        <v>252000</v>
      </c>
      <c r="H1002" s="184">
        <v>2.5</v>
      </c>
      <c r="I1002" s="143">
        <f>+G1002/H1002</f>
        <v>100800</v>
      </c>
      <c r="J1002" s="145"/>
      <c r="K1002" s="147">
        <f>+K1005-I1007</f>
        <v>-0.5</v>
      </c>
    </row>
    <row r="1003" spans="2:15" s="151" customFormat="1" ht="11.25" customHeight="1" x14ac:dyDescent="0.25">
      <c r="B1003" s="367" t="s">
        <v>374</v>
      </c>
      <c r="C1003" s="368"/>
      <c r="D1003" s="180">
        <v>1</v>
      </c>
      <c r="E1003" s="141">
        <v>80000</v>
      </c>
      <c r="F1003" s="141">
        <f>+E1003*0.8</f>
        <v>64000</v>
      </c>
      <c r="G1003" s="178">
        <f>D1003*E1003+F1003*D1003</f>
        <v>144000</v>
      </c>
      <c r="H1003" s="184">
        <f>+H1002</f>
        <v>2.5</v>
      </c>
      <c r="I1003" s="143">
        <f>+G1003/H1003</f>
        <v>57600</v>
      </c>
      <c r="J1003" s="145"/>
      <c r="K1003" s="147"/>
      <c r="L1003" s="179"/>
      <c r="M1003" s="179"/>
    </row>
    <row r="1004" spans="2:15" s="145" customFormat="1" ht="10.5" customHeight="1" x14ac:dyDescent="0.25">
      <c r="B1004" s="367" t="s">
        <v>333</v>
      </c>
      <c r="C1004" s="368"/>
      <c r="D1004" s="180">
        <v>2</v>
      </c>
      <c r="E1004" s="141">
        <v>55000</v>
      </c>
      <c r="F1004" s="141">
        <f>+E1004*0.8</f>
        <v>44000</v>
      </c>
      <c r="G1004" s="178">
        <f>D1004*E1004+F1004*D1004</f>
        <v>198000</v>
      </c>
      <c r="H1004" s="184">
        <f>+H1002</f>
        <v>2.5</v>
      </c>
      <c r="I1004" s="143">
        <f>+G1004/H1004</f>
        <v>79200</v>
      </c>
      <c r="K1004" s="147"/>
    </row>
    <row r="1005" spans="2:15" ht="10.5" customHeight="1" thickBot="1" x14ac:dyDescent="0.3">
      <c r="B1005" s="371" t="s">
        <v>318</v>
      </c>
      <c r="C1005" s="372"/>
      <c r="D1005" s="372"/>
      <c r="E1005" s="372"/>
      <c r="F1005" s="372"/>
      <c r="G1005" s="372"/>
      <c r="H1005" s="372"/>
      <c r="I1005" s="144">
        <f>SUM(I1002:I1004)</f>
        <v>237600</v>
      </c>
      <c r="K1005" s="281">
        <v>1892992.5</v>
      </c>
      <c r="N1005" s="150"/>
    </row>
    <row r="1006" spans="2:15" ht="6" customHeight="1" thickBot="1" x14ac:dyDescent="0.3">
      <c r="B1006" s="373"/>
      <c r="C1006" s="373"/>
      <c r="D1006" s="373"/>
      <c r="E1006" s="373"/>
      <c r="F1006" s="373"/>
      <c r="G1006" s="373"/>
      <c r="H1006" s="373"/>
      <c r="I1006" s="373"/>
    </row>
    <row r="1007" spans="2:15" ht="10.5" customHeight="1" thickBot="1" x14ac:dyDescent="0.3">
      <c r="B1007" s="374" t="s">
        <v>334</v>
      </c>
      <c r="C1007" s="375"/>
      <c r="D1007" s="375"/>
      <c r="E1007" s="375"/>
      <c r="F1007" s="375"/>
      <c r="G1007" s="375"/>
      <c r="H1007" s="376"/>
      <c r="I1007" s="152">
        <f>ROUND(+I988+I993+I998+I1005,0)</f>
        <v>1892993</v>
      </c>
      <c r="J1007" s="281"/>
      <c r="K1007" s="169"/>
      <c r="L1007" s="181"/>
      <c r="M1007" s="181"/>
      <c r="N1007" s="153"/>
    </row>
    <row r="1008" spans="2:15" ht="6" customHeight="1" thickBot="1" x14ac:dyDescent="0.3">
      <c r="B1008" s="373"/>
      <c r="C1008" s="373"/>
      <c r="D1008" s="373"/>
      <c r="E1008" s="373"/>
      <c r="F1008" s="373"/>
      <c r="G1008" s="373"/>
      <c r="H1008" s="373"/>
      <c r="I1008" s="373"/>
    </row>
    <row r="1009" spans="2:14" ht="8.25" customHeight="1" x14ac:dyDescent="0.25">
      <c r="B1009" s="433" t="s">
        <v>335</v>
      </c>
      <c r="C1009" s="417"/>
      <c r="D1009" s="418"/>
      <c r="E1009" s="418"/>
      <c r="F1009" s="419"/>
      <c r="G1009" s="369" t="s">
        <v>336</v>
      </c>
      <c r="H1009" s="370"/>
      <c r="I1009" s="370"/>
    </row>
    <row r="1010" spans="2:14" ht="33.75" customHeight="1" x14ac:dyDescent="0.25">
      <c r="B1010" s="434"/>
      <c r="C1010" s="420"/>
      <c r="D1010" s="421"/>
      <c r="E1010" s="421"/>
      <c r="F1010" s="422"/>
      <c r="G1010" s="430" t="s">
        <v>337</v>
      </c>
      <c r="H1010" s="431"/>
      <c r="I1010" s="431"/>
      <c r="L1010" s="181"/>
      <c r="M1010" s="181"/>
      <c r="N1010" s="179"/>
    </row>
    <row r="1011" spans="2:14" ht="13.5" customHeight="1" x14ac:dyDescent="0.25">
      <c r="B1011" s="434"/>
      <c r="C1011" s="420"/>
      <c r="D1011" s="421"/>
      <c r="E1011" s="421"/>
      <c r="F1011" s="422"/>
      <c r="G1011" s="154" t="s">
        <v>92</v>
      </c>
      <c r="H1011" s="432" t="s">
        <v>93</v>
      </c>
      <c r="I1011" s="432"/>
    </row>
    <row r="1012" spans="2:14" ht="16.5" customHeight="1" x14ac:dyDescent="0.25">
      <c r="B1012" s="435"/>
      <c r="C1012" s="420"/>
      <c r="D1012" s="421"/>
      <c r="E1012" s="421"/>
      <c r="F1012" s="422"/>
      <c r="G1012" s="155" t="s">
        <v>94</v>
      </c>
      <c r="H1012" s="156" t="s">
        <v>95</v>
      </c>
      <c r="I1012" s="157" t="s">
        <v>96</v>
      </c>
    </row>
    <row r="1013" spans="2:14" x14ac:dyDescent="0.25">
      <c r="B1013" s="268" t="s">
        <v>18</v>
      </c>
      <c r="C1013" s="427"/>
      <c r="D1013" s="428"/>
      <c r="E1013" s="428"/>
      <c r="F1013" s="429"/>
      <c r="G1013" s="155" t="s">
        <v>98</v>
      </c>
      <c r="H1013" s="157" t="s">
        <v>99</v>
      </c>
      <c r="I1013" s="157" t="s">
        <v>100</v>
      </c>
    </row>
    <row r="1014" spans="2:14" x14ac:dyDescent="0.25">
      <c r="B1014" s="269" t="s">
        <v>97</v>
      </c>
      <c r="C1014" s="427"/>
      <c r="D1014" s="428"/>
      <c r="E1014" s="428"/>
      <c r="F1014" s="429"/>
      <c r="G1014" s="154" t="s">
        <v>338</v>
      </c>
      <c r="H1014" s="426"/>
      <c r="I1014" s="426"/>
    </row>
    <row r="1015" spans="2:14" ht="15.75" thickBot="1" x14ac:dyDescent="0.3">
      <c r="B1015" s="270" t="s">
        <v>101</v>
      </c>
      <c r="C1015" s="423"/>
      <c r="D1015" s="424"/>
      <c r="E1015" s="424"/>
      <c r="F1015" s="425"/>
      <c r="G1015" s="154" t="s">
        <v>102</v>
      </c>
      <c r="H1015" s="426" t="s">
        <v>103</v>
      </c>
      <c r="I1015" s="426"/>
    </row>
    <row r="1016" spans="2:14" ht="45" customHeight="1" thickBot="1" x14ac:dyDescent="0.3">
      <c r="B1016" s="401"/>
      <c r="C1016" s="402"/>
      <c r="D1016" s="402"/>
      <c r="E1016" s="402"/>
      <c r="F1016" s="403" t="s">
        <v>0</v>
      </c>
      <c r="G1016" s="403"/>
      <c r="H1016" s="403"/>
      <c r="I1016" s="404"/>
    </row>
    <row r="1017" spans="2:14" ht="6" customHeight="1" thickBot="1" x14ac:dyDescent="0.3">
      <c r="B1017" s="373"/>
      <c r="C1017" s="373"/>
      <c r="D1017" s="373"/>
      <c r="E1017" s="373"/>
      <c r="F1017" s="373"/>
      <c r="G1017" s="373"/>
      <c r="H1017" s="373"/>
      <c r="I1017" s="373"/>
    </row>
    <row r="1018" spans="2:14" ht="10.5" customHeight="1" x14ac:dyDescent="0.25">
      <c r="B1018" s="405" t="s">
        <v>294</v>
      </c>
      <c r="C1018" s="406"/>
      <c r="D1018" s="407" t="s">
        <v>295</v>
      </c>
      <c r="E1018" s="409" t="s">
        <v>296</v>
      </c>
      <c r="F1018" s="410"/>
      <c r="G1018" s="410"/>
      <c r="H1018" s="410"/>
      <c r="I1018" s="411"/>
    </row>
    <row r="1019" spans="2:14" ht="9" customHeight="1" thickBot="1" x14ac:dyDescent="0.3">
      <c r="B1019" s="415"/>
      <c r="C1019" s="416"/>
      <c r="D1019" s="408"/>
      <c r="E1019" s="412"/>
      <c r="F1019" s="413"/>
      <c r="G1019" s="413"/>
      <c r="H1019" s="413"/>
      <c r="I1019" s="414"/>
    </row>
    <row r="1020" spans="2:14" ht="6" customHeight="1" thickBot="1" x14ac:dyDescent="0.3">
      <c r="B1020" s="373"/>
      <c r="C1020" s="373"/>
      <c r="D1020" s="373"/>
      <c r="E1020" s="373"/>
      <c r="F1020" s="373"/>
      <c r="G1020" s="373"/>
      <c r="H1020" s="373"/>
      <c r="I1020" s="373"/>
    </row>
    <row r="1021" spans="2:14" ht="17.25" customHeight="1" thickBot="1" x14ac:dyDescent="0.3">
      <c r="B1021" s="390" t="s">
        <v>297</v>
      </c>
      <c r="C1021" s="391"/>
      <c r="D1021" s="392"/>
      <c r="E1021" s="393"/>
      <c r="F1021" s="393"/>
      <c r="G1021" s="394"/>
      <c r="H1021" s="127" t="s">
        <v>298</v>
      </c>
      <c r="I1021" s="128"/>
    </row>
    <row r="1022" spans="2:14" ht="6" customHeight="1" thickBot="1" x14ac:dyDescent="0.3">
      <c r="B1022" s="373"/>
      <c r="C1022" s="373"/>
      <c r="D1022" s="373"/>
      <c r="E1022" s="373"/>
      <c r="F1022" s="373"/>
      <c r="G1022" s="373"/>
      <c r="H1022" s="373"/>
      <c r="I1022" s="373"/>
    </row>
    <row r="1023" spans="2:14" ht="19.5" customHeight="1" x14ac:dyDescent="0.25">
      <c r="B1023" s="261" t="s">
        <v>299</v>
      </c>
      <c r="C1023" s="129" t="s">
        <v>300</v>
      </c>
      <c r="D1023" s="130" t="s">
        <v>301</v>
      </c>
      <c r="E1023" s="130" t="s">
        <v>302</v>
      </c>
      <c r="F1023" s="398" t="s">
        <v>303</v>
      </c>
      <c r="G1023" s="399"/>
      <c r="H1023" s="400"/>
      <c r="I1023" s="131" t="s">
        <v>304</v>
      </c>
    </row>
    <row r="1024" spans="2:14" ht="11.25" customHeight="1" x14ac:dyDescent="0.25">
      <c r="B1024" s="262"/>
      <c r="C1024" s="132"/>
      <c r="D1024" s="132" t="s">
        <v>305</v>
      </c>
      <c r="E1024" s="132" t="s">
        <v>306</v>
      </c>
      <c r="F1024" s="395" t="s">
        <v>339</v>
      </c>
      <c r="G1024" s="396"/>
      <c r="H1024" s="397"/>
      <c r="I1024" s="133"/>
    </row>
    <row r="1025" spans="2:14" ht="28.5" customHeight="1" x14ac:dyDescent="0.25">
      <c r="B1025" s="263" t="s">
        <v>307</v>
      </c>
      <c r="C1025" s="383" t="s">
        <v>414</v>
      </c>
      <c r="D1025" s="384"/>
      <c r="E1025" s="384"/>
      <c r="F1025" s="384"/>
      <c r="G1025" s="384"/>
      <c r="H1025" s="384"/>
      <c r="I1025" s="385"/>
    </row>
    <row r="1026" spans="2:14" ht="10.5" customHeight="1" x14ac:dyDescent="0.25">
      <c r="B1026" s="264" t="s">
        <v>129</v>
      </c>
      <c r="C1026" s="388" t="s">
        <v>308</v>
      </c>
      <c r="D1026" s="389"/>
      <c r="E1026" s="389"/>
      <c r="F1026" s="389"/>
      <c r="G1026" s="389"/>
      <c r="H1026" s="389"/>
      <c r="I1026" s="134" t="s">
        <v>130</v>
      </c>
    </row>
    <row r="1027" spans="2:14" ht="50.25" customHeight="1" thickBot="1" x14ac:dyDescent="0.3">
      <c r="B1027" s="280">
        <v>6.0999999999999979</v>
      </c>
      <c r="C1027" s="386" t="s">
        <v>567</v>
      </c>
      <c r="D1027" s="387"/>
      <c r="E1027" s="387"/>
      <c r="F1027" s="387"/>
      <c r="G1027" s="387"/>
      <c r="H1027" s="387"/>
      <c r="I1027" s="135" t="s">
        <v>27</v>
      </c>
    </row>
    <row r="1028" spans="2:14" ht="6" customHeight="1" thickBot="1" x14ac:dyDescent="0.3">
      <c r="B1028" s="373"/>
      <c r="C1028" s="373"/>
      <c r="D1028" s="373"/>
      <c r="E1028" s="373"/>
      <c r="F1028" s="373"/>
      <c r="G1028" s="373"/>
      <c r="H1028" s="373"/>
      <c r="I1028" s="373"/>
    </row>
    <row r="1029" spans="2:14" x14ac:dyDescent="0.25">
      <c r="B1029" s="380" t="s">
        <v>309</v>
      </c>
      <c r="C1029" s="381"/>
      <c r="D1029" s="381"/>
      <c r="E1029" s="381"/>
      <c r="F1029" s="381"/>
      <c r="G1029" s="381"/>
      <c r="H1029" s="381"/>
      <c r="I1029" s="382"/>
      <c r="K1029" s="182"/>
    </row>
    <row r="1030" spans="2:14" ht="11.25" customHeight="1" x14ac:dyDescent="0.25">
      <c r="B1030" s="377" t="s">
        <v>310</v>
      </c>
      <c r="C1030" s="378"/>
      <c r="D1030" s="379"/>
      <c r="E1030" s="136"/>
      <c r="F1030" s="137" t="s">
        <v>311</v>
      </c>
      <c r="G1030" s="137" t="s">
        <v>312</v>
      </c>
      <c r="H1030" s="137" t="s">
        <v>313</v>
      </c>
      <c r="I1030" s="138" t="s">
        <v>314</v>
      </c>
      <c r="L1030" s="139"/>
      <c r="M1030" s="139"/>
    </row>
    <row r="1031" spans="2:14" ht="11.25" customHeight="1" x14ac:dyDescent="0.25">
      <c r="B1031" s="362" t="s">
        <v>315</v>
      </c>
      <c r="C1031" s="363"/>
      <c r="D1031" s="363"/>
      <c r="E1031" s="160"/>
      <c r="F1031" s="161" t="s">
        <v>316</v>
      </c>
      <c r="G1031" s="160">
        <v>5000</v>
      </c>
      <c r="H1031" s="142">
        <v>0.9</v>
      </c>
      <c r="I1031" s="143">
        <f>G1031*H1031</f>
        <v>4500</v>
      </c>
    </row>
    <row r="1032" spans="2:14" ht="16.5" customHeight="1" x14ac:dyDescent="0.25">
      <c r="B1032" s="362" t="s">
        <v>355</v>
      </c>
      <c r="C1032" s="363"/>
      <c r="D1032" s="363"/>
      <c r="E1032" s="160"/>
      <c r="F1032" s="161" t="s">
        <v>317</v>
      </c>
      <c r="G1032" s="160">
        <v>90000</v>
      </c>
      <c r="H1032" s="142">
        <v>0.9</v>
      </c>
      <c r="I1032" s="143">
        <f>G1032*H1032</f>
        <v>81000</v>
      </c>
    </row>
    <row r="1033" spans="2:14" ht="10.5" customHeight="1" thickBot="1" x14ac:dyDescent="0.3">
      <c r="B1033" s="371" t="s">
        <v>318</v>
      </c>
      <c r="C1033" s="372"/>
      <c r="D1033" s="372"/>
      <c r="E1033" s="372"/>
      <c r="F1033" s="372"/>
      <c r="G1033" s="372"/>
      <c r="H1033" s="372"/>
      <c r="I1033" s="144">
        <f>SUM(I1031:I1032)</f>
        <v>85500</v>
      </c>
      <c r="N1033" s="150"/>
    </row>
    <row r="1034" spans="2:14" ht="6" customHeight="1" thickBot="1" x14ac:dyDescent="0.3">
      <c r="B1034" s="373"/>
      <c r="C1034" s="373"/>
      <c r="D1034" s="373"/>
      <c r="E1034" s="373"/>
      <c r="F1034" s="373"/>
      <c r="G1034" s="373"/>
      <c r="H1034" s="373"/>
      <c r="I1034" s="373"/>
    </row>
    <row r="1035" spans="2:14" s="145" customFormat="1" x14ac:dyDescent="0.25">
      <c r="B1035" s="380" t="s">
        <v>319</v>
      </c>
      <c r="C1035" s="381"/>
      <c r="D1035" s="381"/>
      <c r="E1035" s="381"/>
      <c r="F1035" s="381"/>
      <c r="G1035" s="381"/>
      <c r="H1035" s="381"/>
      <c r="I1035" s="382"/>
    </row>
    <row r="1036" spans="2:14" s="145" customFormat="1" ht="15.75" customHeight="1" x14ac:dyDescent="0.25">
      <c r="B1036" s="377" t="s">
        <v>310</v>
      </c>
      <c r="C1036" s="378"/>
      <c r="D1036" s="379"/>
      <c r="E1036" s="137"/>
      <c r="F1036" s="137" t="s">
        <v>320</v>
      </c>
      <c r="G1036" s="137" t="s">
        <v>321</v>
      </c>
      <c r="H1036" s="137" t="s">
        <v>322</v>
      </c>
      <c r="I1036" s="138" t="s">
        <v>314</v>
      </c>
    </row>
    <row r="1037" spans="2:14" ht="48" customHeight="1" x14ac:dyDescent="0.25">
      <c r="B1037" s="436" t="s">
        <v>567</v>
      </c>
      <c r="C1037" s="437"/>
      <c r="D1037" s="438"/>
      <c r="E1037" s="163"/>
      <c r="F1037" s="161" t="s">
        <v>27</v>
      </c>
      <c r="G1037" s="160">
        <f>965500-38000-15000+68000+431993+1126495+1230137+474855-961710-481855-1443350+3146343+582673-1483241-2245775+1196923+3816555-247501+1315423-6073843+2959358-1731916+1-1472142+1+1893634-1864065-91337+515237+1966520</f>
        <v>3539913</v>
      </c>
      <c r="H1037" s="142">
        <v>1</v>
      </c>
      <c r="I1037" s="143">
        <f>G1037*H1037</f>
        <v>3539913</v>
      </c>
    </row>
    <row r="1038" spans="2:14" ht="10.5" customHeight="1" thickBot="1" x14ac:dyDescent="0.3">
      <c r="B1038" s="371" t="s">
        <v>318</v>
      </c>
      <c r="C1038" s="372"/>
      <c r="D1038" s="372"/>
      <c r="E1038" s="372"/>
      <c r="F1038" s="372"/>
      <c r="G1038" s="372"/>
      <c r="H1038" s="372"/>
      <c r="I1038" s="144">
        <f>SUM(I1037:I1037)</f>
        <v>3539913</v>
      </c>
      <c r="N1038" s="150"/>
    </row>
    <row r="1039" spans="2:14" ht="6" customHeight="1" thickBot="1" x14ac:dyDescent="0.3">
      <c r="B1039" s="373"/>
      <c r="C1039" s="373"/>
      <c r="D1039" s="373"/>
      <c r="E1039" s="373"/>
      <c r="F1039" s="373"/>
      <c r="G1039" s="373"/>
      <c r="H1039" s="373"/>
      <c r="I1039" s="373"/>
    </row>
    <row r="1040" spans="2:14" s="145" customFormat="1" x14ac:dyDescent="0.25">
      <c r="B1040" s="380" t="s">
        <v>323</v>
      </c>
      <c r="C1040" s="381"/>
      <c r="D1040" s="381"/>
      <c r="E1040" s="381"/>
      <c r="F1040" s="381"/>
      <c r="G1040" s="381"/>
      <c r="H1040" s="381"/>
      <c r="I1040" s="382"/>
      <c r="L1040" s="146"/>
      <c r="M1040" s="146"/>
    </row>
    <row r="1041" spans="2:15" s="145" customFormat="1" x14ac:dyDescent="0.25">
      <c r="B1041" s="377" t="s">
        <v>324</v>
      </c>
      <c r="C1041" s="378"/>
      <c r="D1041" s="379"/>
      <c r="E1041" s="137" t="s">
        <v>325</v>
      </c>
      <c r="F1041" s="137" t="s">
        <v>326</v>
      </c>
      <c r="G1041" s="137" t="s">
        <v>130</v>
      </c>
      <c r="H1041" s="137" t="s">
        <v>327</v>
      </c>
      <c r="I1041" s="138" t="s">
        <v>314</v>
      </c>
      <c r="K1041" s="260"/>
      <c r="N1041" s="183"/>
      <c r="O1041" s="148"/>
    </row>
    <row r="1042" spans="2:15" ht="11.25" customHeight="1" x14ac:dyDescent="0.25">
      <c r="B1042" s="362" t="s">
        <v>711</v>
      </c>
      <c r="C1042" s="363"/>
      <c r="D1042" s="363"/>
      <c r="E1042" s="170">
        <v>1</v>
      </c>
      <c r="F1042" s="164"/>
      <c r="G1042" s="161"/>
      <c r="H1042" s="162">
        <v>35000</v>
      </c>
      <c r="I1042" s="143">
        <f>H1042*E1042</f>
        <v>35000</v>
      </c>
    </row>
    <row r="1043" spans="2:15" ht="10.5" customHeight="1" thickBot="1" x14ac:dyDescent="0.3">
      <c r="B1043" s="371" t="s">
        <v>318</v>
      </c>
      <c r="C1043" s="372"/>
      <c r="D1043" s="372"/>
      <c r="E1043" s="372"/>
      <c r="F1043" s="372"/>
      <c r="G1043" s="372"/>
      <c r="H1043" s="372"/>
      <c r="I1043" s="144">
        <f>SUM(I1042:I1042)</f>
        <v>35000</v>
      </c>
      <c r="N1043" s="150"/>
    </row>
    <row r="1044" spans="2:15" ht="6" customHeight="1" thickBot="1" x14ac:dyDescent="0.3">
      <c r="B1044" s="373"/>
      <c r="C1044" s="373"/>
      <c r="D1044" s="373"/>
      <c r="E1044" s="373"/>
      <c r="F1044" s="373"/>
      <c r="G1044" s="373"/>
      <c r="H1044" s="373"/>
      <c r="I1044" s="373"/>
    </row>
    <row r="1045" spans="2:15" s="145" customFormat="1" ht="20.100000000000001" customHeight="1" x14ac:dyDescent="0.25">
      <c r="B1045" s="380" t="s">
        <v>328</v>
      </c>
      <c r="C1045" s="381"/>
      <c r="D1045" s="381"/>
      <c r="E1045" s="381"/>
      <c r="F1045" s="381"/>
      <c r="G1045" s="381"/>
      <c r="H1045" s="381"/>
      <c r="I1045" s="382"/>
      <c r="N1045" s="148"/>
      <c r="O1045" s="149"/>
    </row>
    <row r="1046" spans="2:15" s="145" customFormat="1" ht="20.100000000000001" customHeight="1" x14ac:dyDescent="0.25">
      <c r="B1046" s="377" t="s">
        <v>329</v>
      </c>
      <c r="C1046" s="379"/>
      <c r="D1046" s="137" t="s">
        <v>322</v>
      </c>
      <c r="E1046" s="137" t="s">
        <v>330</v>
      </c>
      <c r="F1046" s="137" t="s">
        <v>331</v>
      </c>
      <c r="G1046" s="137" t="s">
        <v>332</v>
      </c>
      <c r="H1046" s="137" t="s">
        <v>313</v>
      </c>
      <c r="I1046" s="138" t="s">
        <v>314</v>
      </c>
      <c r="O1046" s="179"/>
    </row>
    <row r="1047" spans="2:15" s="151" customFormat="1" ht="9.75" customHeight="1" x14ac:dyDescent="0.25">
      <c r="B1047" s="367" t="s">
        <v>356</v>
      </c>
      <c r="C1047" s="368"/>
      <c r="D1047" s="180">
        <v>1</v>
      </c>
      <c r="E1047" s="141">
        <v>140000</v>
      </c>
      <c r="F1047" s="141">
        <f>+E1047*0.8</f>
        <v>112000</v>
      </c>
      <c r="G1047" s="178">
        <f>D1047*E1047+F1047*D1047</f>
        <v>252000</v>
      </c>
      <c r="H1047" s="184">
        <v>1.5</v>
      </c>
      <c r="I1047" s="143">
        <f>+G1047/H1047</f>
        <v>168000</v>
      </c>
      <c r="J1047" s="145"/>
      <c r="K1047" s="147">
        <f>+K1050-I1052</f>
        <v>-0.5</v>
      </c>
    </row>
    <row r="1048" spans="2:15" s="151" customFormat="1" ht="11.25" customHeight="1" x14ac:dyDescent="0.25">
      <c r="B1048" s="367" t="s">
        <v>374</v>
      </c>
      <c r="C1048" s="368"/>
      <c r="D1048" s="180">
        <v>1</v>
      </c>
      <c r="E1048" s="141">
        <v>80000</v>
      </c>
      <c r="F1048" s="141">
        <f>+E1048*0.8</f>
        <v>64000</v>
      </c>
      <c r="G1048" s="178">
        <f>D1048*E1048+F1048*D1048</f>
        <v>144000</v>
      </c>
      <c r="H1048" s="184">
        <f>+H1047</f>
        <v>1.5</v>
      </c>
      <c r="I1048" s="143">
        <f>+G1048/H1048</f>
        <v>96000</v>
      </c>
      <c r="J1048" s="145"/>
      <c r="K1048" s="147"/>
      <c r="L1048" s="179"/>
      <c r="M1048" s="179"/>
    </row>
    <row r="1049" spans="2:15" s="145" customFormat="1" ht="10.5" customHeight="1" x14ac:dyDescent="0.25">
      <c r="B1049" s="367" t="s">
        <v>333</v>
      </c>
      <c r="C1049" s="368"/>
      <c r="D1049" s="180">
        <v>2</v>
      </c>
      <c r="E1049" s="141">
        <v>55000</v>
      </c>
      <c r="F1049" s="141">
        <f>+E1049*0.8</f>
        <v>44000</v>
      </c>
      <c r="G1049" s="178">
        <f>D1049*E1049+F1049*D1049</f>
        <v>198000</v>
      </c>
      <c r="H1049" s="184">
        <f>+H1047</f>
        <v>1.5</v>
      </c>
      <c r="I1049" s="143">
        <f>+G1049/H1049</f>
        <v>132000</v>
      </c>
      <c r="K1049" s="147"/>
    </row>
    <row r="1050" spans="2:15" ht="10.5" customHeight="1" thickBot="1" x14ac:dyDescent="0.3">
      <c r="B1050" s="371" t="s">
        <v>318</v>
      </c>
      <c r="C1050" s="372"/>
      <c r="D1050" s="372"/>
      <c r="E1050" s="372"/>
      <c r="F1050" s="372"/>
      <c r="G1050" s="372"/>
      <c r="H1050" s="372"/>
      <c r="I1050" s="144">
        <f>SUM(I1047:I1049)</f>
        <v>396000</v>
      </c>
      <c r="K1050" s="281">
        <v>4056412.5</v>
      </c>
      <c r="N1050" s="150"/>
    </row>
    <row r="1051" spans="2:15" ht="6" customHeight="1" thickBot="1" x14ac:dyDescent="0.3">
      <c r="B1051" s="373"/>
      <c r="C1051" s="373"/>
      <c r="D1051" s="373"/>
      <c r="E1051" s="373"/>
      <c r="F1051" s="373"/>
      <c r="G1051" s="373"/>
      <c r="H1051" s="373"/>
      <c r="I1051" s="373"/>
    </row>
    <row r="1052" spans="2:15" ht="10.5" customHeight="1" thickBot="1" x14ac:dyDescent="0.3">
      <c r="B1052" s="374" t="s">
        <v>334</v>
      </c>
      <c r="C1052" s="375"/>
      <c r="D1052" s="375"/>
      <c r="E1052" s="375"/>
      <c r="F1052" s="375"/>
      <c r="G1052" s="375"/>
      <c r="H1052" s="376"/>
      <c r="I1052" s="152">
        <f>ROUND(+I1033+I1038+I1043+I1050,0)</f>
        <v>4056413</v>
      </c>
      <c r="J1052" s="281"/>
      <c r="K1052" s="169"/>
      <c r="L1052" s="181"/>
      <c r="M1052" s="181"/>
      <c r="N1052" s="153"/>
    </row>
    <row r="1053" spans="2:15" ht="6" customHeight="1" thickBot="1" x14ac:dyDescent="0.3">
      <c r="B1053" s="373"/>
      <c r="C1053" s="373"/>
      <c r="D1053" s="373"/>
      <c r="E1053" s="373"/>
      <c r="F1053" s="373"/>
      <c r="G1053" s="373"/>
      <c r="H1053" s="373"/>
      <c r="I1053" s="373"/>
    </row>
    <row r="1054" spans="2:15" ht="8.25" customHeight="1" x14ac:dyDescent="0.25">
      <c r="B1054" s="433" t="s">
        <v>335</v>
      </c>
      <c r="C1054" s="417"/>
      <c r="D1054" s="418"/>
      <c r="E1054" s="418"/>
      <c r="F1054" s="419"/>
      <c r="G1054" s="369" t="s">
        <v>336</v>
      </c>
      <c r="H1054" s="370"/>
      <c r="I1054" s="370"/>
    </row>
    <row r="1055" spans="2:15" ht="33.75" customHeight="1" x14ac:dyDescent="0.25">
      <c r="B1055" s="434"/>
      <c r="C1055" s="420"/>
      <c r="D1055" s="421"/>
      <c r="E1055" s="421"/>
      <c r="F1055" s="422"/>
      <c r="G1055" s="430" t="s">
        <v>337</v>
      </c>
      <c r="H1055" s="431"/>
      <c r="I1055" s="431"/>
      <c r="L1055" s="181"/>
      <c r="M1055" s="181"/>
      <c r="N1055" s="179"/>
    </row>
    <row r="1056" spans="2:15" ht="13.5" customHeight="1" x14ac:dyDescent="0.25">
      <c r="B1056" s="434"/>
      <c r="C1056" s="420"/>
      <c r="D1056" s="421"/>
      <c r="E1056" s="421"/>
      <c r="F1056" s="422"/>
      <c r="G1056" s="154" t="s">
        <v>92</v>
      </c>
      <c r="H1056" s="432" t="s">
        <v>93</v>
      </c>
      <c r="I1056" s="432"/>
    </row>
    <row r="1057" spans="2:9" ht="16.5" customHeight="1" x14ac:dyDescent="0.25">
      <c r="B1057" s="435"/>
      <c r="C1057" s="420"/>
      <c r="D1057" s="421"/>
      <c r="E1057" s="421"/>
      <c r="F1057" s="422"/>
      <c r="G1057" s="155" t="s">
        <v>94</v>
      </c>
      <c r="H1057" s="156" t="s">
        <v>95</v>
      </c>
      <c r="I1057" s="157" t="s">
        <v>96</v>
      </c>
    </row>
    <row r="1058" spans="2:9" x14ac:dyDescent="0.25">
      <c r="B1058" s="268" t="s">
        <v>18</v>
      </c>
      <c r="C1058" s="427"/>
      <c r="D1058" s="428"/>
      <c r="E1058" s="428"/>
      <c r="F1058" s="429"/>
      <c r="G1058" s="155" t="s">
        <v>98</v>
      </c>
      <c r="H1058" s="157" t="s">
        <v>99</v>
      </c>
      <c r="I1058" s="157" t="s">
        <v>100</v>
      </c>
    </row>
    <row r="1059" spans="2:9" x14ac:dyDescent="0.25">
      <c r="B1059" s="269" t="s">
        <v>97</v>
      </c>
      <c r="C1059" s="427"/>
      <c r="D1059" s="428"/>
      <c r="E1059" s="428"/>
      <c r="F1059" s="429"/>
      <c r="G1059" s="154" t="s">
        <v>338</v>
      </c>
      <c r="H1059" s="426"/>
      <c r="I1059" s="426"/>
    </row>
    <row r="1060" spans="2:9" ht="15.75" thickBot="1" x14ac:dyDescent="0.3">
      <c r="B1060" s="270" t="s">
        <v>101</v>
      </c>
      <c r="C1060" s="423"/>
      <c r="D1060" s="424"/>
      <c r="E1060" s="424"/>
      <c r="F1060" s="425"/>
      <c r="G1060" s="154" t="s">
        <v>102</v>
      </c>
      <c r="H1060" s="426" t="s">
        <v>103</v>
      </c>
      <c r="I1060" s="426"/>
    </row>
    <row r="1061" spans="2:9" ht="45" customHeight="1" thickBot="1" x14ac:dyDescent="0.3">
      <c r="B1061" s="401"/>
      <c r="C1061" s="402"/>
      <c r="D1061" s="402"/>
      <c r="E1061" s="402"/>
      <c r="F1061" s="403" t="s">
        <v>0</v>
      </c>
      <c r="G1061" s="403"/>
      <c r="H1061" s="403"/>
      <c r="I1061" s="404"/>
    </row>
    <row r="1062" spans="2:9" ht="6" customHeight="1" thickBot="1" x14ac:dyDescent="0.3">
      <c r="B1062" s="373"/>
      <c r="C1062" s="373"/>
      <c r="D1062" s="373"/>
      <c r="E1062" s="373"/>
      <c r="F1062" s="373"/>
      <c r="G1062" s="373"/>
      <c r="H1062" s="373"/>
      <c r="I1062" s="373"/>
    </row>
    <row r="1063" spans="2:9" ht="10.5" customHeight="1" x14ac:dyDescent="0.25">
      <c r="B1063" s="405" t="s">
        <v>294</v>
      </c>
      <c r="C1063" s="406"/>
      <c r="D1063" s="407" t="s">
        <v>295</v>
      </c>
      <c r="E1063" s="409" t="s">
        <v>296</v>
      </c>
      <c r="F1063" s="410"/>
      <c r="G1063" s="410"/>
      <c r="H1063" s="410"/>
      <c r="I1063" s="411"/>
    </row>
    <row r="1064" spans="2:9" ht="9" customHeight="1" thickBot="1" x14ac:dyDescent="0.3">
      <c r="B1064" s="415"/>
      <c r="C1064" s="416"/>
      <c r="D1064" s="408"/>
      <c r="E1064" s="412"/>
      <c r="F1064" s="413"/>
      <c r="G1064" s="413"/>
      <c r="H1064" s="413"/>
      <c r="I1064" s="414"/>
    </row>
    <row r="1065" spans="2:9" ht="6" customHeight="1" thickBot="1" x14ac:dyDescent="0.3">
      <c r="B1065" s="373"/>
      <c r="C1065" s="373"/>
      <c r="D1065" s="373"/>
      <c r="E1065" s="373"/>
      <c r="F1065" s="373"/>
      <c r="G1065" s="373"/>
      <c r="H1065" s="373"/>
      <c r="I1065" s="373"/>
    </row>
    <row r="1066" spans="2:9" ht="17.25" customHeight="1" thickBot="1" x14ac:dyDescent="0.3">
      <c r="B1066" s="390" t="s">
        <v>297</v>
      </c>
      <c r="C1066" s="391"/>
      <c r="D1066" s="392"/>
      <c r="E1066" s="393"/>
      <c r="F1066" s="393"/>
      <c r="G1066" s="394"/>
      <c r="H1066" s="127" t="s">
        <v>298</v>
      </c>
      <c r="I1066" s="128"/>
    </row>
    <row r="1067" spans="2:9" ht="6" customHeight="1" thickBot="1" x14ac:dyDescent="0.3">
      <c r="B1067" s="373"/>
      <c r="C1067" s="373"/>
      <c r="D1067" s="373"/>
      <c r="E1067" s="373"/>
      <c r="F1067" s="373"/>
      <c r="G1067" s="373"/>
      <c r="H1067" s="373"/>
      <c r="I1067" s="373"/>
    </row>
    <row r="1068" spans="2:9" ht="19.5" customHeight="1" x14ac:dyDescent="0.25">
      <c r="B1068" s="261" t="s">
        <v>299</v>
      </c>
      <c r="C1068" s="129" t="s">
        <v>300</v>
      </c>
      <c r="D1068" s="130" t="s">
        <v>301</v>
      </c>
      <c r="E1068" s="130" t="s">
        <v>302</v>
      </c>
      <c r="F1068" s="398" t="s">
        <v>303</v>
      </c>
      <c r="G1068" s="399"/>
      <c r="H1068" s="400"/>
      <c r="I1068" s="131" t="s">
        <v>304</v>
      </c>
    </row>
    <row r="1069" spans="2:9" ht="11.25" customHeight="1" x14ac:dyDescent="0.25">
      <c r="B1069" s="262"/>
      <c r="C1069" s="132"/>
      <c r="D1069" s="132" t="s">
        <v>305</v>
      </c>
      <c r="E1069" s="132" t="s">
        <v>306</v>
      </c>
      <c r="F1069" s="395" t="s">
        <v>339</v>
      </c>
      <c r="G1069" s="396"/>
      <c r="H1069" s="397"/>
      <c r="I1069" s="133"/>
    </row>
    <row r="1070" spans="2:9" ht="28.5" customHeight="1" x14ac:dyDescent="0.25">
      <c r="B1070" s="263" t="s">
        <v>307</v>
      </c>
      <c r="C1070" s="383" t="s">
        <v>414</v>
      </c>
      <c r="D1070" s="384"/>
      <c r="E1070" s="384"/>
      <c r="F1070" s="384"/>
      <c r="G1070" s="384"/>
      <c r="H1070" s="384"/>
      <c r="I1070" s="385"/>
    </row>
    <row r="1071" spans="2:9" ht="10.5" customHeight="1" x14ac:dyDescent="0.25">
      <c r="B1071" s="264" t="s">
        <v>129</v>
      </c>
      <c r="C1071" s="388" t="s">
        <v>308</v>
      </c>
      <c r="D1071" s="389"/>
      <c r="E1071" s="389"/>
      <c r="F1071" s="389"/>
      <c r="G1071" s="389"/>
      <c r="H1071" s="389"/>
      <c r="I1071" s="134" t="s">
        <v>130</v>
      </c>
    </row>
    <row r="1072" spans="2:9" ht="50.25" customHeight="1" thickBot="1" x14ac:dyDescent="0.3">
      <c r="B1072" s="265">
        <v>6.1099999999999977</v>
      </c>
      <c r="C1072" s="386" t="s">
        <v>568</v>
      </c>
      <c r="D1072" s="387"/>
      <c r="E1072" s="387"/>
      <c r="F1072" s="387"/>
      <c r="G1072" s="387"/>
      <c r="H1072" s="387"/>
      <c r="I1072" s="135" t="s">
        <v>27</v>
      </c>
    </row>
    <row r="1073" spans="2:15" ht="6" customHeight="1" thickBot="1" x14ac:dyDescent="0.3">
      <c r="B1073" s="373"/>
      <c r="C1073" s="373"/>
      <c r="D1073" s="373"/>
      <c r="E1073" s="373"/>
      <c r="F1073" s="373"/>
      <c r="G1073" s="373"/>
      <c r="H1073" s="373"/>
      <c r="I1073" s="373"/>
    </row>
    <row r="1074" spans="2:15" x14ac:dyDescent="0.25">
      <c r="B1074" s="380" t="s">
        <v>309</v>
      </c>
      <c r="C1074" s="381"/>
      <c r="D1074" s="381"/>
      <c r="E1074" s="381"/>
      <c r="F1074" s="381"/>
      <c r="G1074" s="381"/>
      <c r="H1074" s="381"/>
      <c r="I1074" s="382"/>
      <c r="K1074" s="182"/>
    </row>
    <row r="1075" spans="2:15" ht="11.25" customHeight="1" x14ac:dyDescent="0.25">
      <c r="B1075" s="377" t="s">
        <v>310</v>
      </c>
      <c r="C1075" s="378"/>
      <c r="D1075" s="379"/>
      <c r="E1075" s="136"/>
      <c r="F1075" s="137" t="s">
        <v>311</v>
      </c>
      <c r="G1075" s="137" t="s">
        <v>312</v>
      </c>
      <c r="H1075" s="137" t="s">
        <v>313</v>
      </c>
      <c r="I1075" s="138" t="s">
        <v>314</v>
      </c>
      <c r="L1075" s="139"/>
      <c r="M1075" s="139"/>
    </row>
    <row r="1076" spans="2:15" ht="11.25" customHeight="1" x14ac:dyDescent="0.25">
      <c r="B1076" s="362" t="s">
        <v>315</v>
      </c>
      <c r="C1076" s="363"/>
      <c r="D1076" s="363"/>
      <c r="E1076" s="160"/>
      <c r="F1076" s="161" t="s">
        <v>316</v>
      </c>
      <c r="G1076" s="160">
        <v>5000</v>
      </c>
      <c r="H1076" s="142">
        <v>0.9</v>
      </c>
      <c r="I1076" s="143">
        <f>G1076*H1076</f>
        <v>4500</v>
      </c>
    </row>
    <row r="1077" spans="2:15" ht="16.5" customHeight="1" x14ac:dyDescent="0.25">
      <c r="B1077" s="362" t="s">
        <v>355</v>
      </c>
      <c r="C1077" s="363"/>
      <c r="D1077" s="363"/>
      <c r="E1077" s="160"/>
      <c r="F1077" s="161" t="s">
        <v>317</v>
      </c>
      <c r="G1077" s="160">
        <v>90000</v>
      </c>
      <c r="H1077" s="142">
        <v>0.9</v>
      </c>
      <c r="I1077" s="143">
        <f>G1077*H1077</f>
        <v>81000</v>
      </c>
    </row>
    <row r="1078" spans="2:15" ht="10.5" customHeight="1" thickBot="1" x14ac:dyDescent="0.3">
      <c r="B1078" s="371" t="s">
        <v>318</v>
      </c>
      <c r="C1078" s="372"/>
      <c r="D1078" s="372"/>
      <c r="E1078" s="372"/>
      <c r="F1078" s="372"/>
      <c r="G1078" s="372"/>
      <c r="H1078" s="372"/>
      <c r="I1078" s="144">
        <f>SUM(I1076:I1077)</f>
        <v>85500</v>
      </c>
      <c r="N1078" s="150"/>
    </row>
    <row r="1079" spans="2:15" ht="6" customHeight="1" thickBot="1" x14ac:dyDescent="0.3">
      <c r="B1079" s="373"/>
      <c r="C1079" s="373"/>
      <c r="D1079" s="373"/>
      <c r="E1079" s="373"/>
      <c r="F1079" s="373"/>
      <c r="G1079" s="373"/>
      <c r="H1079" s="373"/>
      <c r="I1079" s="373"/>
    </row>
    <row r="1080" spans="2:15" s="145" customFormat="1" x14ac:dyDescent="0.25">
      <c r="B1080" s="380" t="s">
        <v>319</v>
      </c>
      <c r="C1080" s="381"/>
      <c r="D1080" s="381"/>
      <c r="E1080" s="381"/>
      <c r="F1080" s="381"/>
      <c r="G1080" s="381"/>
      <c r="H1080" s="381"/>
      <c r="I1080" s="382"/>
    </row>
    <row r="1081" spans="2:15" s="145" customFormat="1" ht="15.75" customHeight="1" x14ac:dyDescent="0.25">
      <c r="B1081" s="377" t="s">
        <v>310</v>
      </c>
      <c r="C1081" s="378"/>
      <c r="D1081" s="379"/>
      <c r="E1081" s="137"/>
      <c r="F1081" s="137" t="s">
        <v>320</v>
      </c>
      <c r="G1081" s="137" t="s">
        <v>321</v>
      </c>
      <c r="H1081" s="137" t="s">
        <v>322</v>
      </c>
      <c r="I1081" s="138" t="s">
        <v>314</v>
      </c>
    </row>
    <row r="1082" spans="2:15" ht="74.25" customHeight="1" x14ac:dyDescent="0.25">
      <c r="B1082" s="436" t="s">
        <v>568</v>
      </c>
      <c r="C1082" s="437"/>
      <c r="D1082" s="438"/>
      <c r="E1082" s="163"/>
      <c r="F1082" s="161" t="s">
        <v>27</v>
      </c>
      <c r="G1082" s="160">
        <f>965500-38000-15000+68000+431993+1126495+1230137+474855-961710-481855-1443350+3146343+582673-1483241-2245775+1196923+3816555-247501+1315423-6073843+2959358-1731916+1-1472142+1+1893634-1864065-91337+515237+1966520+450712</f>
        <v>3990625</v>
      </c>
      <c r="H1082" s="142">
        <v>1</v>
      </c>
      <c r="I1082" s="143">
        <f>G1082*H1082</f>
        <v>3990625</v>
      </c>
    </row>
    <row r="1083" spans="2:15" ht="18" customHeight="1" thickBot="1" x14ac:dyDescent="0.3">
      <c r="B1083" s="371" t="s">
        <v>318</v>
      </c>
      <c r="C1083" s="372"/>
      <c r="D1083" s="372"/>
      <c r="E1083" s="372"/>
      <c r="F1083" s="372"/>
      <c r="G1083" s="372"/>
      <c r="H1083" s="372"/>
      <c r="I1083" s="144">
        <f>SUM(I1082:I1082)</f>
        <v>3990625</v>
      </c>
      <c r="N1083" s="150"/>
    </row>
    <row r="1084" spans="2:15" ht="6" customHeight="1" thickBot="1" x14ac:dyDescent="0.3">
      <c r="B1084" s="373"/>
      <c r="C1084" s="373"/>
      <c r="D1084" s="373"/>
      <c r="E1084" s="373"/>
      <c r="F1084" s="373"/>
      <c r="G1084" s="373"/>
      <c r="H1084" s="373"/>
      <c r="I1084" s="373"/>
    </row>
    <row r="1085" spans="2:15" s="145" customFormat="1" x14ac:dyDescent="0.25">
      <c r="B1085" s="380" t="s">
        <v>323</v>
      </c>
      <c r="C1085" s="381"/>
      <c r="D1085" s="381"/>
      <c r="E1085" s="381"/>
      <c r="F1085" s="381"/>
      <c r="G1085" s="381"/>
      <c r="H1085" s="381"/>
      <c r="I1085" s="382"/>
      <c r="L1085" s="146"/>
      <c r="M1085" s="146"/>
    </row>
    <row r="1086" spans="2:15" s="145" customFormat="1" x14ac:dyDescent="0.25">
      <c r="B1086" s="377" t="s">
        <v>324</v>
      </c>
      <c r="C1086" s="378"/>
      <c r="D1086" s="379"/>
      <c r="E1086" s="137" t="s">
        <v>325</v>
      </c>
      <c r="F1086" s="137" t="s">
        <v>326</v>
      </c>
      <c r="G1086" s="137" t="s">
        <v>130</v>
      </c>
      <c r="H1086" s="137" t="s">
        <v>327</v>
      </c>
      <c r="I1086" s="138" t="s">
        <v>314</v>
      </c>
      <c r="K1086" s="260"/>
      <c r="N1086" s="183"/>
      <c r="O1086" s="148"/>
    </row>
    <row r="1087" spans="2:15" ht="11.25" customHeight="1" x14ac:dyDescent="0.25">
      <c r="B1087" s="362" t="s">
        <v>711</v>
      </c>
      <c r="C1087" s="363"/>
      <c r="D1087" s="363"/>
      <c r="E1087" s="170">
        <v>1</v>
      </c>
      <c r="F1087" s="164"/>
      <c r="G1087" s="161"/>
      <c r="H1087" s="162">
        <v>35000</v>
      </c>
      <c r="I1087" s="143">
        <f>H1087*E1087</f>
        <v>35000</v>
      </c>
    </row>
    <row r="1088" spans="2:15" ht="10.5" customHeight="1" thickBot="1" x14ac:dyDescent="0.3">
      <c r="B1088" s="371" t="s">
        <v>318</v>
      </c>
      <c r="C1088" s="372"/>
      <c r="D1088" s="372"/>
      <c r="E1088" s="372"/>
      <c r="F1088" s="372"/>
      <c r="G1088" s="372"/>
      <c r="H1088" s="372"/>
      <c r="I1088" s="144">
        <f>SUM(I1087:I1087)</f>
        <v>35000</v>
      </c>
      <c r="N1088" s="150"/>
    </row>
    <row r="1089" spans="2:15" ht="6" customHeight="1" thickBot="1" x14ac:dyDescent="0.3">
      <c r="B1089" s="373"/>
      <c r="C1089" s="373"/>
      <c r="D1089" s="373"/>
      <c r="E1089" s="373"/>
      <c r="F1089" s="373"/>
      <c r="G1089" s="373"/>
      <c r="H1089" s="373"/>
      <c r="I1089" s="373"/>
    </row>
    <row r="1090" spans="2:15" s="145" customFormat="1" ht="20.100000000000001" customHeight="1" x14ac:dyDescent="0.25">
      <c r="B1090" s="380" t="s">
        <v>328</v>
      </c>
      <c r="C1090" s="381"/>
      <c r="D1090" s="381"/>
      <c r="E1090" s="381"/>
      <c r="F1090" s="381"/>
      <c r="G1090" s="381"/>
      <c r="H1090" s="381"/>
      <c r="I1090" s="382"/>
      <c r="K1090" s="147">
        <f>+K1093-I1097</f>
        <v>0</v>
      </c>
      <c r="N1090" s="148"/>
      <c r="O1090" s="149"/>
    </row>
    <row r="1091" spans="2:15" s="145" customFormat="1" ht="20.100000000000001" customHeight="1" x14ac:dyDescent="0.25">
      <c r="B1091" s="377" t="s">
        <v>329</v>
      </c>
      <c r="C1091" s="379"/>
      <c r="D1091" s="137" t="s">
        <v>322</v>
      </c>
      <c r="E1091" s="137" t="s">
        <v>330</v>
      </c>
      <c r="F1091" s="137" t="s">
        <v>331</v>
      </c>
      <c r="G1091" s="137" t="s">
        <v>332</v>
      </c>
      <c r="H1091" s="137" t="s">
        <v>313</v>
      </c>
      <c r="I1091" s="138" t="s">
        <v>314</v>
      </c>
      <c r="O1091" s="179"/>
    </row>
    <row r="1092" spans="2:15" s="151" customFormat="1" ht="9.75" customHeight="1" x14ac:dyDescent="0.25">
      <c r="B1092" s="367" t="s">
        <v>356</v>
      </c>
      <c r="C1092" s="368"/>
      <c r="D1092" s="180">
        <v>1</v>
      </c>
      <c r="E1092" s="141">
        <v>140000</v>
      </c>
      <c r="F1092" s="141">
        <f>+E1092*0.8</f>
        <v>112000</v>
      </c>
      <c r="G1092" s="178">
        <f>D1092*E1092+F1092*D1092</f>
        <v>252000</v>
      </c>
      <c r="H1092" s="184">
        <v>1.5</v>
      </c>
      <c r="I1092" s="143">
        <f>+G1092/H1092</f>
        <v>168000</v>
      </c>
      <c r="J1092" s="145"/>
      <c r="K1092" s="147">
        <f>+K1095-I1097</f>
        <v>-4507125</v>
      </c>
    </row>
    <row r="1093" spans="2:15" s="151" customFormat="1" ht="11.25" customHeight="1" x14ac:dyDescent="0.25">
      <c r="B1093" s="367" t="s">
        <v>374</v>
      </c>
      <c r="C1093" s="368"/>
      <c r="D1093" s="180">
        <v>1</v>
      </c>
      <c r="E1093" s="141">
        <v>80000</v>
      </c>
      <c r="F1093" s="141">
        <f>+E1093*0.8</f>
        <v>64000</v>
      </c>
      <c r="G1093" s="178">
        <f>D1093*E1093+F1093*D1093</f>
        <v>144000</v>
      </c>
      <c r="H1093" s="184">
        <f>+H1092</f>
        <v>1.5</v>
      </c>
      <c r="I1093" s="143">
        <f>+G1093/H1093</f>
        <v>96000</v>
      </c>
      <c r="J1093" s="145"/>
      <c r="K1093" s="147">
        <v>4507125</v>
      </c>
      <c r="L1093" s="179"/>
      <c r="M1093" s="179"/>
    </row>
    <row r="1094" spans="2:15" s="145" customFormat="1" ht="10.5" customHeight="1" x14ac:dyDescent="0.25">
      <c r="B1094" s="367" t="s">
        <v>333</v>
      </c>
      <c r="C1094" s="368"/>
      <c r="D1094" s="180">
        <v>2</v>
      </c>
      <c r="E1094" s="141">
        <v>55000</v>
      </c>
      <c r="F1094" s="141">
        <f>+E1094*0.8</f>
        <v>44000</v>
      </c>
      <c r="G1094" s="178">
        <f>D1094*E1094+F1094*D1094</f>
        <v>198000</v>
      </c>
      <c r="H1094" s="184">
        <f>+H1092</f>
        <v>1.5</v>
      </c>
      <c r="I1094" s="143">
        <f>+G1094/H1094</f>
        <v>132000</v>
      </c>
      <c r="K1094" s="147"/>
    </row>
    <row r="1095" spans="2:15" ht="10.5" customHeight="1" thickBot="1" x14ac:dyDescent="0.3">
      <c r="B1095" s="371" t="s">
        <v>318</v>
      </c>
      <c r="C1095" s="372"/>
      <c r="D1095" s="372"/>
      <c r="E1095" s="372"/>
      <c r="F1095" s="372"/>
      <c r="G1095" s="372"/>
      <c r="H1095" s="372"/>
      <c r="I1095" s="144">
        <f>SUM(I1092:I1094)</f>
        <v>396000</v>
      </c>
      <c r="K1095" s="281">
        <v>0</v>
      </c>
      <c r="N1095" s="150"/>
    </row>
    <row r="1096" spans="2:15" ht="6" customHeight="1" thickBot="1" x14ac:dyDescent="0.3">
      <c r="B1096" s="373"/>
      <c r="C1096" s="373"/>
      <c r="D1096" s="373"/>
      <c r="E1096" s="373"/>
      <c r="F1096" s="373"/>
      <c r="G1096" s="373"/>
      <c r="H1096" s="373"/>
      <c r="I1096" s="373"/>
    </row>
    <row r="1097" spans="2:15" ht="10.5" customHeight="1" thickBot="1" x14ac:dyDescent="0.3">
      <c r="B1097" s="374" t="s">
        <v>334</v>
      </c>
      <c r="C1097" s="375"/>
      <c r="D1097" s="375"/>
      <c r="E1097" s="375"/>
      <c r="F1097" s="375"/>
      <c r="G1097" s="375"/>
      <c r="H1097" s="376"/>
      <c r="I1097" s="152">
        <f>ROUND(+I1078+I1083+I1088+I1095,0)</f>
        <v>4507125</v>
      </c>
      <c r="J1097" s="281"/>
      <c r="K1097" s="169"/>
      <c r="L1097" s="181"/>
      <c r="M1097" s="181"/>
      <c r="N1097" s="153"/>
    </row>
    <row r="1098" spans="2:15" ht="6" customHeight="1" thickBot="1" x14ac:dyDescent="0.3">
      <c r="B1098" s="373"/>
      <c r="C1098" s="373"/>
      <c r="D1098" s="373"/>
      <c r="E1098" s="373"/>
      <c r="F1098" s="373"/>
      <c r="G1098" s="373"/>
      <c r="H1098" s="373"/>
      <c r="I1098" s="373"/>
    </row>
    <row r="1099" spans="2:15" ht="8.25" customHeight="1" x14ac:dyDescent="0.25">
      <c r="B1099" s="433" t="s">
        <v>335</v>
      </c>
      <c r="C1099" s="417"/>
      <c r="D1099" s="418"/>
      <c r="E1099" s="418"/>
      <c r="F1099" s="419"/>
      <c r="G1099" s="369" t="s">
        <v>336</v>
      </c>
      <c r="H1099" s="370"/>
      <c r="I1099" s="370"/>
    </row>
    <row r="1100" spans="2:15" ht="33.75" customHeight="1" x14ac:dyDescent="0.25">
      <c r="B1100" s="434"/>
      <c r="C1100" s="420"/>
      <c r="D1100" s="421"/>
      <c r="E1100" s="421"/>
      <c r="F1100" s="422"/>
      <c r="G1100" s="430" t="s">
        <v>337</v>
      </c>
      <c r="H1100" s="431"/>
      <c r="I1100" s="431"/>
      <c r="L1100" s="181"/>
      <c r="M1100" s="181"/>
      <c r="N1100" s="179"/>
    </row>
    <row r="1101" spans="2:15" ht="13.5" customHeight="1" x14ac:dyDescent="0.25">
      <c r="B1101" s="434"/>
      <c r="C1101" s="420"/>
      <c r="D1101" s="421"/>
      <c r="E1101" s="421"/>
      <c r="F1101" s="422"/>
      <c r="G1101" s="154" t="s">
        <v>92</v>
      </c>
      <c r="H1101" s="432" t="s">
        <v>93</v>
      </c>
      <c r="I1101" s="432"/>
    </row>
    <row r="1102" spans="2:15" ht="16.5" customHeight="1" x14ac:dyDescent="0.25">
      <c r="B1102" s="435"/>
      <c r="C1102" s="420"/>
      <c r="D1102" s="421"/>
      <c r="E1102" s="421"/>
      <c r="F1102" s="422"/>
      <c r="G1102" s="155" t="s">
        <v>94</v>
      </c>
      <c r="H1102" s="156" t="s">
        <v>95</v>
      </c>
      <c r="I1102" s="157" t="s">
        <v>96</v>
      </c>
    </row>
    <row r="1103" spans="2:15" x14ac:dyDescent="0.25">
      <c r="B1103" s="268" t="s">
        <v>18</v>
      </c>
      <c r="C1103" s="427"/>
      <c r="D1103" s="428"/>
      <c r="E1103" s="428"/>
      <c r="F1103" s="429"/>
      <c r="G1103" s="155" t="s">
        <v>98</v>
      </c>
      <c r="H1103" s="157" t="s">
        <v>99</v>
      </c>
      <c r="I1103" s="157" t="s">
        <v>100</v>
      </c>
    </row>
    <row r="1104" spans="2:15" x14ac:dyDescent="0.25">
      <c r="B1104" s="269" t="s">
        <v>97</v>
      </c>
      <c r="C1104" s="427"/>
      <c r="D1104" s="428"/>
      <c r="E1104" s="428"/>
      <c r="F1104" s="429"/>
      <c r="G1104" s="154" t="s">
        <v>338</v>
      </c>
      <c r="H1104" s="426"/>
      <c r="I1104" s="426"/>
    </row>
    <row r="1105" spans="2:13" ht="15.75" thickBot="1" x14ac:dyDescent="0.3">
      <c r="B1105" s="270" t="s">
        <v>101</v>
      </c>
      <c r="C1105" s="423"/>
      <c r="D1105" s="424"/>
      <c r="E1105" s="424"/>
      <c r="F1105" s="425"/>
      <c r="G1105" s="154" t="s">
        <v>102</v>
      </c>
      <c r="H1105" s="426" t="s">
        <v>103</v>
      </c>
      <c r="I1105" s="426"/>
    </row>
    <row r="1106" spans="2:13" ht="45" customHeight="1" thickBot="1" x14ac:dyDescent="0.3">
      <c r="B1106" s="401"/>
      <c r="C1106" s="402"/>
      <c r="D1106" s="402"/>
      <c r="E1106" s="402"/>
      <c r="F1106" s="403" t="s">
        <v>0</v>
      </c>
      <c r="G1106" s="403"/>
      <c r="H1106" s="403"/>
      <c r="I1106" s="404"/>
    </row>
    <row r="1107" spans="2:13" ht="6" customHeight="1" thickBot="1" x14ac:dyDescent="0.3">
      <c r="B1107" s="373"/>
      <c r="C1107" s="373"/>
      <c r="D1107" s="373"/>
      <c r="E1107" s="373"/>
      <c r="F1107" s="373"/>
      <c r="G1107" s="373"/>
      <c r="H1107" s="373"/>
      <c r="I1107" s="373"/>
    </row>
    <row r="1108" spans="2:13" ht="10.5" customHeight="1" x14ac:dyDescent="0.25">
      <c r="B1108" s="405" t="s">
        <v>294</v>
      </c>
      <c r="C1108" s="406"/>
      <c r="D1108" s="407" t="s">
        <v>295</v>
      </c>
      <c r="E1108" s="409" t="s">
        <v>296</v>
      </c>
      <c r="F1108" s="410"/>
      <c r="G1108" s="410"/>
      <c r="H1108" s="410"/>
      <c r="I1108" s="411"/>
    </row>
    <row r="1109" spans="2:13" ht="9" customHeight="1" thickBot="1" x14ac:dyDescent="0.3">
      <c r="B1109" s="415"/>
      <c r="C1109" s="416"/>
      <c r="D1109" s="408"/>
      <c r="E1109" s="412"/>
      <c r="F1109" s="413"/>
      <c r="G1109" s="413"/>
      <c r="H1109" s="413"/>
      <c r="I1109" s="414"/>
    </row>
    <row r="1110" spans="2:13" ht="6" customHeight="1" thickBot="1" x14ac:dyDescent="0.3">
      <c r="B1110" s="373"/>
      <c r="C1110" s="373"/>
      <c r="D1110" s="373"/>
      <c r="E1110" s="373"/>
      <c r="F1110" s="373"/>
      <c r="G1110" s="373"/>
      <c r="H1110" s="373"/>
      <c r="I1110" s="373"/>
    </row>
    <row r="1111" spans="2:13" ht="17.25" customHeight="1" thickBot="1" x14ac:dyDescent="0.3">
      <c r="B1111" s="390" t="s">
        <v>297</v>
      </c>
      <c r="C1111" s="391"/>
      <c r="D1111" s="392"/>
      <c r="E1111" s="393"/>
      <c r="F1111" s="393"/>
      <c r="G1111" s="394"/>
      <c r="H1111" s="127" t="s">
        <v>298</v>
      </c>
      <c r="I1111" s="128"/>
    </row>
    <row r="1112" spans="2:13" ht="6" customHeight="1" thickBot="1" x14ac:dyDescent="0.3">
      <c r="B1112" s="373"/>
      <c r="C1112" s="373"/>
      <c r="D1112" s="373"/>
      <c r="E1112" s="373"/>
      <c r="F1112" s="373"/>
      <c r="G1112" s="373"/>
      <c r="H1112" s="373"/>
      <c r="I1112" s="373"/>
    </row>
    <row r="1113" spans="2:13" ht="19.5" customHeight="1" x14ac:dyDescent="0.25">
      <c r="B1113" s="261" t="s">
        <v>299</v>
      </c>
      <c r="C1113" s="129" t="s">
        <v>300</v>
      </c>
      <c r="D1113" s="130" t="s">
        <v>301</v>
      </c>
      <c r="E1113" s="130" t="s">
        <v>302</v>
      </c>
      <c r="F1113" s="398" t="s">
        <v>303</v>
      </c>
      <c r="G1113" s="399"/>
      <c r="H1113" s="400"/>
      <c r="I1113" s="131" t="s">
        <v>304</v>
      </c>
    </row>
    <row r="1114" spans="2:13" ht="11.25" customHeight="1" x14ac:dyDescent="0.25">
      <c r="B1114" s="262"/>
      <c r="C1114" s="132"/>
      <c r="D1114" s="132" t="s">
        <v>305</v>
      </c>
      <c r="E1114" s="132" t="s">
        <v>306</v>
      </c>
      <c r="F1114" s="395" t="s">
        <v>339</v>
      </c>
      <c r="G1114" s="396"/>
      <c r="H1114" s="397"/>
      <c r="I1114" s="133"/>
    </row>
    <row r="1115" spans="2:13" ht="28.5" customHeight="1" x14ac:dyDescent="0.25">
      <c r="B1115" s="263" t="s">
        <v>307</v>
      </c>
      <c r="C1115" s="383" t="s">
        <v>414</v>
      </c>
      <c r="D1115" s="384"/>
      <c r="E1115" s="384"/>
      <c r="F1115" s="384"/>
      <c r="G1115" s="384"/>
      <c r="H1115" s="384"/>
      <c r="I1115" s="385"/>
    </row>
    <row r="1116" spans="2:13" ht="10.5" customHeight="1" x14ac:dyDescent="0.25">
      <c r="B1116" s="264" t="s">
        <v>129</v>
      </c>
      <c r="C1116" s="388" t="s">
        <v>308</v>
      </c>
      <c r="D1116" s="389"/>
      <c r="E1116" s="389"/>
      <c r="F1116" s="389"/>
      <c r="G1116" s="389"/>
      <c r="H1116" s="389"/>
      <c r="I1116" s="134" t="s">
        <v>130</v>
      </c>
    </row>
    <row r="1117" spans="2:13" ht="50.25" customHeight="1" thickBot="1" x14ac:dyDescent="0.3">
      <c r="B1117" s="265">
        <v>6.1199999999999974</v>
      </c>
      <c r="C1117" s="386" t="s">
        <v>569</v>
      </c>
      <c r="D1117" s="387"/>
      <c r="E1117" s="387"/>
      <c r="F1117" s="387"/>
      <c r="G1117" s="387"/>
      <c r="H1117" s="387"/>
      <c r="I1117" s="135" t="s">
        <v>27</v>
      </c>
    </row>
    <row r="1118" spans="2:13" ht="6" customHeight="1" thickBot="1" x14ac:dyDescent="0.3">
      <c r="B1118" s="373"/>
      <c r="C1118" s="373"/>
      <c r="D1118" s="373"/>
      <c r="E1118" s="373"/>
      <c r="F1118" s="373"/>
      <c r="G1118" s="373"/>
      <c r="H1118" s="373"/>
      <c r="I1118" s="373"/>
    </row>
    <row r="1119" spans="2:13" x14ac:dyDescent="0.25">
      <c r="B1119" s="380" t="s">
        <v>309</v>
      </c>
      <c r="C1119" s="381"/>
      <c r="D1119" s="381"/>
      <c r="E1119" s="381"/>
      <c r="F1119" s="381"/>
      <c r="G1119" s="381"/>
      <c r="H1119" s="381"/>
      <c r="I1119" s="382"/>
      <c r="K1119" s="182"/>
    </row>
    <row r="1120" spans="2:13" ht="11.25" customHeight="1" x14ac:dyDescent="0.25">
      <c r="B1120" s="377" t="s">
        <v>310</v>
      </c>
      <c r="C1120" s="378"/>
      <c r="D1120" s="379"/>
      <c r="E1120" s="136"/>
      <c r="F1120" s="137" t="s">
        <v>311</v>
      </c>
      <c r="G1120" s="137" t="s">
        <v>312</v>
      </c>
      <c r="H1120" s="137" t="s">
        <v>313</v>
      </c>
      <c r="I1120" s="138" t="s">
        <v>314</v>
      </c>
      <c r="L1120" s="139"/>
      <c r="M1120" s="139"/>
    </row>
    <row r="1121" spans="2:15" ht="11.25" customHeight="1" x14ac:dyDescent="0.25">
      <c r="B1121" s="362" t="s">
        <v>315</v>
      </c>
      <c r="C1121" s="363"/>
      <c r="D1121" s="363"/>
      <c r="E1121" s="160"/>
      <c r="F1121" s="161" t="s">
        <v>316</v>
      </c>
      <c r="G1121" s="160">
        <v>5000</v>
      </c>
      <c r="H1121" s="142">
        <v>1</v>
      </c>
      <c r="I1121" s="143">
        <f>G1121*H1121</f>
        <v>5000</v>
      </c>
    </row>
    <row r="1122" spans="2:15" ht="16.5" customHeight="1" x14ac:dyDescent="0.25">
      <c r="B1122" s="362" t="s">
        <v>355</v>
      </c>
      <c r="C1122" s="363"/>
      <c r="D1122" s="363"/>
      <c r="E1122" s="160"/>
      <c r="F1122" s="161" t="s">
        <v>317</v>
      </c>
      <c r="G1122" s="160">
        <v>90000</v>
      </c>
      <c r="H1122" s="142">
        <v>1</v>
      </c>
      <c r="I1122" s="143">
        <f>G1122*H1122</f>
        <v>90000</v>
      </c>
    </row>
    <row r="1123" spans="2:15" ht="10.5" customHeight="1" thickBot="1" x14ac:dyDescent="0.3">
      <c r="B1123" s="371" t="s">
        <v>318</v>
      </c>
      <c r="C1123" s="372"/>
      <c r="D1123" s="372"/>
      <c r="E1123" s="372"/>
      <c r="F1123" s="372"/>
      <c r="G1123" s="372"/>
      <c r="H1123" s="372"/>
      <c r="I1123" s="144">
        <f>SUM(I1121:I1122)</f>
        <v>95000</v>
      </c>
      <c r="N1123" s="150"/>
    </row>
    <row r="1124" spans="2:15" ht="6" customHeight="1" thickBot="1" x14ac:dyDescent="0.3">
      <c r="B1124" s="373"/>
      <c r="C1124" s="373"/>
      <c r="D1124" s="373"/>
      <c r="E1124" s="373"/>
      <c r="F1124" s="373"/>
      <c r="G1124" s="373"/>
      <c r="H1124" s="373"/>
      <c r="I1124" s="373"/>
    </row>
    <row r="1125" spans="2:15" s="145" customFormat="1" x14ac:dyDescent="0.25">
      <c r="B1125" s="380" t="s">
        <v>319</v>
      </c>
      <c r="C1125" s="381"/>
      <c r="D1125" s="381"/>
      <c r="E1125" s="381"/>
      <c r="F1125" s="381"/>
      <c r="G1125" s="381"/>
      <c r="H1125" s="381"/>
      <c r="I1125" s="382"/>
    </row>
    <row r="1126" spans="2:15" s="145" customFormat="1" ht="15.75" customHeight="1" x14ac:dyDescent="0.25">
      <c r="B1126" s="377" t="s">
        <v>310</v>
      </c>
      <c r="C1126" s="378"/>
      <c r="D1126" s="379"/>
      <c r="E1126" s="137"/>
      <c r="F1126" s="137" t="s">
        <v>320</v>
      </c>
      <c r="G1126" s="137" t="s">
        <v>321</v>
      </c>
      <c r="H1126" s="137" t="s">
        <v>322</v>
      </c>
      <c r="I1126" s="138" t="s">
        <v>314</v>
      </c>
    </row>
    <row r="1127" spans="2:15" ht="74.25" customHeight="1" x14ac:dyDescent="0.25">
      <c r="B1127" s="436" t="s">
        <v>569</v>
      </c>
      <c r="C1127" s="437"/>
      <c r="D1127" s="438"/>
      <c r="E1127" s="163"/>
      <c r="F1127" s="161" t="s">
        <v>27</v>
      </c>
      <c r="G1127" s="160">
        <f>965500-38000-15000+68000+431993+1126495+1230137+474855-961710-481855-1443350+3146343+582673-1483241-2245775+1196923+3816555-247501+1315423-6073843+2959358-1731916+1-1472142+1+1893634-1864065-91337+515237+1966520+450712+470432</f>
        <v>4461057</v>
      </c>
      <c r="H1127" s="142">
        <v>1</v>
      </c>
      <c r="I1127" s="143">
        <f>G1127*H1127</f>
        <v>4461057</v>
      </c>
    </row>
    <row r="1128" spans="2:15" ht="18" customHeight="1" thickBot="1" x14ac:dyDescent="0.3">
      <c r="B1128" s="371" t="s">
        <v>318</v>
      </c>
      <c r="C1128" s="372"/>
      <c r="D1128" s="372"/>
      <c r="E1128" s="372"/>
      <c r="F1128" s="372"/>
      <c r="G1128" s="372"/>
      <c r="H1128" s="372"/>
      <c r="I1128" s="144">
        <f>SUM(I1127:I1127)</f>
        <v>4461057</v>
      </c>
      <c r="N1128" s="150"/>
    </row>
    <row r="1129" spans="2:15" ht="6" customHeight="1" thickBot="1" x14ac:dyDescent="0.3">
      <c r="B1129" s="373"/>
      <c r="C1129" s="373"/>
      <c r="D1129" s="373"/>
      <c r="E1129" s="373"/>
      <c r="F1129" s="373"/>
      <c r="G1129" s="373"/>
      <c r="H1129" s="373"/>
      <c r="I1129" s="373"/>
    </row>
    <row r="1130" spans="2:15" s="145" customFormat="1" x14ac:dyDescent="0.25">
      <c r="B1130" s="380" t="s">
        <v>323</v>
      </c>
      <c r="C1130" s="381"/>
      <c r="D1130" s="381"/>
      <c r="E1130" s="381"/>
      <c r="F1130" s="381"/>
      <c r="G1130" s="381"/>
      <c r="H1130" s="381"/>
      <c r="I1130" s="382"/>
      <c r="L1130" s="146"/>
      <c r="M1130" s="146"/>
    </row>
    <row r="1131" spans="2:15" s="145" customFormat="1" x14ac:dyDescent="0.25">
      <c r="B1131" s="377" t="s">
        <v>324</v>
      </c>
      <c r="C1131" s="378"/>
      <c r="D1131" s="379"/>
      <c r="E1131" s="137" t="s">
        <v>325</v>
      </c>
      <c r="F1131" s="137" t="s">
        <v>326</v>
      </c>
      <c r="G1131" s="137" t="s">
        <v>130</v>
      </c>
      <c r="H1131" s="137" t="s">
        <v>327</v>
      </c>
      <c r="I1131" s="138" t="s">
        <v>314</v>
      </c>
      <c r="K1131" s="260"/>
      <c r="N1131" s="183"/>
      <c r="O1131" s="148"/>
    </row>
    <row r="1132" spans="2:15" ht="11.25" customHeight="1" x14ac:dyDescent="0.25">
      <c r="B1132" s="362" t="s">
        <v>711</v>
      </c>
      <c r="C1132" s="363"/>
      <c r="D1132" s="363"/>
      <c r="E1132" s="170">
        <v>1</v>
      </c>
      <c r="F1132" s="164"/>
      <c r="G1132" s="161"/>
      <c r="H1132" s="162">
        <v>35000</v>
      </c>
      <c r="I1132" s="143">
        <f>H1132*E1132</f>
        <v>35000</v>
      </c>
    </row>
    <row r="1133" spans="2:15" ht="10.5" customHeight="1" thickBot="1" x14ac:dyDescent="0.3">
      <c r="B1133" s="371" t="s">
        <v>318</v>
      </c>
      <c r="C1133" s="372"/>
      <c r="D1133" s="372"/>
      <c r="E1133" s="372"/>
      <c r="F1133" s="372"/>
      <c r="G1133" s="372"/>
      <c r="H1133" s="372"/>
      <c r="I1133" s="144">
        <f>SUM(I1132:I1132)</f>
        <v>35000</v>
      </c>
      <c r="N1133" s="150"/>
    </row>
    <row r="1134" spans="2:15" ht="6" customHeight="1" thickBot="1" x14ac:dyDescent="0.3">
      <c r="B1134" s="373"/>
      <c r="C1134" s="373"/>
      <c r="D1134" s="373"/>
      <c r="E1134" s="373"/>
      <c r="F1134" s="373"/>
      <c r="G1134" s="373"/>
      <c r="H1134" s="373"/>
      <c r="I1134" s="373"/>
    </row>
    <row r="1135" spans="2:15" s="145" customFormat="1" ht="20.100000000000001" customHeight="1" x14ac:dyDescent="0.25">
      <c r="B1135" s="380" t="s">
        <v>328</v>
      </c>
      <c r="C1135" s="381"/>
      <c r="D1135" s="381"/>
      <c r="E1135" s="381"/>
      <c r="F1135" s="381"/>
      <c r="G1135" s="381"/>
      <c r="H1135" s="381"/>
      <c r="I1135" s="382"/>
      <c r="K1135" s="147"/>
      <c r="N1135" s="148"/>
      <c r="O1135" s="149"/>
    </row>
    <row r="1136" spans="2:15" s="145" customFormat="1" ht="20.100000000000001" customHeight="1" x14ac:dyDescent="0.25">
      <c r="B1136" s="377" t="s">
        <v>329</v>
      </c>
      <c r="C1136" s="379"/>
      <c r="D1136" s="137" t="s">
        <v>322</v>
      </c>
      <c r="E1136" s="137" t="s">
        <v>330</v>
      </c>
      <c r="F1136" s="137" t="s">
        <v>331</v>
      </c>
      <c r="G1136" s="137" t="s">
        <v>332</v>
      </c>
      <c r="H1136" s="137" t="s">
        <v>313</v>
      </c>
      <c r="I1136" s="138" t="s">
        <v>314</v>
      </c>
      <c r="K1136" s="147">
        <f>+K1140-I1142</f>
        <v>0</v>
      </c>
      <c r="O1136" s="179"/>
    </row>
    <row r="1137" spans="2:14" s="151" customFormat="1" ht="9.75" customHeight="1" x14ac:dyDescent="0.25">
      <c r="B1137" s="367" t="s">
        <v>356</v>
      </c>
      <c r="C1137" s="368"/>
      <c r="D1137" s="180">
        <v>1</v>
      </c>
      <c r="E1137" s="141">
        <v>140000</v>
      </c>
      <c r="F1137" s="141">
        <f>+E1137*0.8</f>
        <v>112000</v>
      </c>
      <c r="G1137" s="178">
        <f>D1137*E1137+F1137*D1137</f>
        <v>252000</v>
      </c>
      <c r="H1137" s="184">
        <v>1.3</v>
      </c>
      <c r="I1137" s="143">
        <f>+G1137/H1137</f>
        <v>193846.15384615384</v>
      </c>
      <c r="J1137" s="145"/>
      <c r="K1137" s="147"/>
    </row>
    <row r="1138" spans="2:14" s="151" customFormat="1" ht="11.25" customHeight="1" x14ac:dyDescent="0.25">
      <c r="B1138" s="367" t="s">
        <v>374</v>
      </c>
      <c r="C1138" s="368"/>
      <c r="D1138" s="180">
        <v>1</v>
      </c>
      <c r="E1138" s="141">
        <v>80000</v>
      </c>
      <c r="F1138" s="141">
        <f>+E1138*0.8</f>
        <v>64000</v>
      </c>
      <c r="G1138" s="178">
        <f>D1138*E1138+F1138*D1138</f>
        <v>144000</v>
      </c>
      <c r="H1138" s="184">
        <f>+H1137</f>
        <v>1.3</v>
      </c>
      <c r="I1138" s="143">
        <f>+G1138/H1138</f>
        <v>110769.23076923077</v>
      </c>
      <c r="J1138" s="145"/>
      <c r="K1138" s="147"/>
      <c r="L1138" s="179"/>
      <c r="M1138" s="179"/>
    </row>
    <row r="1139" spans="2:14" s="145" customFormat="1" ht="10.5" customHeight="1" x14ac:dyDescent="0.25">
      <c r="B1139" s="367" t="s">
        <v>333</v>
      </c>
      <c r="C1139" s="368"/>
      <c r="D1139" s="180">
        <v>2</v>
      </c>
      <c r="E1139" s="141">
        <v>55000</v>
      </c>
      <c r="F1139" s="141">
        <f>+E1139*0.8</f>
        <v>44000</v>
      </c>
      <c r="G1139" s="178">
        <f>D1139*E1139+F1139*D1139</f>
        <v>198000</v>
      </c>
      <c r="H1139" s="184">
        <f>+H1137</f>
        <v>1.3</v>
      </c>
      <c r="I1139" s="143">
        <f>+G1139/H1139</f>
        <v>152307.69230769231</v>
      </c>
      <c r="K1139" s="147"/>
    </row>
    <row r="1140" spans="2:14" ht="10.5" customHeight="1" thickBot="1" x14ac:dyDescent="0.3">
      <c r="B1140" s="371" t="s">
        <v>318</v>
      </c>
      <c r="C1140" s="372"/>
      <c r="D1140" s="372"/>
      <c r="E1140" s="372"/>
      <c r="F1140" s="372"/>
      <c r="G1140" s="372"/>
      <c r="H1140" s="372"/>
      <c r="I1140" s="144">
        <f>SUM(I1137:I1139)</f>
        <v>456923.07692307694</v>
      </c>
      <c r="K1140" s="281">
        <v>5047980</v>
      </c>
      <c r="N1140" s="150"/>
    </row>
    <row r="1141" spans="2:14" ht="6" customHeight="1" thickBot="1" x14ac:dyDescent="0.3">
      <c r="B1141" s="373"/>
      <c r="C1141" s="373"/>
      <c r="D1141" s="373"/>
      <c r="E1141" s="373"/>
      <c r="F1141" s="373"/>
      <c r="G1141" s="373"/>
      <c r="H1141" s="373"/>
      <c r="I1141" s="373"/>
    </row>
    <row r="1142" spans="2:14" ht="10.5" customHeight="1" thickBot="1" x14ac:dyDescent="0.3">
      <c r="B1142" s="374" t="s">
        <v>334</v>
      </c>
      <c r="C1142" s="375"/>
      <c r="D1142" s="375"/>
      <c r="E1142" s="375"/>
      <c r="F1142" s="375"/>
      <c r="G1142" s="375"/>
      <c r="H1142" s="376"/>
      <c r="I1142" s="152">
        <f>ROUND(+I1123+I1128+I1133+I1140,0)</f>
        <v>5047980</v>
      </c>
      <c r="J1142" s="281"/>
      <c r="K1142" s="169"/>
      <c r="L1142" s="181"/>
      <c r="M1142" s="181"/>
      <c r="N1142" s="153"/>
    </row>
    <row r="1143" spans="2:14" ht="6" customHeight="1" thickBot="1" x14ac:dyDescent="0.3">
      <c r="B1143" s="373"/>
      <c r="C1143" s="373"/>
      <c r="D1143" s="373"/>
      <c r="E1143" s="373"/>
      <c r="F1143" s="373"/>
      <c r="G1143" s="373"/>
      <c r="H1143" s="373"/>
      <c r="I1143" s="373"/>
    </row>
    <row r="1144" spans="2:14" ht="8.25" customHeight="1" x14ac:dyDescent="0.25">
      <c r="B1144" s="433" t="s">
        <v>335</v>
      </c>
      <c r="C1144" s="417"/>
      <c r="D1144" s="418"/>
      <c r="E1144" s="418"/>
      <c r="F1144" s="419"/>
      <c r="G1144" s="369" t="s">
        <v>336</v>
      </c>
      <c r="H1144" s="370"/>
      <c r="I1144" s="370"/>
    </row>
    <row r="1145" spans="2:14" ht="33.75" customHeight="1" x14ac:dyDescent="0.25">
      <c r="B1145" s="434"/>
      <c r="C1145" s="420"/>
      <c r="D1145" s="421"/>
      <c r="E1145" s="421"/>
      <c r="F1145" s="422"/>
      <c r="G1145" s="430" t="s">
        <v>337</v>
      </c>
      <c r="H1145" s="431"/>
      <c r="I1145" s="431"/>
      <c r="L1145" s="181"/>
      <c r="M1145" s="181"/>
      <c r="N1145" s="179"/>
    </row>
    <row r="1146" spans="2:14" ht="13.5" customHeight="1" x14ac:dyDescent="0.25">
      <c r="B1146" s="434"/>
      <c r="C1146" s="420"/>
      <c r="D1146" s="421"/>
      <c r="E1146" s="421"/>
      <c r="F1146" s="422"/>
      <c r="G1146" s="154" t="s">
        <v>92</v>
      </c>
      <c r="H1146" s="432" t="s">
        <v>93</v>
      </c>
      <c r="I1146" s="432"/>
    </row>
    <row r="1147" spans="2:14" ht="16.5" customHeight="1" x14ac:dyDescent="0.25">
      <c r="B1147" s="435"/>
      <c r="C1147" s="420"/>
      <c r="D1147" s="421"/>
      <c r="E1147" s="421"/>
      <c r="F1147" s="422"/>
      <c r="G1147" s="155" t="s">
        <v>94</v>
      </c>
      <c r="H1147" s="156" t="s">
        <v>95</v>
      </c>
      <c r="I1147" s="157" t="s">
        <v>96</v>
      </c>
    </row>
    <row r="1148" spans="2:14" x14ac:dyDescent="0.25">
      <c r="B1148" s="268" t="s">
        <v>18</v>
      </c>
      <c r="C1148" s="427"/>
      <c r="D1148" s="428"/>
      <c r="E1148" s="428"/>
      <c r="F1148" s="429"/>
      <c r="G1148" s="155" t="s">
        <v>98</v>
      </c>
      <c r="H1148" s="157" t="s">
        <v>99</v>
      </c>
      <c r="I1148" s="157" t="s">
        <v>100</v>
      </c>
    </row>
    <row r="1149" spans="2:14" x14ac:dyDescent="0.25">
      <c r="B1149" s="269" t="s">
        <v>97</v>
      </c>
      <c r="C1149" s="427"/>
      <c r="D1149" s="428"/>
      <c r="E1149" s="428"/>
      <c r="F1149" s="429"/>
      <c r="G1149" s="154" t="s">
        <v>338</v>
      </c>
      <c r="H1149" s="426"/>
      <c r="I1149" s="426"/>
    </row>
    <row r="1150" spans="2:14" ht="15.75" thickBot="1" x14ac:dyDescent="0.3">
      <c r="B1150" s="270" t="s">
        <v>101</v>
      </c>
      <c r="C1150" s="423"/>
      <c r="D1150" s="424"/>
      <c r="E1150" s="424"/>
      <c r="F1150" s="425"/>
      <c r="G1150" s="154" t="s">
        <v>102</v>
      </c>
      <c r="H1150" s="426" t="s">
        <v>103</v>
      </c>
      <c r="I1150" s="426"/>
    </row>
    <row r="1151" spans="2:14" ht="45" customHeight="1" thickBot="1" x14ac:dyDescent="0.3">
      <c r="B1151" s="401"/>
      <c r="C1151" s="402"/>
      <c r="D1151" s="402"/>
      <c r="E1151" s="402"/>
      <c r="F1151" s="403" t="s">
        <v>0</v>
      </c>
      <c r="G1151" s="403"/>
      <c r="H1151" s="403"/>
      <c r="I1151" s="404"/>
    </row>
    <row r="1152" spans="2:14" ht="6" customHeight="1" thickBot="1" x14ac:dyDescent="0.3">
      <c r="B1152" s="373"/>
      <c r="C1152" s="373"/>
      <c r="D1152" s="373"/>
      <c r="E1152" s="373"/>
      <c r="F1152" s="373"/>
      <c r="G1152" s="373"/>
      <c r="H1152" s="373"/>
      <c r="I1152" s="373"/>
    </row>
    <row r="1153" spans="2:14" ht="10.5" customHeight="1" x14ac:dyDescent="0.25">
      <c r="B1153" s="405" t="s">
        <v>294</v>
      </c>
      <c r="C1153" s="406"/>
      <c r="D1153" s="407" t="s">
        <v>295</v>
      </c>
      <c r="E1153" s="409" t="s">
        <v>296</v>
      </c>
      <c r="F1153" s="410"/>
      <c r="G1153" s="410"/>
      <c r="H1153" s="410"/>
      <c r="I1153" s="411"/>
    </row>
    <row r="1154" spans="2:14" ht="9" customHeight="1" thickBot="1" x14ac:dyDescent="0.3">
      <c r="B1154" s="415"/>
      <c r="C1154" s="416"/>
      <c r="D1154" s="408"/>
      <c r="E1154" s="412"/>
      <c r="F1154" s="413"/>
      <c r="G1154" s="413"/>
      <c r="H1154" s="413"/>
      <c r="I1154" s="414"/>
    </row>
    <row r="1155" spans="2:14" ht="6" customHeight="1" thickBot="1" x14ac:dyDescent="0.3">
      <c r="B1155" s="373"/>
      <c r="C1155" s="373"/>
      <c r="D1155" s="373"/>
      <c r="E1155" s="373"/>
      <c r="F1155" s="373"/>
      <c r="G1155" s="373"/>
      <c r="H1155" s="373"/>
      <c r="I1155" s="373"/>
    </row>
    <row r="1156" spans="2:14" ht="17.25" customHeight="1" thickBot="1" x14ac:dyDescent="0.3">
      <c r="B1156" s="390" t="s">
        <v>297</v>
      </c>
      <c r="C1156" s="391"/>
      <c r="D1156" s="392"/>
      <c r="E1156" s="393"/>
      <c r="F1156" s="393"/>
      <c r="G1156" s="394"/>
      <c r="H1156" s="127" t="s">
        <v>298</v>
      </c>
      <c r="I1156" s="128"/>
    </row>
    <row r="1157" spans="2:14" ht="6" customHeight="1" thickBot="1" x14ac:dyDescent="0.3">
      <c r="B1157" s="373"/>
      <c r="C1157" s="373"/>
      <c r="D1157" s="373"/>
      <c r="E1157" s="373"/>
      <c r="F1157" s="373"/>
      <c r="G1157" s="373"/>
      <c r="H1157" s="373"/>
      <c r="I1157" s="373"/>
    </row>
    <row r="1158" spans="2:14" ht="19.5" customHeight="1" x14ac:dyDescent="0.25">
      <c r="B1158" s="261" t="s">
        <v>299</v>
      </c>
      <c r="C1158" s="129" t="s">
        <v>300</v>
      </c>
      <c r="D1158" s="130" t="s">
        <v>301</v>
      </c>
      <c r="E1158" s="130" t="s">
        <v>302</v>
      </c>
      <c r="F1158" s="398" t="s">
        <v>303</v>
      </c>
      <c r="G1158" s="399"/>
      <c r="H1158" s="400"/>
      <c r="I1158" s="131" t="s">
        <v>304</v>
      </c>
    </row>
    <row r="1159" spans="2:14" ht="11.25" customHeight="1" x14ac:dyDescent="0.25">
      <c r="B1159" s="262"/>
      <c r="C1159" s="132"/>
      <c r="D1159" s="132" t="s">
        <v>305</v>
      </c>
      <c r="E1159" s="132" t="s">
        <v>306</v>
      </c>
      <c r="F1159" s="395" t="s">
        <v>339</v>
      </c>
      <c r="G1159" s="396"/>
      <c r="H1159" s="397"/>
      <c r="I1159" s="133"/>
    </row>
    <row r="1160" spans="2:14" ht="28.5" customHeight="1" x14ac:dyDescent="0.25">
      <c r="B1160" s="263" t="s">
        <v>307</v>
      </c>
      <c r="C1160" s="383" t="s">
        <v>414</v>
      </c>
      <c r="D1160" s="384"/>
      <c r="E1160" s="384"/>
      <c r="F1160" s="384"/>
      <c r="G1160" s="384"/>
      <c r="H1160" s="384"/>
      <c r="I1160" s="385"/>
    </row>
    <row r="1161" spans="2:14" ht="10.5" customHeight="1" x14ac:dyDescent="0.25">
      <c r="B1161" s="264" t="s">
        <v>129</v>
      </c>
      <c r="C1161" s="388" t="s">
        <v>308</v>
      </c>
      <c r="D1161" s="389"/>
      <c r="E1161" s="389"/>
      <c r="F1161" s="389"/>
      <c r="G1161" s="389"/>
      <c r="H1161" s="389"/>
      <c r="I1161" s="134" t="s">
        <v>130</v>
      </c>
    </row>
    <row r="1162" spans="2:14" ht="50.25" customHeight="1" thickBot="1" x14ac:dyDescent="0.3">
      <c r="B1162" s="265">
        <v>6.1299999999999972</v>
      </c>
      <c r="C1162" s="386" t="s">
        <v>570</v>
      </c>
      <c r="D1162" s="387"/>
      <c r="E1162" s="387"/>
      <c r="F1162" s="387"/>
      <c r="G1162" s="387"/>
      <c r="H1162" s="387"/>
      <c r="I1162" s="135" t="s">
        <v>27</v>
      </c>
    </row>
    <row r="1163" spans="2:14" ht="6" customHeight="1" thickBot="1" x14ac:dyDescent="0.3">
      <c r="B1163" s="373"/>
      <c r="C1163" s="373"/>
      <c r="D1163" s="373"/>
      <c r="E1163" s="373"/>
      <c r="F1163" s="373"/>
      <c r="G1163" s="373"/>
      <c r="H1163" s="373"/>
      <c r="I1163" s="373"/>
    </row>
    <row r="1164" spans="2:14" x14ac:dyDescent="0.25">
      <c r="B1164" s="380" t="s">
        <v>309</v>
      </c>
      <c r="C1164" s="381"/>
      <c r="D1164" s="381"/>
      <c r="E1164" s="381"/>
      <c r="F1164" s="381"/>
      <c r="G1164" s="381"/>
      <c r="H1164" s="381"/>
      <c r="I1164" s="382"/>
      <c r="K1164" s="182"/>
    </row>
    <row r="1165" spans="2:14" ht="11.25" customHeight="1" x14ac:dyDescent="0.25">
      <c r="B1165" s="377" t="s">
        <v>310</v>
      </c>
      <c r="C1165" s="378"/>
      <c r="D1165" s="379"/>
      <c r="E1165" s="136"/>
      <c r="F1165" s="137" t="s">
        <v>311</v>
      </c>
      <c r="G1165" s="137" t="s">
        <v>312</v>
      </c>
      <c r="H1165" s="137" t="s">
        <v>313</v>
      </c>
      <c r="I1165" s="138" t="s">
        <v>314</v>
      </c>
      <c r="L1165" s="139"/>
      <c r="M1165" s="139"/>
    </row>
    <row r="1166" spans="2:14" ht="11.25" customHeight="1" x14ac:dyDescent="0.25">
      <c r="B1166" s="362" t="s">
        <v>315</v>
      </c>
      <c r="C1166" s="363"/>
      <c r="D1166" s="363"/>
      <c r="E1166" s="160"/>
      <c r="F1166" s="161" t="s">
        <v>316</v>
      </c>
      <c r="G1166" s="160">
        <v>5000</v>
      </c>
      <c r="H1166" s="142">
        <v>0.8</v>
      </c>
      <c r="I1166" s="143">
        <f>G1166*H1166</f>
        <v>4000</v>
      </c>
    </row>
    <row r="1167" spans="2:14" ht="16.5" customHeight="1" x14ac:dyDescent="0.25">
      <c r="B1167" s="362" t="s">
        <v>355</v>
      </c>
      <c r="C1167" s="363"/>
      <c r="D1167" s="363"/>
      <c r="E1167" s="160"/>
      <c r="F1167" s="161" t="s">
        <v>317</v>
      </c>
      <c r="G1167" s="160">
        <v>90000</v>
      </c>
      <c r="H1167" s="142">
        <v>0.8</v>
      </c>
      <c r="I1167" s="143">
        <f>G1167*H1167</f>
        <v>72000</v>
      </c>
    </row>
    <row r="1168" spans="2:14" ht="10.5" customHeight="1" thickBot="1" x14ac:dyDescent="0.3">
      <c r="B1168" s="371" t="s">
        <v>318</v>
      </c>
      <c r="C1168" s="372"/>
      <c r="D1168" s="372"/>
      <c r="E1168" s="372"/>
      <c r="F1168" s="372"/>
      <c r="G1168" s="372"/>
      <c r="H1168" s="372"/>
      <c r="I1168" s="144">
        <f>SUM(I1166:I1167)</f>
        <v>76000</v>
      </c>
      <c r="N1168" s="150"/>
    </row>
    <row r="1169" spans="2:15" ht="6" customHeight="1" thickBot="1" x14ac:dyDescent="0.3">
      <c r="B1169" s="373"/>
      <c r="C1169" s="373"/>
      <c r="D1169" s="373"/>
      <c r="E1169" s="373"/>
      <c r="F1169" s="373"/>
      <c r="G1169" s="373"/>
      <c r="H1169" s="373"/>
      <c r="I1169" s="373"/>
    </row>
    <row r="1170" spans="2:15" s="145" customFormat="1" x14ac:dyDescent="0.25">
      <c r="B1170" s="380" t="s">
        <v>319</v>
      </c>
      <c r="C1170" s="381"/>
      <c r="D1170" s="381"/>
      <c r="E1170" s="381"/>
      <c r="F1170" s="381"/>
      <c r="G1170" s="381"/>
      <c r="H1170" s="381"/>
      <c r="I1170" s="382"/>
    </row>
    <row r="1171" spans="2:15" s="145" customFormat="1" ht="15.75" customHeight="1" x14ac:dyDescent="0.25">
      <c r="B1171" s="377" t="s">
        <v>310</v>
      </c>
      <c r="C1171" s="378"/>
      <c r="D1171" s="379"/>
      <c r="E1171" s="137"/>
      <c r="F1171" s="137" t="s">
        <v>320</v>
      </c>
      <c r="G1171" s="137" t="s">
        <v>321</v>
      </c>
      <c r="H1171" s="137" t="s">
        <v>322</v>
      </c>
      <c r="I1171" s="138" t="s">
        <v>314</v>
      </c>
    </row>
    <row r="1172" spans="2:15" ht="74.25" customHeight="1" x14ac:dyDescent="0.25">
      <c r="B1172" s="436" t="s">
        <v>570</v>
      </c>
      <c r="C1172" s="437"/>
      <c r="D1172" s="438"/>
      <c r="E1172" s="163"/>
      <c r="F1172" s="161" t="s">
        <v>27</v>
      </c>
      <c r="G1172" s="160">
        <f>965500-38000-15000+68000+431993+1126495+1230137+474855-961710-481855-1443350+3146343+582673-1483241-2245775+1196923+3816555-247501+1315423-6073843+2959358-1731916+1-1472142+1+1893634-1864065-91337+515237+1966520+450712+470432-636217</f>
        <v>3824840</v>
      </c>
      <c r="H1172" s="142">
        <v>1</v>
      </c>
      <c r="I1172" s="143">
        <f>G1172*H1172</f>
        <v>3824840</v>
      </c>
    </row>
    <row r="1173" spans="2:15" ht="18" customHeight="1" thickBot="1" x14ac:dyDescent="0.3">
      <c r="B1173" s="371" t="s">
        <v>318</v>
      </c>
      <c r="C1173" s="372"/>
      <c r="D1173" s="372"/>
      <c r="E1173" s="372"/>
      <c r="F1173" s="372"/>
      <c r="G1173" s="372"/>
      <c r="H1173" s="372"/>
      <c r="I1173" s="144">
        <f>SUM(I1172:I1172)</f>
        <v>3824840</v>
      </c>
      <c r="N1173" s="150"/>
    </row>
    <row r="1174" spans="2:15" ht="6" customHeight="1" thickBot="1" x14ac:dyDescent="0.3">
      <c r="B1174" s="373"/>
      <c r="C1174" s="373"/>
      <c r="D1174" s="373"/>
      <c r="E1174" s="373"/>
      <c r="F1174" s="373"/>
      <c r="G1174" s="373"/>
      <c r="H1174" s="373"/>
      <c r="I1174" s="373"/>
    </row>
    <row r="1175" spans="2:15" s="145" customFormat="1" x14ac:dyDescent="0.25">
      <c r="B1175" s="380" t="s">
        <v>323</v>
      </c>
      <c r="C1175" s="381"/>
      <c r="D1175" s="381"/>
      <c r="E1175" s="381"/>
      <c r="F1175" s="381"/>
      <c r="G1175" s="381"/>
      <c r="H1175" s="381"/>
      <c r="I1175" s="382"/>
      <c r="L1175" s="146"/>
      <c r="M1175" s="146"/>
    </row>
    <row r="1176" spans="2:15" s="145" customFormat="1" x14ac:dyDescent="0.25">
      <c r="B1176" s="377" t="s">
        <v>324</v>
      </c>
      <c r="C1176" s="378"/>
      <c r="D1176" s="379"/>
      <c r="E1176" s="137" t="s">
        <v>325</v>
      </c>
      <c r="F1176" s="137" t="s">
        <v>326</v>
      </c>
      <c r="G1176" s="137" t="s">
        <v>130</v>
      </c>
      <c r="H1176" s="137" t="s">
        <v>327</v>
      </c>
      <c r="I1176" s="138" t="s">
        <v>314</v>
      </c>
      <c r="K1176" s="260"/>
      <c r="N1176" s="183"/>
      <c r="O1176" s="148"/>
    </row>
    <row r="1177" spans="2:15" ht="11.25" customHeight="1" x14ac:dyDescent="0.25">
      <c r="B1177" s="362" t="s">
        <v>711</v>
      </c>
      <c r="C1177" s="363"/>
      <c r="D1177" s="363"/>
      <c r="E1177" s="170">
        <v>1</v>
      </c>
      <c r="F1177" s="164"/>
      <c r="G1177" s="161"/>
      <c r="H1177" s="162">
        <v>30000</v>
      </c>
      <c r="I1177" s="143">
        <f>H1177*E1177</f>
        <v>30000</v>
      </c>
    </row>
    <row r="1178" spans="2:15" ht="10.5" customHeight="1" thickBot="1" x14ac:dyDescent="0.3">
      <c r="B1178" s="371" t="s">
        <v>318</v>
      </c>
      <c r="C1178" s="372"/>
      <c r="D1178" s="372"/>
      <c r="E1178" s="372"/>
      <c r="F1178" s="372"/>
      <c r="G1178" s="372"/>
      <c r="H1178" s="372"/>
      <c r="I1178" s="144">
        <f>SUM(I1177:I1177)</f>
        <v>30000</v>
      </c>
      <c r="N1178" s="150"/>
    </row>
    <row r="1179" spans="2:15" ht="6" customHeight="1" thickBot="1" x14ac:dyDescent="0.3">
      <c r="B1179" s="373"/>
      <c r="C1179" s="373"/>
      <c r="D1179" s="373"/>
      <c r="E1179" s="373"/>
      <c r="F1179" s="373"/>
      <c r="G1179" s="373"/>
      <c r="H1179" s="373"/>
      <c r="I1179" s="373"/>
    </row>
    <row r="1180" spans="2:15" s="145" customFormat="1" ht="20.100000000000001" customHeight="1" x14ac:dyDescent="0.25">
      <c r="B1180" s="380" t="s">
        <v>328</v>
      </c>
      <c r="C1180" s="381"/>
      <c r="D1180" s="381"/>
      <c r="E1180" s="381"/>
      <c r="F1180" s="381"/>
      <c r="G1180" s="381"/>
      <c r="H1180" s="381"/>
      <c r="I1180" s="382"/>
      <c r="K1180" s="147"/>
      <c r="N1180" s="148"/>
      <c r="O1180" s="149"/>
    </row>
    <row r="1181" spans="2:15" s="145" customFormat="1" ht="20.100000000000001" customHeight="1" x14ac:dyDescent="0.25">
      <c r="B1181" s="377" t="s">
        <v>329</v>
      </c>
      <c r="C1181" s="379"/>
      <c r="D1181" s="137" t="s">
        <v>322</v>
      </c>
      <c r="E1181" s="137" t="s">
        <v>330</v>
      </c>
      <c r="F1181" s="137" t="s">
        <v>331</v>
      </c>
      <c r="G1181" s="137" t="s">
        <v>332</v>
      </c>
      <c r="H1181" s="137" t="s">
        <v>313</v>
      </c>
      <c r="I1181" s="138" t="s">
        <v>314</v>
      </c>
      <c r="K1181" s="147">
        <f>+K1185-I1187</f>
        <v>0</v>
      </c>
      <c r="O1181" s="179"/>
    </row>
    <row r="1182" spans="2:15" s="151" customFormat="1" ht="9.75" customHeight="1" x14ac:dyDescent="0.25">
      <c r="B1182" s="367" t="s">
        <v>356</v>
      </c>
      <c r="C1182" s="368"/>
      <c r="D1182" s="180">
        <v>1</v>
      </c>
      <c r="E1182" s="141">
        <v>140000</v>
      </c>
      <c r="F1182" s="141">
        <f>+E1182*0.8</f>
        <v>112000</v>
      </c>
      <c r="G1182" s="178">
        <f>D1182*E1182+F1182*D1182</f>
        <v>252000</v>
      </c>
      <c r="H1182" s="184">
        <v>1.5</v>
      </c>
      <c r="I1182" s="143">
        <f>+G1182/H1182</f>
        <v>168000</v>
      </c>
      <c r="J1182" s="145"/>
      <c r="K1182" s="147"/>
    </row>
    <row r="1183" spans="2:15" s="151" customFormat="1" ht="11.25" customHeight="1" x14ac:dyDescent="0.25">
      <c r="B1183" s="367" t="s">
        <v>374</v>
      </c>
      <c r="C1183" s="368"/>
      <c r="D1183" s="180">
        <v>1</v>
      </c>
      <c r="E1183" s="141">
        <v>80000</v>
      </c>
      <c r="F1183" s="141">
        <f>+E1183*0.8</f>
        <v>64000</v>
      </c>
      <c r="G1183" s="178">
        <f>D1183*E1183+F1183*D1183</f>
        <v>144000</v>
      </c>
      <c r="H1183" s="184">
        <f>+H1182</f>
        <v>1.5</v>
      </c>
      <c r="I1183" s="143">
        <f>+G1183/H1183</f>
        <v>96000</v>
      </c>
      <c r="J1183" s="145"/>
      <c r="K1183" s="147"/>
      <c r="L1183" s="179"/>
      <c r="M1183" s="179"/>
    </row>
    <row r="1184" spans="2:15" s="145" customFormat="1" ht="10.5" customHeight="1" x14ac:dyDescent="0.25">
      <c r="B1184" s="367" t="s">
        <v>333</v>
      </c>
      <c r="C1184" s="368"/>
      <c r="D1184" s="180">
        <v>2</v>
      </c>
      <c r="E1184" s="141">
        <v>55000</v>
      </c>
      <c r="F1184" s="141">
        <f>+E1184*0.8</f>
        <v>44000</v>
      </c>
      <c r="G1184" s="178">
        <f>D1184*E1184+F1184*D1184</f>
        <v>198000</v>
      </c>
      <c r="H1184" s="184">
        <f>+H1182</f>
        <v>1.5</v>
      </c>
      <c r="I1184" s="143">
        <f>+G1184/H1184</f>
        <v>132000</v>
      </c>
      <c r="K1184" s="147"/>
    </row>
    <row r="1185" spans="2:14" ht="10.5" customHeight="1" thickBot="1" x14ac:dyDescent="0.3">
      <c r="B1185" s="371" t="s">
        <v>318</v>
      </c>
      <c r="C1185" s="372"/>
      <c r="D1185" s="372"/>
      <c r="E1185" s="372"/>
      <c r="F1185" s="372"/>
      <c r="G1185" s="372"/>
      <c r="H1185" s="372"/>
      <c r="I1185" s="144">
        <f>SUM(I1182:I1184)</f>
        <v>396000</v>
      </c>
      <c r="K1185" s="281">
        <v>4326840</v>
      </c>
      <c r="N1185" s="150"/>
    </row>
    <row r="1186" spans="2:14" ht="6" customHeight="1" thickBot="1" x14ac:dyDescent="0.3">
      <c r="B1186" s="373"/>
      <c r="C1186" s="373"/>
      <c r="D1186" s="373"/>
      <c r="E1186" s="373"/>
      <c r="F1186" s="373"/>
      <c r="G1186" s="373"/>
      <c r="H1186" s="373"/>
      <c r="I1186" s="373"/>
    </row>
    <row r="1187" spans="2:14" ht="10.5" customHeight="1" thickBot="1" x14ac:dyDescent="0.3">
      <c r="B1187" s="374" t="s">
        <v>334</v>
      </c>
      <c r="C1187" s="375"/>
      <c r="D1187" s="375"/>
      <c r="E1187" s="375"/>
      <c r="F1187" s="375"/>
      <c r="G1187" s="375"/>
      <c r="H1187" s="376"/>
      <c r="I1187" s="152">
        <f>ROUND(+I1168+I1173+I1178+I1185,0)</f>
        <v>4326840</v>
      </c>
      <c r="J1187" s="281"/>
      <c r="K1187" s="169"/>
      <c r="L1187" s="181"/>
      <c r="M1187" s="181"/>
      <c r="N1187" s="153"/>
    </row>
    <row r="1188" spans="2:14" ht="6" customHeight="1" thickBot="1" x14ac:dyDescent="0.3">
      <c r="B1188" s="373"/>
      <c r="C1188" s="373"/>
      <c r="D1188" s="373"/>
      <c r="E1188" s="373"/>
      <c r="F1188" s="373"/>
      <c r="G1188" s="373"/>
      <c r="H1188" s="373"/>
      <c r="I1188" s="373"/>
    </row>
    <row r="1189" spans="2:14" ht="8.25" customHeight="1" x14ac:dyDescent="0.25">
      <c r="B1189" s="433" t="s">
        <v>335</v>
      </c>
      <c r="C1189" s="417"/>
      <c r="D1189" s="418"/>
      <c r="E1189" s="418"/>
      <c r="F1189" s="419"/>
      <c r="G1189" s="369" t="s">
        <v>336</v>
      </c>
      <c r="H1189" s="370"/>
      <c r="I1189" s="370"/>
    </row>
    <row r="1190" spans="2:14" ht="33.75" customHeight="1" x14ac:dyDescent="0.25">
      <c r="B1190" s="434"/>
      <c r="C1190" s="420"/>
      <c r="D1190" s="421"/>
      <c r="E1190" s="421"/>
      <c r="F1190" s="422"/>
      <c r="G1190" s="430" t="s">
        <v>337</v>
      </c>
      <c r="H1190" s="431"/>
      <c r="I1190" s="431"/>
      <c r="L1190" s="181"/>
      <c r="M1190" s="181"/>
      <c r="N1190" s="179"/>
    </row>
    <row r="1191" spans="2:14" ht="13.5" customHeight="1" x14ac:dyDescent="0.25">
      <c r="B1191" s="434"/>
      <c r="C1191" s="420"/>
      <c r="D1191" s="421"/>
      <c r="E1191" s="421"/>
      <c r="F1191" s="422"/>
      <c r="G1191" s="154" t="s">
        <v>92</v>
      </c>
      <c r="H1191" s="432" t="s">
        <v>93</v>
      </c>
      <c r="I1191" s="432"/>
    </row>
    <row r="1192" spans="2:14" ht="16.5" customHeight="1" x14ac:dyDescent="0.25">
      <c r="B1192" s="435"/>
      <c r="C1192" s="420"/>
      <c r="D1192" s="421"/>
      <c r="E1192" s="421"/>
      <c r="F1192" s="422"/>
      <c r="G1192" s="155" t="s">
        <v>94</v>
      </c>
      <c r="H1192" s="156" t="s">
        <v>95</v>
      </c>
      <c r="I1192" s="157" t="s">
        <v>96</v>
      </c>
    </row>
    <row r="1193" spans="2:14" x14ac:dyDescent="0.25">
      <c r="B1193" s="268" t="s">
        <v>18</v>
      </c>
      <c r="C1193" s="427"/>
      <c r="D1193" s="428"/>
      <c r="E1193" s="428"/>
      <c r="F1193" s="429"/>
      <c r="G1193" s="155" t="s">
        <v>98</v>
      </c>
      <c r="H1193" s="157" t="s">
        <v>99</v>
      </c>
      <c r="I1193" s="157" t="s">
        <v>100</v>
      </c>
    </row>
    <row r="1194" spans="2:14" x14ac:dyDescent="0.25">
      <c r="B1194" s="269" t="s">
        <v>97</v>
      </c>
      <c r="C1194" s="427"/>
      <c r="D1194" s="428"/>
      <c r="E1194" s="428"/>
      <c r="F1194" s="429"/>
      <c r="G1194" s="154" t="s">
        <v>338</v>
      </c>
      <c r="H1194" s="426"/>
      <c r="I1194" s="426"/>
    </row>
    <row r="1195" spans="2:14" ht="15.75" thickBot="1" x14ac:dyDescent="0.3">
      <c r="B1195" s="270" t="s">
        <v>101</v>
      </c>
      <c r="C1195" s="423"/>
      <c r="D1195" s="424"/>
      <c r="E1195" s="424"/>
      <c r="F1195" s="425"/>
      <c r="G1195" s="154" t="s">
        <v>102</v>
      </c>
      <c r="H1195" s="426" t="s">
        <v>103</v>
      </c>
      <c r="I1195" s="426"/>
    </row>
    <row r="1196" spans="2:14" ht="45" customHeight="1" thickBot="1" x14ac:dyDescent="0.3">
      <c r="B1196" s="401"/>
      <c r="C1196" s="402"/>
      <c r="D1196" s="402"/>
      <c r="E1196" s="402"/>
      <c r="F1196" s="403" t="s">
        <v>0</v>
      </c>
      <c r="G1196" s="403"/>
      <c r="H1196" s="403"/>
      <c r="I1196" s="404"/>
    </row>
    <row r="1197" spans="2:14" ht="6" customHeight="1" thickBot="1" x14ac:dyDescent="0.3">
      <c r="B1197" s="373"/>
      <c r="C1197" s="373"/>
      <c r="D1197" s="373"/>
      <c r="E1197" s="373"/>
      <c r="F1197" s="373"/>
      <c r="G1197" s="373"/>
      <c r="H1197" s="373"/>
      <c r="I1197" s="373"/>
    </row>
    <row r="1198" spans="2:14" ht="10.5" customHeight="1" x14ac:dyDescent="0.25">
      <c r="B1198" s="405" t="s">
        <v>294</v>
      </c>
      <c r="C1198" s="406"/>
      <c r="D1198" s="407" t="s">
        <v>295</v>
      </c>
      <c r="E1198" s="409" t="s">
        <v>296</v>
      </c>
      <c r="F1198" s="410"/>
      <c r="G1198" s="410"/>
      <c r="H1198" s="410"/>
      <c r="I1198" s="411"/>
    </row>
    <row r="1199" spans="2:14" ht="9" customHeight="1" thickBot="1" x14ac:dyDescent="0.3">
      <c r="B1199" s="415"/>
      <c r="C1199" s="416"/>
      <c r="D1199" s="408"/>
      <c r="E1199" s="412"/>
      <c r="F1199" s="413"/>
      <c r="G1199" s="413"/>
      <c r="H1199" s="413"/>
      <c r="I1199" s="414"/>
    </row>
    <row r="1200" spans="2:14" ht="6" customHeight="1" thickBot="1" x14ac:dyDescent="0.3">
      <c r="B1200" s="373"/>
      <c r="C1200" s="373"/>
      <c r="D1200" s="373"/>
      <c r="E1200" s="373"/>
      <c r="F1200" s="373"/>
      <c r="G1200" s="373"/>
      <c r="H1200" s="373"/>
      <c r="I1200" s="373"/>
    </row>
    <row r="1201" spans="2:14" ht="17.25" customHeight="1" thickBot="1" x14ac:dyDescent="0.3">
      <c r="B1201" s="390" t="s">
        <v>297</v>
      </c>
      <c r="C1201" s="391"/>
      <c r="D1201" s="392"/>
      <c r="E1201" s="393"/>
      <c r="F1201" s="393"/>
      <c r="G1201" s="394"/>
      <c r="H1201" s="127" t="s">
        <v>298</v>
      </c>
      <c r="I1201" s="128"/>
    </row>
    <row r="1202" spans="2:14" ht="6" customHeight="1" thickBot="1" x14ac:dyDescent="0.3">
      <c r="B1202" s="373"/>
      <c r="C1202" s="373"/>
      <c r="D1202" s="373"/>
      <c r="E1202" s="373"/>
      <c r="F1202" s="373"/>
      <c r="G1202" s="373"/>
      <c r="H1202" s="373"/>
      <c r="I1202" s="373"/>
    </row>
    <row r="1203" spans="2:14" ht="19.5" customHeight="1" x14ac:dyDescent="0.25">
      <c r="B1203" s="261" t="s">
        <v>299</v>
      </c>
      <c r="C1203" s="129" t="s">
        <v>300</v>
      </c>
      <c r="D1203" s="130" t="s">
        <v>301</v>
      </c>
      <c r="E1203" s="130" t="s">
        <v>302</v>
      </c>
      <c r="F1203" s="398" t="s">
        <v>303</v>
      </c>
      <c r="G1203" s="399"/>
      <c r="H1203" s="400"/>
      <c r="I1203" s="131" t="s">
        <v>304</v>
      </c>
    </row>
    <row r="1204" spans="2:14" ht="11.25" customHeight="1" x14ac:dyDescent="0.25">
      <c r="B1204" s="262"/>
      <c r="C1204" s="132"/>
      <c r="D1204" s="132" t="s">
        <v>305</v>
      </c>
      <c r="E1204" s="132" t="s">
        <v>306</v>
      </c>
      <c r="F1204" s="395" t="s">
        <v>339</v>
      </c>
      <c r="G1204" s="396"/>
      <c r="H1204" s="397"/>
      <c r="I1204" s="133"/>
    </row>
    <row r="1205" spans="2:14" ht="28.5" customHeight="1" x14ac:dyDescent="0.25">
      <c r="B1205" s="263" t="s">
        <v>307</v>
      </c>
      <c r="C1205" s="383" t="s">
        <v>414</v>
      </c>
      <c r="D1205" s="384"/>
      <c r="E1205" s="384"/>
      <c r="F1205" s="384"/>
      <c r="G1205" s="384"/>
      <c r="H1205" s="384"/>
      <c r="I1205" s="385"/>
    </row>
    <row r="1206" spans="2:14" ht="10.5" customHeight="1" x14ac:dyDescent="0.25">
      <c r="B1206" s="264" t="s">
        <v>129</v>
      </c>
      <c r="C1206" s="388" t="s">
        <v>308</v>
      </c>
      <c r="D1206" s="389"/>
      <c r="E1206" s="389"/>
      <c r="F1206" s="389"/>
      <c r="G1206" s="389"/>
      <c r="H1206" s="389"/>
      <c r="I1206" s="134" t="s">
        <v>130</v>
      </c>
    </row>
    <row r="1207" spans="2:14" ht="50.25" customHeight="1" thickBot="1" x14ac:dyDescent="0.3">
      <c r="B1207" s="265">
        <v>6.139999999999997</v>
      </c>
      <c r="C1207" s="386" t="s">
        <v>571</v>
      </c>
      <c r="D1207" s="387"/>
      <c r="E1207" s="387"/>
      <c r="F1207" s="387"/>
      <c r="G1207" s="387"/>
      <c r="H1207" s="387"/>
      <c r="I1207" s="135" t="s">
        <v>27</v>
      </c>
    </row>
    <row r="1208" spans="2:14" ht="6" customHeight="1" thickBot="1" x14ac:dyDescent="0.3">
      <c r="B1208" s="373"/>
      <c r="C1208" s="373"/>
      <c r="D1208" s="373"/>
      <c r="E1208" s="373"/>
      <c r="F1208" s="373"/>
      <c r="G1208" s="373"/>
      <c r="H1208" s="373"/>
      <c r="I1208" s="373"/>
    </row>
    <row r="1209" spans="2:14" x14ac:dyDescent="0.25">
      <c r="B1209" s="380" t="s">
        <v>309</v>
      </c>
      <c r="C1209" s="381"/>
      <c r="D1209" s="381"/>
      <c r="E1209" s="381"/>
      <c r="F1209" s="381"/>
      <c r="G1209" s="381"/>
      <c r="H1209" s="381"/>
      <c r="I1209" s="382"/>
      <c r="K1209" s="182"/>
    </row>
    <row r="1210" spans="2:14" ht="11.25" customHeight="1" x14ac:dyDescent="0.25">
      <c r="B1210" s="377" t="s">
        <v>310</v>
      </c>
      <c r="C1210" s="378"/>
      <c r="D1210" s="379"/>
      <c r="E1210" s="136"/>
      <c r="F1210" s="137" t="s">
        <v>311</v>
      </c>
      <c r="G1210" s="137" t="s">
        <v>312</v>
      </c>
      <c r="H1210" s="137" t="s">
        <v>313</v>
      </c>
      <c r="I1210" s="138" t="s">
        <v>314</v>
      </c>
      <c r="L1210" s="139"/>
      <c r="M1210" s="139"/>
    </row>
    <row r="1211" spans="2:14" ht="11.25" customHeight="1" x14ac:dyDescent="0.25">
      <c r="B1211" s="362" t="s">
        <v>315</v>
      </c>
      <c r="C1211" s="363"/>
      <c r="D1211" s="363"/>
      <c r="E1211" s="160"/>
      <c r="F1211" s="161" t="s">
        <v>316</v>
      </c>
      <c r="G1211" s="160">
        <v>5000</v>
      </c>
      <c r="H1211" s="142">
        <v>0.9</v>
      </c>
      <c r="I1211" s="143">
        <f>G1211*H1211</f>
        <v>4500</v>
      </c>
    </row>
    <row r="1212" spans="2:14" ht="16.5" customHeight="1" x14ac:dyDescent="0.25">
      <c r="B1212" s="362" t="s">
        <v>355</v>
      </c>
      <c r="C1212" s="363"/>
      <c r="D1212" s="363"/>
      <c r="E1212" s="160"/>
      <c r="F1212" s="161" t="s">
        <v>317</v>
      </c>
      <c r="G1212" s="160">
        <v>90000</v>
      </c>
      <c r="H1212" s="142">
        <v>0.9</v>
      </c>
      <c r="I1212" s="143">
        <f>G1212*H1212</f>
        <v>81000</v>
      </c>
    </row>
    <row r="1213" spans="2:14" ht="10.5" customHeight="1" thickBot="1" x14ac:dyDescent="0.3">
      <c r="B1213" s="371" t="s">
        <v>318</v>
      </c>
      <c r="C1213" s="372"/>
      <c r="D1213" s="372"/>
      <c r="E1213" s="372"/>
      <c r="F1213" s="372"/>
      <c r="G1213" s="372"/>
      <c r="H1213" s="372"/>
      <c r="I1213" s="144">
        <f>SUM(I1211:I1212)</f>
        <v>85500</v>
      </c>
      <c r="N1213" s="150"/>
    </row>
    <row r="1214" spans="2:14" ht="6" customHeight="1" thickBot="1" x14ac:dyDescent="0.3">
      <c r="B1214" s="373"/>
      <c r="C1214" s="373"/>
      <c r="D1214" s="373"/>
      <c r="E1214" s="373"/>
      <c r="F1214" s="373"/>
      <c r="G1214" s="373"/>
      <c r="H1214" s="373"/>
      <c r="I1214" s="373"/>
    </row>
    <row r="1215" spans="2:14" s="145" customFormat="1" x14ac:dyDescent="0.25">
      <c r="B1215" s="380" t="s">
        <v>319</v>
      </c>
      <c r="C1215" s="381"/>
      <c r="D1215" s="381"/>
      <c r="E1215" s="381"/>
      <c r="F1215" s="381"/>
      <c r="G1215" s="381"/>
      <c r="H1215" s="381"/>
      <c r="I1215" s="382"/>
    </row>
    <row r="1216" spans="2:14" s="145" customFormat="1" ht="15.75" customHeight="1" x14ac:dyDescent="0.25">
      <c r="B1216" s="377" t="s">
        <v>310</v>
      </c>
      <c r="C1216" s="378"/>
      <c r="D1216" s="379"/>
      <c r="E1216" s="137"/>
      <c r="F1216" s="137" t="s">
        <v>320</v>
      </c>
      <c r="G1216" s="137" t="s">
        <v>321</v>
      </c>
      <c r="H1216" s="137" t="s">
        <v>322</v>
      </c>
      <c r="I1216" s="138" t="s">
        <v>314</v>
      </c>
    </row>
    <row r="1217" spans="2:15" ht="74.25" customHeight="1" x14ac:dyDescent="0.25">
      <c r="B1217" s="436" t="s">
        <v>571</v>
      </c>
      <c r="C1217" s="437"/>
      <c r="D1217" s="438"/>
      <c r="E1217" s="163"/>
      <c r="F1217" s="161" t="s">
        <v>27</v>
      </c>
      <c r="G1217" s="160">
        <f>965500-38000-15000+68000+431993+1126495+1230137+474855-961710-481855-1443350+3146343+582673-1483241-2245775+1196923+3816555-247501+1315423-6073843+2959358-1731916+1-1472142+1+1893634-1864065-91337+515237+1966520+450712+470432-636217+470432</f>
        <v>4295272</v>
      </c>
      <c r="H1217" s="142">
        <v>1</v>
      </c>
      <c r="I1217" s="143">
        <f>G1217*H1217</f>
        <v>4295272</v>
      </c>
    </row>
    <row r="1218" spans="2:15" ht="18" customHeight="1" thickBot="1" x14ac:dyDescent="0.3">
      <c r="B1218" s="371" t="s">
        <v>318</v>
      </c>
      <c r="C1218" s="372"/>
      <c r="D1218" s="372"/>
      <c r="E1218" s="372"/>
      <c r="F1218" s="372"/>
      <c r="G1218" s="372"/>
      <c r="H1218" s="372"/>
      <c r="I1218" s="144">
        <f>SUM(I1217:I1217)</f>
        <v>4295272</v>
      </c>
      <c r="N1218" s="150"/>
    </row>
    <row r="1219" spans="2:15" ht="6" customHeight="1" thickBot="1" x14ac:dyDescent="0.3">
      <c r="B1219" s="373"/>
      <c r="C1219" s="373"/>
      <c r="D1219" s="373"/>
      <c r="E1219" s="373"/>
      <c r="F1219" s="373"/>
      <c r="G1219" s="373"/>
      <c r="H1219" s="373"/>
      <c r="I1219" s="373"/>
    </row>
    <row r="1220" spans="2:15" s="145" customFormat="1" x14ac:dyDescent="0.25">
      <c r="B1220" s="380" t="s">
        <v>323</v>
      </c>
      <c r="C1220" s="381"/>
      <c r="D1220" s="381"/>
      <c r="E1220" s="381"/>
      <c r="F1220" s="381"/>
      <c r="G1220" s="381"/>
      <c r="H1220" s="381"/>
      <c r="I1220" s="382"/>
      <c r="L1220" s="146"/>
      <c r="M1220" s="146"/>
    </row>
    <row r="1221" spans="2:15" s="145" customFormat="1" x14ac:dyDescent="0.25">
      <c r="B1221" s="377" t="s">
        <v>324</v>
      </c>
      <c r="C1221" s="378"/>
      <c r="D1221" s="379"/>
      <c r="E1221" s="137" t="s">
        <v>325</v>
      </c>
      <c r="F1221" s="137" t="s">
        <v>326</v>
      </c>
      <c r="G1221" s="137" t="s">
        <v>130</v>
      </c>
      <c r="H1221" s="137" t="s">
        <v>327</v>
      </c>
      <c r="I1221" s="138" t="s">
        <v>314</v>
      </c>
      <c r="K1221" s="260"/>
      <c r="N1221" s="183"/>
      <c r="O1221" s="148"/>
    </row>
    <row r="1222" spans="2:15" ht="11.25" customHeight="1" x14ac:dyDescent="0.25">
      <c r="B1222" s="362" t="s">
        <v>711</v>
      </c>
      <c r="C1222" s="363"/>
      <c r="D1222" s="363"/>
      <c r="E1222" s="170">
        <v>1</v>
      </c>
      <c r="F1222" s="164"/>
      <c r="G1222" s="161"/>
      <c r="H1222" s="162">
        <v>30000</v>
      </c>
      <c r="I1222" s="143">
        <f>H1222*E1222</f>
        <v>30000</v>
      </c>
    </row>
    <row r="1223" spans="2:15" ht="10.5" customHeight="1" thickBot="1" x14ac:dyDescent="0.3">
      <c r="B1223" s="371" t="s">
        <v>318</v>
      </c>
      <c r="C1223" s="372"/>
      <c r="D1223" s="372"/>
      <c r="E1223" s="372"/>
      <c r="F1223" s="372"/>
      <c r="G1223" s="372"/>
      <c r="H1223" s="372"/>
      <c r="I1223" s="144">
        <f>SUM(I1222:I1222)</f>
        <v>30000</v>
      </c>
      <c r="N1223" s="150"/>
    </row>
    <row r="1224" spans="2:15" ht="6" customHeight="1" thickBot="1" x14ac:dyDescent="0.3">
      <c r="B1224" s="373"/>
      <c r="C1224" s="373"/>
      <c r="D1224" s="373"/>
      <c r="E1224" s="373"/>
      <c r="F1224" s="373"/>
      <c r="G1224" s="373"/>
      <c r="H1224" s="373"/>
      <c r="I1224" s="373"/>
    </row>
    <row r="1225" spans="2:15" s="145" customFormat="1" ht="20.100000000000001" customHeight="1" x14ac:dyDescent="0.25">
      <c r="B1225" s="380" t="s">
        <v>328</v>
      </c>
      <c r="C1225" s="381"/>
      <c r="D1225" s="381"/>
      <c r="E1225" s="381"/>
      <c r="F1225" s="381"/>
      <c r="G1225" s="381"/>
      <c r="H1225" s="381"/>
      <c r="I1225" s="382"/>
      <c r="K1225" s="147"/>
      <c r="N1225" s="148"/>
      <c r="O1225" s="149"/>
    </row>
    <row r="1226" spans="2:15" s="145" customFormat="1" ht="20.100000000000001" customHeight="1" x14ac:dyDescent="0.25">
      <c r="B1226" s="377" t="s">
        <v>329</v>
      </c>
      <c r="C1226" s="379"/>
      <c r="D1226" s="137" t="s">
        <v>322</v>
      </c>
      <c r="E1226" s="137" t="s">
        <v>330</v>
      </c>
      <c r="F1226" s="137" t="s">
        <v>331</v>
      </c>
      <c r="G1226" s="137" t="s">
        <v>332</v>
      </c>
      <c r="H1226" s="137" t="s">
        <v>313</v>
      </c>
      <c r="I1226" s="138" t="s">
        <v>314</v>
      </c>
      <c r="K1226" s="147">
        <v>4867695</v>
      </c>
      <c r="O1226" s="179"/>
    </row>
    <row r="1227" spans="2:15" s="151" customFormat="1" ht="9.75" customHeight="1" x14ac:dyDescent="0.25">
      <c r="B1227" s="367" t="s">
        <v>356</v>
      </c>
      <c r="C1227" s="368"/>
      <c r="D1227" s="180">
        <v>1</v>
      </c>
      <c r="E1227" s="141">
        <v>140000</v>
      </c>
      <c r="F1227" s="141">
        <f>+E1227*0.8</f>
        <v>112000</v>
      </c>
      <c r="G1227" s="178">
        <f>D1227*E1227+F1227*D1227</f>
        <v>252000</v>
      </c>
      <c r="H1227" s="184">
        <v>1.3</v>
      </c>
      <c r="I1227" s="143">
        <f>+G1227/H1227</f>
        <v>193846.15384615384</v>
      </c>
      <c r="J1227" s="145"/>
      <c r="K1227" s="147"/>
    </row>
    <row r="1228" spans="2:15" s="151" customFormat="1" ht="11.25" customHeight="1" x14ac:dyDescent="0.25">
      <c r="B1228" s="367" t="s">
        <v>374</v>
      </c>
      <c r="C1228" s="368"/>
      <c r="D1228" s="180">
        <v>1</v>
      </c>
      <c r="E1228" s="141">
        <v>80000</v>
      </c>
      <c r="F1228" s="141">
        <f>+E1228*0.8</f>
        <v>64000</v>
      </c>
      <c r="G1228" s="178">
        <f>D1228*E1228+F1228*D1228</f>
        <v>144000</v>
      </c>
      <c r="H1228" s="184">
        <f>+H1227</f>
        <v>1.3</v>
      </c>
      <c r="I1228" s="143">
        <f>+G1228/H1228</f>
        <v>110769.23076923077</v>
      </c>
      <c r="J1228" s="145"/>
      <c r="K1228" s="147">
        <f>+K1226-I1232</f>
        <v>0</v>
      </c>
      <c r="L1228" s="179"/>
      <c r="M1228" s="179"/>
    </row>
    <row r="1229" spans="2:15" s="145" customFormat="1" ht="10.5" customHeight="1" x14ac:dyDescent="0.25">
      <c r="B1229" s="367" t="s">
        <v>333</v>
      </c>
      <c r="C1229" s="368"/>
      <c r="D1229" s="180">
        <v>2</v>
      </c>
      <c r="E1229" s="141">
        <v>55000</v>
      </c>
      <c r="F1229" s="141">
        <f>+E1229*0.8</f>
        <v>44000</v>
      </c>
      <c r="G1229" s="178">
        <f>D1229*E1229+F1229*D1229</f>
        <v>198000</v>
      </c>
      <c r="H1229" s="184">
        <f>+H1227</f>
        <v>1.3</v>
      </c>
      <c r="I1229" s="143">
        <f>+G1229/H1229</f>
        <v>152307.69230769231</v>
      </c>
      <c r="K1229" s="147"/>
    </row>
    <row r="1230" spans="2:15" ht="10.5" customHeight="1" thickBot="1" x14ac:dyDescent="0.3">
      <c r="B1230" s="371" t="s">
        <v>318</v>
      </c>
      <c r="C1230" s="372"/>
      <c r="D1230" s="372"/>
      <c r="E1230" s="372"/>
      <c r="F1230" s="372"/>
      <c r="G1230" s="372"/>
      <c r="H1230" s="372"/>
      <c r="I1230" s="144">
        <f>SUM(I1227:I1229)</f>
        <v>456923.07692307694</v>
      </c>
      <c r="K1230" s="281"/>
      <c r="N1230" s="150"/>
    </row>
    <row r="1231" spans="2:15" ht="6" customHeight="1" thickBot="1" x14ac:dyDescent="0.3">
      <c r="B1231" s="373"/>
      <c r="C1231" s="373"/>
      <c r="D1231" s="373"/>
      <c r="E1231" s="373"/>
      <c r="F1231" s="373"/>
      <c r="G1231" s="373"/>
      <c r="H1231" s="373"/>
      <c r="I1231" s="373"/>
    </row>
    <row r="1232" spans="2:15" ht="10.5" customHeight="1" thickBot="1" x14ac:dyDescent="0.3">
      <c r="B1232" s="374" t="s">
        <v>334</v>
      </c>
      <c r="C1232" s="375"/>
      <c r="D1232" s="375"/>
      <c r="E1232" s="375"/>
      <c r="F1232" s="375"/>
      <c r="G1232" s="375"/>
      <c r="H1232" s="376"/>
      <c r="I1232" s="152">
        <f>ROUND(+I1213+I1218+I1223+I1230,0)</f>
        <v>4867695</v>
      </c>
      <c r="J1232" s="281"/>
      <c r="K1232" s="169"/>
      <c r="L1232" s="181"/>
      <c r="M1232" s="181"/>
      <c r="N1232" s="153"/>
    </row>
    <row r="1233" spans="2:14" ht="6" customHeight="1" thickBot="1" x14ac:dyDescent="0.3">
      <c r="B1233" s="373"/>
      <c r="C1233" s="373"/>
      <c r="D1233" s="373"/>
      <c r="E1233" s="373"/>
      <c r="F1233" s="373"/>
      <c r="G1233" s="373"/>
      <c r="H1233" s="373"/>
      <c r="I1233" s="373"/>
    </row>
    <row r="1234" spans="2:14" ht="8.25" customHeight="1" x14ac:dyDescent="0.25">
      <c r="B1234" s="433" t="s">
        <v>335</v>
      </c>
      <c r="C1234" s="417"/>
      <c r="D1234" s="418"/>
      <c r="E1234" s="418"/>
      <c r="F1234" s="419"/>
      <c r="G1234" s="369" t="s">
        <v>336</v>
      </c>
      <c r="H1234" s="370"/>
      <c r="I1234" s="370"/>
    </row>
    <row r="1235" spans="2:14" ht="33.75" customHeight="1" x14ac:dyDescent="0.25">
      <c r="B1235" s="434"/>
      <c r="C1235" s="420"/>
      <c r="D1235" s="421"/>
      <c r="E1235" s="421"/>
      <c r="F1235" s="422"/>
      <c r="G1235" s="430" t="s">
        <v>337</v>
      </c>
      <c r="H1235" s="431"/>
      <c r="I1235" s="431"/>
      <c r="L1235" s="181"/>
      <c r="M1235" s="181"/>
      <c r="N1235" s="179"/>
    </row>
    <row r="1236" spans="2:14" ht="13.5" customHeight="1" x14ac:dyDescent="0.25">
      <c r="B1236" s="434"/>
      <c r="C1236" s="420"/>
      <c r="D1236" s="421"/>
      <c r="E1236" s="421"/>
      <c r="F1236" s="422"/>
      <c r="G1236" s="154" t="s">
        <v>92</v>
      </c>
      <c r="H1236" s="432" t="s">
        <v>93</v>
      </c>
      <c r="I1236" s="432"/>
    </row>
    <row r="1237" spans="2:14" ht="16.5" customHeight="1" x14ac:dyDescent="0.25">
      <c r="B1237" s="435"/>
      <c r="C1237" s="420"/>
      <c r="D1237" s="421"/>
      <c r="E1237" s="421"/>
      <c r="F1237" s="422"/>
      <c r="G1237" s="155" t="s">
        <v>94</v>
      </c>
      <c r="H1237" s="156" t="s">
        <v>95</v>
      </c>
      <c r="I1237" s="157" t="s">
        <v>96</v>
      </c>
    </row>
    <row r="1238" spans="2:14" x14ac:dyDescent="0.25">
      <c r="B1238" s="268" t="s">
        <v>18</v>
      </c>
      <c r="C1238" s="427"/>
      <c r="D1238" s="428"/>
      <c r="E1238" s="428"/>
      <c r="F1238" s="429"/>
      <c r="G1238" s="155" t="s">
        <v>98</v>
      </c>
      <c r="H1238" s="157" t="s">
        <v>99</v>
      </c>
      <c r="I1238" s="157" t="s">
        <v>100</v>
      </c>
    </row>
    <row r="1239" spans="2:14" x14ac:dyDescent="0.25">
      <c r="B1239" s="269" t="s">
        <v>97</v>
      </c>
      <c r="C1239" s="427"/>
      <c r="D1239" s="428"/>
      <c r="E1239" s="428"/>
      <c r="F1239" s="429"/>
      <c r="G1239" s="154" t="s">
        <v>338</v>
      </c>
      <c r="H1239" s="426"/>
      <c r="I1239" s="426"/>
    </row>
    <row r="1240" spans="2:14" ht="15.75" thickBot="1" x14ac:dyDescent="0.3">
      <c r="B1240" s="270" t="s">
        <v>101</v>
      </c>
      <c r="C1240" s="423"/>
      <c r="D1240" s="424"/>
      <c r="E1240" s="424"/>
      <c r="F1240" s="425"/>
      <c r="G1240" s="154" t="s">
        <v>102</v>
      </c>
      <c r="H1240" s="426" t="s">
        <v>103</v>
      </c>
      <c r="I1240" s="426"/>
    </row>
    <row r="1241" spans="2:14" ht="45" customHeight="1" thickBot="1" x14ac:dyDescent="0.3">
      <c r="B1241" s="401"/>
      <c r="C1241" s="402"/>
      <c r="D1241" s="402"/>
      <c r="E1241" s="402"/>
      <c r="F1241" s="403" t="s">
        <v>0</v>
      </c>
      <c r="G1241" s="403"/>
      <c r="H1241" s="403"/>
      <c r="I1241" s="404"/>
    </row>
    <row r="1242" spans="2:14" ht="6" customHeight="1" thickBot="1" x14ac:dyDescent="0.3">
      <c r="B1242" s="373"/>
      <c r="C1242" s="373"/>
      <c r="D1242" s="373"/>
      <c r="E1242" s="373"/>
      <c r="F1242" s="373"/>
      <c r="G1242" s="373"/>
      <c r="H1242" s="373"/>
      <c r="I1242" s="373"/>
    </row>
    <row r="1243" spans="2:14" ht="10.5" customHeight="1" x14ac:dyDescent="0.25">
      <c r="B1243" s="405" t="s">
        <v>294</v>
      </c>
      <c r="C1243" s="406"/>
      <c r="D1243" s="407" t="s">
        <v>295</v>
      </c>
      <c r="E1243" s="409" t="s">
        <v>296</v>
      </c>
      <c r="F1243" s="410"/>
      <c r="G1243" s="410"/>
      <c r="H1243" s="410"/>
      <c r="I1243" s="411"/>
    </row>
    <row r="1244" spans="2:14" ht="9" customHeight="1" thickBot="1" x14ac:dyDescent="0.3">
      <c r="B1244" s="415"/>
      <c r="C1244" s="416"/>
      <c r="D1244" s="408"/>
      <c r="E1244" s="412"/>
      <c r="F1244" s="413"/>
      <c r="G1244" s="413"/>
      <c r="H1244" s="413"/>
      <c r="I1244" s="414"/>
    </row>
    <row r="1245" spans="2:14" ht="6" customHeight="1" thickBot="1" x14ac:dyDescent="0.3">
      <c r="B1245" s="373"/>
      <c r="C1245" s="373"/>
      <c r="D1245" s="373"/>
      <c r="E1245" s="373"/>
      <c r="F1245" s="373"/>
      <c r="G1245" s="373"/>
      <c r="H1245" s="373"/>
      <c r="I1245" s="373"/>
    </row>
    <row r="1246" spans="2:14" ht="17.25" customHeight="1" thickBot="1" x14ac:dyDescent="0.3">
      <c r="B1246" s="390" t="s">
        <v>297</v>
      </c>
      <c r="C1246" s="391"/>
      <c r="D1246" s="392"/>
      <c r="E1246" s="393"/>
      <c r="F1246" s="393"/>
      <c r="G1246" s="394"/>
      <c r="H1246" s="127" t="s">
        <v>298</v>
      </c>
      <c r="I1246" s="128"/>
    </row>
    <row r="1247" spans="2:14" ht="6" customHeight="1" thickBot="1" x14ac:dyDescent="0.3">
      <c r="B1247" s="373"/>
      <c r="C1247" s="373"/>
      <c r="D1247" s="373"/>
      <c r="E1247" s="373"/>
      <c r="F1247" s="373"/>
      <c r="G1247" s="373"/>
      <c r="H1247" s="373"/>
      <c r="I1247" s="373"/>
    </row>
    <row r="1248" spans="2:14" ht="19.5" customHeight="1" x14ac:dyDescent="0.25">
      <c r="B1248" s="261" t="s">
        <v>299</v>
      </c>
      <c r="C1248" s="129" t="s">
        <v>300</v>
      </c>
      <c r="D1248" s="130" t="s">
        <v>301</v>
      </c>
      <c r="E1248" s="130" t="s">
        <v>302</v>
      </c>
      <c r="F1248" s="398" t="s">
        <v>303</v>
      </c>
      <c r="G1248" s="399"/>
      <c r="H1248" s="400"/>
      <c r="I1248" s="131" t="s">
        <v>304</v>
      </c>
    </row>
    <row r="1249" spans="2:14" ht="11.25" customHeight="1" x14ac:dyDescent="0.25">
      <c r="B1249" s="262"/>
      <c r="C1249" s="132"/>
      <c r="D1249" s="132" t="s">
        <v>305</v>
      </c>
      <c r="E1249" s="132" t="s">
        <v>306</v>
      </c>
      <c r="F1249" s="395" t="s">
        <v>339</v>
      </c>
      <c r="G1249" s="396"/>
      <c r="H1249" s="397"/>
      <c r="I1249" s="133"/>
    </row>
    <row r="1250" spans="2:14" ht="28.5" customHeight="1" x14ac:dyDescent="0.25">
      <c r="B1250" s="263" t="s">
        <v>307</v>
      </c>
      <c r="C1250" s="383" t="s">
        <v>414</v>
      </c>
      <c r="D1250" s="384"/>
      <c r="E1250" s="384"/>
      <c r="F1250" s="384"/>
      <c r="G1250" s="384"/>
      <c r="H1250" s="384"/>
      <c r="I1250" s="385"/>
    </row>
    <row r="1251" spans="2:14" ht="10.5" customHeight="1" x14ac:dyDescent="0.25">
      <c r="B1251" s="264" t="s">
        <v>129</v>
      </c>
      <c r="C1251" s="388" t="s">
        <v>308</v>
      </c>
      <c r="D1251" s="389"/>
      <c r="E1251" s="389"/>
      <c r="F1251" s="389"/>
      <c r="G1251" s="389"/>
      <c r="H1251" s="389"/>
      <c r="I1251" s="134" t="s">
        <v>130</v>
      </c>
    </row>
    <row r="1252" spans="2:14" ht="50.25" customHeight="1" thickBot="1" x14ac:dyDescent="0.3">
      <c r="B1252" s="265">
        <v>6.1499999999999968</v>
      </c>
      <c r="C1252" s="386" t="s">
        <v>572</v>
      </c>
      <c r="D1252" s="387"/>
      <c r="E1252" s="387"/>
      <c r="F1252" s="387"/>
      <c r="G1252" s="387"/>
      <c r="H1252" s="387"/>
      <c r="I1252" s="135" t="s">
        <v>27</v>
      </c>
    </row>
    <row r="1253" spans="2:14" ht="6" customHeight="1" thickBot="1" x14ac:dyDescent="0.3">
      <c r="B1253" s="373"/>
      <c r="C1253" s="373"/>
      <c r="D1253" s="373"/>
      <c r="E1253" s="373"/>
      <c r="F1253" s="373"/>
      <c r="G1253" s="373"/>
      <c r="H1253" s="373"/>
      <c r="I1253" s="373"/>
    </row>
    <row r="1254" spans="2:14" x14ac:dyDescent="0.25">
      <c r="B1254" s="380" t="s">
        <v>309</v>
      </c>
      <c r="C1254" s="381"/>
      <c r="D1254" s="381"/>
      <c r="E1254" s="381"/>
      <c r="F1254" s="381"/>
      <c r="G1254" s="381"/>
      <c r="H1254" s="381"/>
      <c r="I1254" s="382"/>
      <c r="K1254" s="182"/>
    </row>
    <row r="1255" spans="2:14" ht="11.25" customHeight="1" x14ac:dyDescent="0.25">
      <c r="B1255" s="377" t="s">
        <v>310</v>
      </c>
      <c r="C1255" s="378"/>
      <c r="D1255" s="379"/>
      <c r="E1255" s="136"/>
      <c r="F1255" s="137" t="s">
        <v>311</v>
      </c>
      <c r="G1255" s="137" t="s">
        <v>312</v>
      </c>
      <c r="H1255" s="137" t="s">
        <v>313</v>
      </c>
      <c r="I1255" s="138" t="s">
        <v>314</v>
      </c>
      <c r="L1255" s="139"/>
      <c r="M1255" s="139"/>
    </row>
    <row r="1256" spans="2:14" ht="11.25" customHeight="1" x14ac:dyDescent="0.25">
      <c r="B1256" s="362" t="s">
        <v>315</v>
      </c>
      <c r="C1256" s="363"/>
      <c r="D1256" s="363"/>
      <c r="E1256" s="160"/>
      <c r="F1256" s="161" t="s">
        <v>316</v>
      </c>
      <c r="G1256" s="160">
        <v>5000</v>
      </c>
      <c r="H1256" s="142">
        <v>1</v>
      </c>
      <c r="I1256" s="143">
        <f>G1256*H1256</f>
        <v>5000</v>
      </c>
    </row>
    <row r="1257" spans="2:14" ht="16.5" customHeight="1" x14ac:dyDescent="0.25">
      <c r="B1257" s="362" t="s">
        <v>355</v>
      </c>
      <c r="C1257" s="363"/>
      <c r="D1257" s="363"/>
      <c r="E1257" s="160"/>
      <c r="F1257" s="161" t="s">
        <v>317</v>
      </c>
      <c r="G1257" s="160">
        <v>90000</v>
      </c>
      <c r="H1257" s="142">
        <v>1</v>
      </c>
      <c r="I1257" s="143">
        <f>G1257*H1257</f>
        <v>90000</v>
      </c>
    </row>
    <row r="1258" spans="2:14" ht="10.5" customHeight="1" thickBot="1" x14ac:dyDescent="0.3">
      <c r="B1258" s="371" t="s">
        <v>318</v>
      </c>
      <c r="C1258" s="372"/>
      <c r="D1258" s="372"/>
      <c r="E1258" s="372"/>
      <c r="F1258" s="372"/>
      <c r="G1258" s="372"/>
      <c r="H1258" s="372"/>
      <c r="I1258" s="144">
        <f>SUM(I1256:I1257)</f>
        <v>95000</v>
      </c>
      <c r="N1258" s="150"/>
    </row>
    <row r="1259" spans="2:14" ht="6" customHeight="1" thickBot="1" x14ac:dyDescent="0.3">
      <c r="B1259" s="373"/>
      <c r="C1259" s="373"/>
      <c r="D1259" s="373"/>
      <c r="E1259" s="373"/>
      <c r="F1259" s="373"/>
      <c r="G1259" s="373"/>
      <c r="H1259" s="373"/>
      <c r="I1259" s="373"/>
    </row>
    <row r="1260" spans="2:14" s="145" customFormat="1" x14ac:dyDescent="0.25">
      <c r="B1260" s="380" t="s">
        <v>319</v>
      </c>
      <c r="C1260" s="381"/>
      <c r="D1260" s="381"/>
      <c r="E1260" s="381"/>
      <c r="F1260" s="381"/>
      <c r="G1260" s="381"/>
      <c r="H1260" s="381"/>
      <c r="I1260" s="382"/>
    </row>
    <row r="1261" spans="2:14" s="145" customFormat="1" ht="15.75" customHeight="1" x14ac:dyDescent="0.25">
      <c r="B1261" s="377" t="s">
        <v>310</v>
      </c>
      <c r="C1261" s="378"/>
      <c r="D1261" s="379"/>
      <c r="E1261" s="137"/>
      <c r="F1261" s="137" t="s">
        <v>320</v>
      </c>
      <c r="G1261" s="137" t="s">
        <v>321</v>
      </c>
      <c r="H1261" s="137" t="s">
        <v>322</v>
      </c>
      <c r="I1261" s="138" t="s">
        <v>314</v>
      </c>
    </row>
    <row r="1262" spans="2:14" ht="74.25" customHeight="1" x14ac:dyDescent="0.25">
      <c r="B1262" s="436" t="s">
        <v>572</v>
      </c>
      <c r="C1262" s="437"/>
      <c r="D1262" s="438"/>
      <c r="E1262" s="163"/>
      <c r="F1262" s="161" t="s">
        <v>27</v>
      </c>
      <c r="G1262" s="160">
        <f>965500-38000-15000+68000+431993+1126495+1230137+474855-961710-481855-1443350+3146343+582673-1483241-2245775+1196923+3816555-247501+1315423-6073843+2959358-1731916+1-1472142+1+1893634-1864065-91337+515237+1966520+450712+470432-636217+470432+312993</f>
        <v>4608265</v>
      </c>
      <c r="H1262" s="142">
        <v>1</v>
      </c>
      <c r="I1262" s="143">
        <f>G1262*H1262</f>
        <v>4608265</v>
      </c>
    </row>
    <row r="1263" spans="2:14" ht="18" customHeight="1" thickBot="1" x14ac:dyDescent="0.3">
      <c r="B1263" s="371" t="s">
        <v>318</v>
      </c>
      <c r="C1263" s="372"/>
      <c r="D1263" s="372"/>
      <c r="E1263" s="372"/>
      <c r="F1263" s="372"/>
      <c r="G1263" s="372"/>
      <c r="H1263" s="372"/>
      <c r="I1263" s="144">
        <f>SUM(I1262:I1262)</f>
        <v>4608265</v>
      </c>
      <c r="N1263" s="150"/>
    </row>
    <row r="1264" spans="2:14" ht="6" customHeight="1" thickBot="1" x14ac:dyDescent="0.3">
      <c r="B1264" s="373"/>
      <c r="C1264" s="373"/>
      <c r="D1264" s="373"/>
      <c r="E1264" s="373"/>
      <c r="F1264" s="373"/>
      <c r="G1264" s="373"/>
      <c r="H1264" s="373"/>
      <c r="I1264" s="373"/>
    </row>
    <row r="1265" spans="2:15" s="145" customFormat="1" x14ac:dyDescent="0.25">
      <c r="B1265" s="380" t="s">
        <v>323</v>
      </c>
      <c r="C1265" s="381"/>
      <c r="D1265" s="381"/>
      <c r="E1265" s="381"/>
      <c r="F1265" s="381"/>
      <c r="G1265" s="381"/>
      <c r="H1265" s="381"/>
      <c r="I1265" s="382"/>
      <c r="L1265" s="146"/>
      <c r="M1265" s="146"/>
    </row>
    <row r="1266" spans="2:15" s="145" customFormat="1" x14ac:dyDescent="0.25">
      <c r="B1266" s="377" t="s">
        <v>324</v>
      </c>
      <c r="C1266" s="378"/>
      <c r="D1266" s="379"/>
      <c r="E1266" s="137" t="s">
        <v>325</v>
      </c>
      <c r="F1266" s="137" t="s">
        <v>326</v>
      </c>
      <c r="G1266" s="137" t="s">
        <v>130</v>
      </c>
      <c r="H1266" s="137" t="s">
        <v>327</v>
      </c>
      <c r="I1266" s="138" t="s">
        <v>314</v>
      </c>
      <c r="K1266" s="260"/>
      <c r="N1266" s="183"/>
      <c r="O1266" s="148"/>
    </row>
    <row r="1267" spans="2:15" ht="11.25" customHeight="1" x14ac:dyDescent="0.25">
      <c r="B1267" s="362" t="s">
        <v>711</v>
      </c>
      <c r="C1267" s="363"/>
      <c r="D1267" s="363"/>
      <c r="E1267" s="170">
        <v>1</v>
      </c>
      <c r="F1267" s="164"/>
      <c r="G1267" s="161"/>
      <c r="H1267" s="162">
        <v>30000</v>
      </c>
      <c r="I1267" s="143">
        <f>H1267*E1267</f>
        <v>30000</v>
      </c>
    </row>
    <row r="1268" spans="2:15" ht="10.5" customHeight="1" thickBot="1" x14ac:dyDescent="0.3">
      <c r="B1268" s="371" t="s">
        <v>318</v>
      </c>
      <c r="C1268" s="372"/>
      <c r="D1268" s="372"/>
      <c r="E1268" s="372"/>
      <c r="F1268" s="372"/>
      <c r="G1268" s="372"/>
      <c r="H1268" s="372"/>
      <c r="I1268" s="144">
        <f>SUM(I1267:I1267)</f>
        <v>30000</v>
      </c>
      <c r="N1268" s="150"/>
    </row>
    <row r="1269" spans="2:15" ht="6" customHeight="1" thickBot="1" x14ac:dyDescent="0.3">
      <c r="B1269" s="373"/>
      <c r="C1269" s="373"/>
      <c r="D1269" s="373"/>
      <c r="E1269" s="373"/>
      <c r="F1269" s="373"/>
      <c r="G1269" s="373"/>
      <c r="H1269" s="373"/>
      <c r="I1269" s="373"/>
    </row>
    <row r="1270" spans="2:15" s="145" customFormat="1" ht="20.100000000000001" customHeight="1" x14ac:dyDescent="0.25">
      <c r="B1270" s="380" t="s">
        <v>328</v>
      </c>
      <c r="C1270" s="381"/>
      <c r="D1270" s="381"/>
      <c r="E1270" s="381"/>
      <c r="F1270" s="381"/>
      <c r="G1270" s="381"/>
      <c r="H1270" s="381"/>
      <c r="I1270" s="382"/>
      <c r="K1270" s="147">
        <f>+K1273-I1277</f>
        <v>0</v>
      </c>
      <c r="N1270" s="148"/>
      <c r="O1270" s="149"/>
    </row>
    <row r="1271" spans="2:15" s="145" customFormat="1" ht="20.100000000000001" customHeight="1" x14ac:dyDescent="0.25">
      <c r="B1271" s="377" t="s">
        <v>329</v>
      </c>
      <c r="C1271" s="379"/>
      <c r="D1271" s="137" t="s">
        <v>322</v>
      </c>
      <c r="E1271" s="137" t="s">
        <v>330</v>
      </c>
      <c r="F1271" s="137" t="s">
        <v>331</v>
      </c>
      <c r="G1271" s="137" t="s">
        <v>332</v>
      </c>
      <c r="H1271" s="137" t="s">
        <v>313</v>
      </c>
      <c r="I1271" s="138" t="s">
        <v>314</v>
      </c>
      <c r="K1271" s="147">
        <v>31800</v>
      </c>
      <c r="O1271" s="179"/>
    </row>
    <row r="1272" spans="2:15" s="151" customFormat="1" ht="9.75" customHeight="1" x14ac:dyDescent="0.25">
      <c r="B1272" s="367" t="s">
        <v>356</v>
      </c>
      <c r="C1272" s="368"/>
      <c r="D1272" s="180">
        <v>1</v>
      </c>
      <c r="E1272" s="141">
        <v>140000</v>
      </c>
      <c r="F1272" s="141">
        <f>+E1272*0.8</f>
        <v>112000</v>
      </c>
      <c r="G1272" s="178">
        <f>D1272*E1272+F1272*D1272</f>
        <v>252000</v>
      </c>
      <c r="H1272" s="184">
        <v>1.2</v>
      </c>
      <c r="I1272" s="143">
        <f>+G1272/H1272</f>
        <v>210000</v>
      </c>
      <c r="J1272" s="145"/>
      <c r="K1272" s="147"/>
    </row>
    <row r="1273" spans="2:15" s="151" customFormat="1" ht="11.25" customHeight="1" x14ac:dyDescent="0.25">
      <c r="B1273" s="367" t="s">
        <v>374</v>
      </c>
      <c r="C1273" s="368"/>
      <c r="D1273" s="180">
        <v>1</v>
      </c>
      <c r="E1273" s="141">
        <v>80000</v>
      </c>
      <c r="F1273" s="141">
        <f>+E1273*0.8</f>
        <v>64000</v>
      </c>
      <c r="G1273" s="178">
        <f>D1273*E1273+F1273*D1273</f>
        <v>144000</v>
      </c>
      <c r="H1273" s="184">
        <f>+H1272</f>
        <v>1.2</v>
      </c>
      <c r="I1273" s="143">
        <f>+G1273/H1273</f>
        <v>120000</v>
      </c>
      <c r="J1273" s="145"/>
      <c r="K1273" s="147">
        <v>5228265</v>
      </c>
      <c r="L1273" s="179"/>
      <c r="M1273" s="179"/>
    </row>
    <row r="1274" spans="2:15" s="145" customFormat="1" ht="10.5" customHeight="1" x14ac:dyDescent="0.25">
      <c r="B1274" s="367" t="s">
        <v>333</v>
      </c>
      <c r="C1274" s="368"/>
      <c r="D1274" s="180">
        <v>2</v>
      </c>
      <c r="E1274" s="141">
        <v>55000</v>
      </c>
      <c r="F1274" s="141">
        <f>+E1274*0.8</f>
        <v>44000</v>
      </c>
      <c r="G1274" s="178">
        <f>D1274*E1274+F1274*D1274</f>
        <v>198000</v>
      </c>
      <c r="H1274" s="184">
        <f>+H1272</f>
        <v>1.2</v>
      </c>
      <c r="I1274" s="143">
        <f>+G1274/H1274</f>
        <v>165000</v>
      </c>
      <c r="K1274" s="147"/>
    </row>
    <row r="1275" spans="2:15" ht="10.5" customHeight="1" thickBot="1" x14ac:dyDescent="0.3">
      <c r="B1275" s="371" t="s">
        <v>318</v>
      </c>
      <c r="C1275" s="372"/>
      <c r="D1275" s="372"/>
      <c r="E1275" s="372"/>
      <c r="F1275" s="372"/>
      <c r="G1275" s="372"/>
      <c r="H1275" s="372"/>
      <c r="I1275" s="144">
        <f>SUM(I1272:I1274)</f>
        <v>495000</v>
      </c>
      <c r="K1275" s="281"/>
      <c r="N1275" s="150"/>
    </row>
    <row r="1276" spans="2:15" ht="6" customHeight="1" thickBot="1" x14ac:dyDescent="0.3">
      <c r="B1276" s="373"/>
      <c r="C1276" s="373"/>
      <c r="D1276" s="373"/>
      <c r="E1276" s="373"/>
      <c r="F1276" s="373"/>
      <c r="G1276" s="373"/>
      <c r="H1276" s="373"/>
      <c r="I1276" s="373"/>
    </row>
    <row r="1277" spans="2:15" ht="10.5" customHeight="1" thickBot="1" x14ac:dyDescent="0.3">
      <c r="B1277" s="374" t="s">
        <v>334</v>
      </c>
      <c r="C1277" s="375"/>
      <c r="D1277" s="375"/>
      <c r="E1277" s="375"/>
      <c r="F1277" s="375"/>
      <c r="G1277" s="375"/>
      <c r="H1277" s="376"/>
      <c r="I1277" s="152">
        <f>ROUND(+I1258+I1263+I1268+I1275,0)</f>
        <v>5228265</v>
      </c>
      <c r="J1277" s="281"/>
      <c r="K1277" s="169"/>
      <c r="L1277" s="181"/>
      <c r="M1277" s="181"/>
      <c r="N1277" s="153"/>
    </row>
    <row r="1278" spans="2:15" ht="6" customHeight="1" thickBot="1" x14ac:dyDescent="0.3">
      <c r="B1278" s="373"/>
      <c r="C1278" s="373"/>
      <c r="D1278" s="373"/>
      <c r="E1278" s="373"/>
      <c r="F1278" s="373"/>
      <c r="G1278" s="373"/>
      <c r="H1278" s="373"/>
      <c r="I1278" s="373"/>
    </row>
    <row r="1279" spans="2:15" ht="8.25" customHeight="1" x14ac:dyDescent="0.25">
      <c r="B1279" s="433" t="s">
        <v>335</v>
      </c>
      <c r="C1279" s="417"/>
      <c r="D1279" s="418"/>
      <c r="E1279" s="418"/>
      <c r="F1279" s="419"/>
      <c r="G1279" s="369" t="s">
        <v>336</v>
      </c>
      <c r="H1279" s="370"/>
      <c r="I1279" s="370"/>
    </row>
    <row r="1280" spans="2:15" ht="33.75" customHeight="1" x14ac:dyDescent="0.25">
      <c r="B1280" s="434"/>
      <c r="C1280" s="420"/>
      <c r="D1280" s="421"/>
      <c r="E1280" s="421"/>
      <c r="F1280" s="422"/>
      <c r="G1280" s="430" t="s">
        <v>337</v>
      </c>
      <c r="H1280" s="431"/>
      <c r="I1280" s="431"/>
      <c r="L1280" s="181"/>
      <c r="M1280" s="181"/>
      <c r="N1280" s="179"/>
    </row>
    <row r="1281" spans="2:9" ht="13.5" customHeight="1" x14ac:dyDescent="0.25">
      <c r="B1281" s="434"/>
      <c r="C1281" s="420"/>
      <c r="D1281" s="421"/>
      <c r="E1281" s="421"/>
      <c r="F1281" s="422"/>
      <c r="G1281" s="154" t="s">
        <v>92</v>
      </c>
      <c r="H1281" s="432" t="s">
        <v>93</v>
      </c>
      <c r="I1281" s="432"/>
    </row>
    <row r="1282" spans="2:9" ht="16.5" customHeight="1" x14ac:dyDescent="0.25">
      <c r="B1282" s="435"/>
      <c r="C1282" s="420"/>
      <c r="D1282" s="421"/>
      <c r="E1282" s="421"/>
      <c r="F1282" s="422"/>
      <c r="G1282" s="155" t="s">
        <v>94</v>
      </c>
      <c r="H1282" s="156" t="s">
        <v>95</v>
      </c>
      <c r="I1282" s="157" t="s">
        <v>96</v>
      </c>
    </row>
    <row r="1283" spans="2:9" x14ac:dyDescent="0.25">
      <c r="B1283" s="268" t="s">
        <v>18</v>
      </c>
      <c r="C1283" s="427"/>
      <c r="D1283" s="428"/>
      <c r="E1283" s="428"/>
      <c r="F1283" s="429"/>
      <c r="G1283" s="155" t="s">
        <v>98</v>
      </c>
      <c r="H1283" s="157" t="s">
        <v>99</v>
      </c>
      <c r="I1283" s="157" t="s">
        <v>100</v>
      </c>
    </row>
    <row r="1284" spans="2:9" x14ac:dyDescent="0.25">
      <c r="B1284" s="269" t="s">
        <v>97</v>
      </c>
      <c r="C1284" s="427"/>
      <c r="D1284" s="428"/>
      <c r="E1284" s="428"/>
      <c r="F1284" s="429"/>
      <c r="G1284" s="154" t="s">
        <v>338</v>
      </c>
      <c r="H1284" s="426"/>
      <c r="I1284" s="426"/>
    </row>
    <row r="1285" spans="2:9" ht="15.75" thickBot="1" x14ac:dyDescent="0.3">
      <c r="B1285" s="270" t="s">
        <v>101</v>
      </c>
      <c r="C1285" s="423"/>
      <c r="D1285" s="424"/>
      <c r="E1285" s="424"/>
      <c r="F1285" s="425"/>
      <c r="G1285" s="154" t="s">
        <v>102</v>
      </c>
      <c r="H1285" s="426" t="s">
        <v>103</v>
      </c>
      <c r="I1285" s="426"/>
    </row>
    <row r="1286" spans="2:9" ht="45" customHeight="1" thickBot="1" x14ac:dyDescent="0.3">
      <c r="B1286" s="401"/>
      <c r="C1286" s="402"/>
      <c r="D1286" s="402"/>
      <c r="E1286" s="402"/>
      <c r="F1286" s="403" t="s">
        <v>0</v>
      </c>
      <c r="G1286" s="403"/>
      <c r="H1286" s="403"/>
      <c r="I1286" s="404"/>
    </row>
    <row r="1287" spans="2:9" ht="6" customHeight="1" thickBot="1" x14ac:dyDescent="0.3">
      <c r="B1287" s="373"/>
      <c r="C1287" s="373"/>
      <c r="D1287" s="373"/>
      <c r="E1287" s="373"/>
      <c r="F1287" s="373"/>
      <c r="G1287" s="373"/>
      <c r="H1287" s="373"/>
      <c r="I1287" s="373"/>
    </row>
    <row r="1288" spans="2:9" ht="10.5" customHeight="1" x14ac:dyDescent="0.25">
      <c r="B1288" s="405" t="s">
        <v>294</v>
      </c>
      <c r="C1288" s="406"/>
      <c r="D1288" s="407" t="s">
        <v>295</v>
      </c>
      <c r="E1288" s="409" t="s">
        <v>296</v>
      </c>
      <c r="F1288" s="410"/>
      <c r="G1288" s="410"/>
      <c r="H1288" s="410"/>
      <c r="I1288" s="411"/>
    </row>
    <row r="1289" spans="2:9" ht="9" customHeight="1" thickBot="1" x14ac:dyDescent="0.3">
      <c r="B1289" s="415"/>
      <c r="C1289" s="416"/>
      <c r="D1289" s="408"/>
      <c r="E1289" s="412"/>
      <c r="F1289" s="413"/>
      <c r="G1289" s="413"/>
      <c r="H1289" s="413"/>
      <c r="I1289" s="414"/>
    </row>
    <row r="1290" spans="2:9" ht="6" customHeight="1" thickBot="1" x14ac:dyDescent="0.3">
      <c r="B1290" s="373"/>
      <c r="C1290" s="373"/>
      <c r="D1290" s="373"/>
      <c r="E1290" s="373"/>
      <c r="F1290" s="373"/>
      <c r="G1290" s="373"/>
      <c r="H1290" s="373"/>
      <c r="I1290" s="373"/>
    </row>
    <row r="1291" spans="2:9" ht="17.25" customHeight="1" thickBot="1" x14ac:dyDescent="0.3">
      <c r="B1291" s="390" t="s">
        <v>297</v>
      </c>
      <c r="C1291" s="391"/>
      <c r="D1291" s="392"/>
      <c r="E1291" s="393"/>
      <c r="F1291" s="393"/>
      <c r="G1291" s="394"/>
      <c r="H1291" s="127" t="s">
        <v>298</v>
      </c>
      <c r="I1291" s="128"/>
    </row>
    <row r="1292" spans="2:9" ht="6" customHeight="1" thickBot="1" x14ac:dyDescent="0.3">
      <c r="B1292" s="373"/>
      <c r="C1292" s="373"/>
      <c r="D1292" s="373"/>
      <c r="E1292" s="373"/>
      <c r="F1292" s="373"/>
      <c r="G1292" s="373"/>
      <c r="H1292" s="373"/>
      <c r="I1292" s="373"/>
    </row>
    <row r="1293" spans="2:9" ht="19.5" customHeight="1" x14ac:dyDescent="0.25">
      <c r="B1293" s="261" t="s">
        <v>299</v>
      </c>
      <c r="C1293" s="129" t="s">
        <v>300</v>
      </c>
      <c r="D1293" s="130" t="s">
        <v>301</v>
      </c>
      <c r="E1293" s="130" t="s">
        <v>302</v>
      </c>
      <c r="F1293" s="398" t="s">
        <v>303</v>
      </c>
      <c r="G1293" s="399"/>
      <c r="H1293" s="400"/>
      <c r="I1293" s="131" t="s">
        <v>304</v>
      </c>
    </row>
    <row r="1294" spans="2:9" ht="11.25" customHeight="1" x14ac:dyDescent="0.25">
      <c r="B1294" s="262"/>
      <c r="C1294" s="132"/>
      <c r="D1294" s="132" t="s">
        <v>305</v>
      </c>
      <c r="E1294" s="132" t="s">
        <v>306</v>
      </c>
      <c r="F1294" s="395" t="s">
        <v>339</v>
      </c>
      <c r="G1294" s="396"/>
      <c r="H1294" s="397"/>
      <c r="I1294" s="133"/>
    </row>
    <row r="1295" spans="2:9" ht="28.5" customHeight="1" x14ac:dyDescent="0.25">
      <c r="B1295" s="263" t="s">
        <v>307</v>
      </c>
      <c r="C1295" s="383" t="s">
        <v>414</v>
      </c>
      <c r="D1295" s="384"/>
      <c r="E1295" s="384"/>
      <c r="F1295" s="384"/>
      <c r="G1295" s="384"/>
      <c r="H1295" s="384"/>
      <c r="I1295" s="385"/>
    </row>
    <row r="1296" spans="2:9" ht="10.5" customHeight="1" x14ac:dyDescent="0.25">
      <c r="B1296" s="264" t="s">
        <v>129</v>
      </c>
      <c r="C1296" s="388" t="s">
        <v>308</v>
      </c>
      <c r="D1296" s="389"/>
      <c r="E1296" s="389"/>
      <c r="F1296" s="389"/>
      <c r="G1296" s="389"/>
      <c r="H1296" s="389"/>
      <c r="I1296" s="134" t="s">
        <v>130</v>
      </c>
    </row>
    <row r="1297" spans="2:15" ht="50.25" customHeight="1" thickBot="1" x14ac:dyDescent="0.3">
      <c r="B1297" s="265">
        <v>6.1599999999999966</v>
      </c>
      <c r="C1297" s="386" t="s">
        <v>573</v>
      </c>
      <c r="D1297" s="387"/>
      <c r="E1297" s="387"/>
      <c r="F1297" s="387"/>
      <c r="G1297" s="387"/>
      <c r="H1297" s="387"/>
      <c r="I1297" s="135" t="s">
        <v>27</v>
      </c>
    </row>
    <row r="1298" spans="2:15" ht="6" customHeight="1" thickBot="1" x14ac:dyDescent="0.3">
      <c r="B1298" s="373"/>
      <c r="C1298" s="373"/>
      <c r="D1298" s="373"/>
      <c r="E1298" s="373"/>
      <c r="F1298" s="373"/>
      <c r="G1298" s="373"/>
      <c r="H1298" s="373"/>
      <c r="I1298" s="373"/>
    </row>
    <row r="1299" spans="2:15" x14ac:dyDescent="0.25">
      <c r="B1299" s="380" t="s">
        <v>309</v>
      </c>
      <c r="C1299" s="381"/>
      <c r="D1299" s="381"/>
      <c r="E1299" s="381"/>
      <c r="F1299" s="381"/>
      <c r="G1299" s="381"/>
      <c r="H1299" s="381"/>
      <c r="I1299" s="382"/>
      <c r="K1299" s="182"/>
    </row>
    <row r="1300" spans="2:15" ht="11.25" customHeight="1" x14ac:dyDescent="0.25">
      <c r="B1300" s="377" t="s">
        <v>310</v>
      </c>
      <c r="C1300" s="378"/>
      <c r="D1300" s="379"/>
      <c r="E1300" s="136"/>
      <c r="F1300" s="137" t="s">
        <v>311</v>
      </c>
      <c r="G1300" s="137" t="s">
        <v>312</v>
      </c>
      <c r="H1300" s="137" t="s">
        <v>313</v>
      </c>
      <c r="I1300" s="138" t="s">
        <v>314</v>
      </c>
      <c r="L1300" s="139"/>
      <c r="M1300" s="139"/>
    </row>
    <row r="1301" spans="2:15" ht="11.25" customHeight="1" x14ac:dyDescent="0.25">
      <c r="B1301" s="362" t="s">
        <v>315</v>
      </c>
      <c r="C1301" s="363"/>
      <c r="D1301" s="363"/>
      <c r="E1301" s="160"/>
      <c r="F1301" s="161" t="s">
        <v>316</v>
      </c>
      <c r="G1301" s="160">
        <v>5000</v>
      </c>
      <c r="H1301" s="142">
        <v>0.6</v>
      </c>
      <c r="I1301" s="143">
        <f>G1301*H1301</f>
        <v>3000</v>
      </c>
    </row>
    <row r="1302" spans="2:15" ht="16.5" customHeight="1" x14ac:dyDescent="0.25">
      <c r="B1302" s="362" t="s">
        <v>355</v>
      </c>
      <c r="C1302" s="363"/>
      <c r="D1302" s="363"/>
      <c r="E1302" s="160"/>
      <c r="F1302" s="161" t="s">
        <v>317</v>
      </c>
      <c r="G1302" s="160">
        <v>90000</v>
      </c>
      <c r="H1302" s="142">
        <v>0.6</v>
      </c>
      <c r="I1302" s="143">
        <f>G1302*H1302</f>
        <v>54000</v>
      </c>
    </row>
    <row r="1303" spans="2:15" ht="10.5" customHeight="1" thickBot="1" x14ac:dyDescent="0.3">
      <c r="B1303" s="371" t="s">
        <v>318</v>
      </c>
      <c r="C1303" s="372"/>
      <c r="D1303" s="372"/>
      <c r="E1303" s="372"/>
      <c r="F1303" s="372"/>
      <c r="G1303" s="372"/>
      <c r="H1303" s="372"/>
      <c r="I1303" s="144">
        <f>SUM(I1301:I1302)</f>
        <v>57000</v>
      </c>
      <c r="N1303" s="150"/>
    </row>
    <row r="1304" spans="2:15" ht="6" customHeight="1" thickBot="1" x14ac:dyDescent="0.3">
      <c r="B1304" s="373"/>
      <c r="C1304" s="373"/>
      <c r="D1304" s="373"/>
      <c r="E1304" s="373"/>
      <c r="F1304" s="373"/>
      <c r="G1304" s="373"/>
      <c r="H1304" s="373"/>
      <c r="I1304" s="373"/>
    </row>
    <row r="1305" spans="2:15" s="145" customFormat="1" x14ac:dyDescent="0.25">
      <c r="B1305" s="380" t="s">
        <v>319</v>
      </c>
      <c r="C1305" s="381"/>
      <c r="D1305" s="381"/>
      <c r="E1305" s="381"/>
      <c r="F1305" s="381"/>
      <c r="G1305" s="381"/>
      <c r="H1305" s="381"/>
      <c r="I1305" s="382"/>
    </row>
    <row r="1306" spans="2:15" s="145" customFormat="1" ht="15.75" customHeight="1" x14ac:dyDescent="0.25">
      <c r="B1306" s="377" t="s">
        <v>310</v>
      </c>
      <c r="C1306" s="378"/>
      <c r="D1306" s="379"/>
      <c r="E1306" s="137"/>
      <c r="F1306" s="137" t="s">
        <v>320</v>
      </c>
      <c r="G1306" s="137" t="s">
        <v>321</v>
      </c>
      <c r="H1306" s="137" t="s">
        <v>322</v>
      </c>
      <c r="I1306" s="138" t="s">
        <v>314</v>
      </c>
    </row>
    <row r="1307" spans="2:15" ht="74.25" customHeight="1" x14ac:dyDescent="0.25">
      <c r="B1307" s="436" t="s">
        <v>573</v>
      </c>
      <c r="C1307" s="437"/>
      <c r="D1307" s="438"/>
      <c r="E1307" s="163"/>
      <c r="F1307" s="161" t="s">
        <v>27</v>
      </c>
      <c r="G1307" s="160">
        <f>4608265-2844588+1</f>
        <v>1763678</v>
      </c>
      <c r="H1307" s="142">
        <v>1</v>
      </c>
      <c r="I1307" s="143">
        <f>G1307*H1307</f>
        <v>1763678</v>
      </c>
      <c r="M1307">
        <v>4608265</v>
      </c>
    </row>
    <row r="1308" spans="2:15" ht="18" customHeight="1" thickBot="1" x14ac:dyDescent="0.3">
      <c r="B1308" s="371" t="s">
        <v>318</v>
      </c>
      <c r="C1308" s="372"/>
      <c r="D1308" s="372"/>
      <c r="E1308" s="372"/>
      <c r="F1308" s="372"/>
      <c r="G1308" s="372"/>
      <c r="H1308" s="372"/>
      <c r="I1308" s="144">
        <f>SUM(I1307:I1307)</f>
        <v>1763678</v>
      </c>
      <c r="N1308" s="150"/>
    </row>
    <row r="1309" spans="2:15" ht="6" customHeight="1" thickBot="1" x14ac:dyDescent="0.3">
      <c r="B1309" s="373"/>
      <c r="C1309" s="373"/>
      <c r="D1309" s="373"/>
      <c r="E1309" s="373"/>
      <c r="F1309" s="373"/>
      <c r="G1309" s="373"/>
      <c r="H1309" s="373"/>
      <c r="I1309" s="373"/>
    </row>
    <row r="1310" spans="2:15" s="145" customFormat="1" x14ac:dyDescent="0.25">
      <c r="B1310" s="380" t="s">
        <v>323</v>
      </c>
      <c r="C1310" s="381"/>
      <c r="D1310" s="381"/>
      <c r="E1310" s="381"/>
      <c r="F1310" s="381"/>
      <c r="G1310" s="381"/>
      <c r="H1310" s="381"/>
      <c r="I1310" s="382"/>
      <c r="L1310" s="146"/>
      <c r="M1310" s="146"/>
    </row>
    <row r="1311" spans="2:15" s="145" customFormat="1" x14ac:dyDescent="0.25">
      <c r="B1311" s="377" t="s">
        <v>324</v>
      </c>
      <c r="C1311" s="378"/>
      <c r="D1311" s="379"/>
      <c r="E1311" s="137" t="s">
        <v>325</v>
      </c>
      <c r="F1311" s="137" t="s">
        <v>326</v>
      </c>
      <c r="G1311" s="137" t="s">
        <v>130</v>
      </c>
      <c r="H1311" s="137" t="s">
        <v>327</v>
      </c>
      <c r="I1311" s="138" t="s">
        <v>314</v>
      </c>
      <c r="K1311" s="260"/>
      <c r="N1311" s="183"/>
      <c r="O1311" s="148"/>
    </row>
    <row r="1312" spans="2:15" ht="11.25" customHeight="1" x14ac:dyDescent="0.25">
      <c r="B1312" s="362" t="s">
        <v>711</v>
      </c>
      <c r="C1312" s="363"/>
      <c r="D1312" s="363"/>
      <c r="E1312" s="170">
        <v>1</v>
      </c>
      <c r="F1312" s="164"/>
      <c r="G1312" s="161"/>
      <c r="H1312" s="162">
        <v>15000</v>
      </c>
      <c r="I1312" s="143">
        <f>H1312*E1312</f>
        <v>15000</v>
      </c>
    </row>
    <row r="1313" spans="2:15" ht="10.5" customHeight="1" thickBot="1" x14ac:dyDescent="0.3">
      <c r="B1313" s="371" t="s">
        <v>318</v>
      </c>
      <c r="C1313" s="372"/>
      <c r="D1313" s="372"/>
      <c r="E1313" s="372"/>
      <c r="F1313" s="372"/>
      <c r="G1313" s="372"/>
      <c r="H1313" s="372"/>
      <c r="I1313" s="144">
        <f>SUM(I1312:I1312)</f>
        <v>15000</v>
      </c>
      <c r="N1313" s="150"/>
    </row>
    <row r="1314" spans="2:15" ht="6" customHeight="1" thickBot="1" x14ac:dyDescent="0.3">
      <c r="B1314" s="373"/>
      <c r="C1314" s="373"/>
      <c r="D1314" s="373"/>
      <c r="E1314" s="373"/>
      <c r="F1314" s="373"/>
      <c r="G1314" s="373"/>
      <c r="H1314" s="373"/>
      <c r="I1314" s="373"/>
    </row>
    <row r="1315" spans="2:15" s="145" customFormat="1" ht="20.100000000000001" customHeight="1" x14ac:dyDescent="0.25">
      <c r="B1315" s="380" t="s">
        <v>328</v>
      </c>
      <c r="C1315" s="381"/>
      <c r="D1315" s="381"/>
      <c r="E1315" s="381"/>
      <c r="F1315" s="381"/>
      <c r="G1315" s="381"/>
      <c r="H1315" s="381"/>
      <c r="I1315" s="382"/>
      <c r="K1315" s="147"/>
      <c r="N1315" s="148"/>
      <c r="O1315" s="149"/>
    </row>
    <row r="1316" spans="2:15" s="145" customFormat="1" ht="20.100000000000001" customHeight="1" x14ac:dyDescent="0.25">
      <c r="B1316" s="377" t="s">
        <v>329</v>
      </c>
      <c r="C1316" s="379"/>
      <c r="D1316" s="137" t="s">
        <v>322</v>
      </c>
      <c r="E1316" s="137" t="s">
        <v>330</v>
      </c>
      <c r="F1316" s="137" t="s">
        <v>331</v>
      </c>
      <c r="G1316" s="137" t="s">
        <v>332</v>
      </c>
      <c r="H1316" s="137" t="s">
        <v>313</v>
      </c>
      <c r="I1316" s="138" t="s">
        <v>314</v>
      </c>
      <c r="K1316" s="147"/>
      <c r="O1316" s="179"/>
    </row>
    <row r="1317" spans="2:15" s="151" customFormat="1" ht="9.75" customHeight="1" x14ac:dyDescent="0.25">
      <c r="B1317" s="367" t="s">
        <v>356</v>
      </c>
      <c r="C1317" s="368"/>
      <c r="D1317" s="180">
        <v>1</v>
      </c>
      <c r="E1317" s="141">
        <v>140000</v>
      </c>
      <c r="F1317" s="141">
        <f>+E1317*0.8</f>
        <v>112000</v>
      </c>
      <c r="G1317" s="178">
        <f>D1317*E1317+F1317*D1317</f>
        <v>252000</v>
      </c>
      <c r="H1317" s="184">
        <v>2.5</v>
      </c>
      <c r="I1317" s="143">
        <f>+G1317/H1317</f>
        <v>100800</v>
      </c>
      <c r="J1317" s="145"/>
      <c r="K1317" s="147"/>
    </row>
    <row r="1318" spans="2:15" s="151" customFormat="1" ht="11.25" customHeight="1" x14ac:dyDescent="0.25">
      <c r="B1318" s="367" t="s">
        <v>374</v>
      </c>
      <c r="C1318" s="368"/>
      <c r="D1318" s="180">
        <v>1</v>
      </c>
      <c r="E1318" s="141">
        <v>80000</v>
      </c>
      <c r="F1318" s="141">
        <f>+E1318*0.8</f>
        <v>64000</v>
      </c>
      <c r="G1318" s="178">
        <f>D1318*E1318+F1318*D1318</f>
        <v>144000</v>
      </c>
      <c r="H1318" s="184">
        <f>+H1317</f>
        <v>2.5</v>
      </c>
      <c r="I1318" s="143">
        <f>+G1318/H1318</f>
        <v>57600</v>
      </c>
      <c r="J1318" s="145"/>
      <c r="K1318" s="147">
        <v>2073277.5</v>
      </c>
      <c r="L1318" s="179"/>
      <c r="M1318" s="179"/>
    </row>
    <row r="1319" spans="2:15" s="145" customFormat="1" ht="10.5" customHeight="1" x14ac:dyDescent="0.25">
      <c r="B1319" s="367" t="s">
        <v>333</v>
      </c>
      <c r="C1319" s="368"/>
      <c r="D1319" s="180">
        <v>2</v>
      </c>
      <c r="E1319" s="141">
        <v>55000</v>
      </c>
      <c r="F1319" s="141">
        <f>+E1319*0.8</f>
        <v>44000</v>
      </c>
      <c r="G1319" s="178">
        <f>D1319*E1319+F1319*D1319</f>
        <v>198000</v>
      </c>
      <c r="H1319" s="184">
        <f>+H1317</f>
        <v>2.5</v>
      </c>
      <c r="I1319" s="143">
        <f>+G1319/H1319</f>
        <v>79200</v>
      </c>
      <c r="K1319" s="147"/>
    </row>
    <row r="1320" spans="2:15" ht="10.5" customHeight="1" thickBot="1" x14ac:dyDescent="0.3">
      <c r="B1320" s="371" t="s">
        <v>318</v>
      </c>
      <c r="C1320" s="372"/>
      <c r="D1320" s="372"/>
      <c r="E1320" s="372"/>
      <c r="F1320" s="372"/>
      <c r="G1320" s="372"/>
      <c r="H1320" s="372"/>
      <c r="I1320" s="144">
        <f>SUM(I1317:I1319)</f>
        <v>237600</v>
      </c>
      <c r="K1320" s="281">
        <f>+K1318-I1322</f>
        <v>-0.5</v>
      </c>
      <c r="N1320" s="150"/>
    </row>
    <row r="1321" spans="2:15" ht="6" customHeight="1" thickBot="1" x14ac:dyDescent="0.3">
      <c r="B1321" s="373"/>
      <c r="C1321" s="373"/>
      <c r="D1321" s="373"/>
      <c r="E1321" s="373"/>
      <c r="F1321" s="373"/>
      <c r="G1321" s="373"/>
      <c r="H1321" s="373"/>
      <c r="I1321" s="373"/>
    </row>
    <row r="1322" spans="2:15" ht="10.5" customHeight="1" thickBot="1" x14ac:dyDescent="0.3">
      <c r="B1322" s="374" t="s">
        <v>334</v>
      </c>
      <c r="C1322" s="375"/>
      <c r="D1322" s="375"/>
      <c r="E1322" s="375"/>
      <c r="F1322" s="375"/>
      <c r="G1322" s="375"/>
      <c r="H1322" s="376"/>
      <c r="I1322" s="152">
        <f>ROUND(+I1303+I1308+I1313+I1320,0)</f>
        <v>2073278</v>
      </c>
      <c r="J1322" s="281"/>
      <c r="K1322" s="169"/>
      <c r="L1322" s="181"/>
      <c r="M1322" s="181"/>
      <c r="N1322" s="153"/>
    </row>
    <row r="1323" spans="2:15" ht="6" customHeight="1" thickBot="1" x14ac:dyDescent="0.3">
      <c r="B1323" s="373"/>
      <c r="C1323" s="373"/>
      <c r="D1323" s="373"/>
      <c r="E1323" s="373"/>
      <c r="F1323" s="373"/>
      <c r="G1323" s="373"/>
      <c r="H1323" s="373"/>
      <c r="I1323" s="373"/>
    </row>
    <row r="1324" spans="2:15" ht="8.25" customHeight="1" x14ac:dyDescent="0.25">
      <c r="B1324" s="433" t="s">
        <v>335</v>
      </c>
      <c r="C1324" s="417"/>
      <c r="D1324" s="418"/>
      <c r="E1324" s="418"/>
      <c r="F1324" s="419"/>
      <c r="G1324" s="369" t="s">
        <v>336</v>
      </c>
      <c r="H1324" s="370"/>
      <c r="I1324" s="370"/>
    </row>
    <row r="1325" spans="2:15" ht="33.75" customHeight="1" x14ac:dyDescent="0.25">
      <c r="B1325" s="434"/>
      <c r="C1325" s="420"/>
      <c r="D1325" s="421"/>
      <c r="E1325" s="421"/>
      <c r="F1325" s="422"/>
      <c r="G1325" s="430" t="s">
        <v>337</v>
      </c>
      <c r="H1325" s="431"/>
      <c r="I1325" s="431"/>
      <c r="L1325" s="181"/>
      <c r="M1325" s="181"/>
      <c r="N1325" s="179"/>
    </row>
    <row r="1326" spans="2:15" ht="13.5" customHeight="1" x14ac:dyDescent="0.25">
      <c r="B1326" s="434"/>
      <c r="C1326" s="420"/>
      <c r="D1326" s="421"/>
      <c r="E1326" s="421"/>
      <c r="F1326" s="422"/>
      <c r="G1326" s="154" t="s">
        <v>92</v>
      </c>
      <c r="H1326" s="432" t="s">
        <v>93</v>
      </c>
      <c r="I1326" s="432"/>
    </row>
    <row r="1327" spans="2:15" ht="16.5" customHeight="1" x14ac:dyDescent="0.25">
      <c r="B1327" s="435"/>
      <c r="C1327" s="420"/>
      <c r="D1327" s="421"/>
      <c r="E1327" s="421"/>
      <c r="F1327" s="422"/>
      <c r="G1327" s="155" t="s">
        <v>94</v>
      </c>
      <c r="H1327" s="156" t="s">
        <v>95</v>
      </c>
      <c r="I1327" s="157" t="s">
        <v>96</v>
      </c>
    </row>
    <row r="1328" spans="2:15" x14ac:dyDescent="0.25">
      <c r="B1328" s="268" t="s">
        <v>18</v>
      </c>
      <c r="C1328" s="427"/>
      <c r="D1328" s="428"/>
      <c r="E1328" s="428"/>
      <c r="F1328" s="429"/>
      <c r="G1328" s="155" t="s">
        <v>98</v>
      </c>
      <c r="H1328" s="157" t="s">
        <v>99</v>
      </c>
      <c r="I1328" s="157" t="s">
        <v>100</v>
      </c>
    </row>
    <row r="1329" spans="2:9" x14ac:dyDescent="0.25">
      <c r="B1329" s="269" t="s">
        <v>97</v>
      </c>
      <c r="C1329" s="427"/>
      <c r="D1329" s="428"/>
      <c r="E1329" s="428"/>
      <c r="F1329" s="429"/>
      <c r="G1329" s="154" t="s">
        <v>338</v>
      </c>
      <c r="H1329" s="426"/>
      <c r="I1329" s="426"/>
    </row>
    <row r="1330" spans="2:9" ht="15.75" thickBot="1" x14ac:dyDescent="0.3">
      <c r="B1330" s="270" t="s">
        <v>101</v>
      </c>
      <c r="C1330" s="423"/>
      <c r="D1330" s="424"/>
      <c r="E1330" s="424"/>
      <c r="F1330" s="425"/>
      <c r="G1330" s="154" t="s">
        <v>102</v>
      </c>
      <c r="H1330" s="426" t="s">
        <v>103</v>
      </c>
      <c r="I1330" s="426"/>
    </row>
    <row r="1331" spans="2:9" ht="6" customHeight="1" thickBot="1" x14ac:dyDescent="0.3"/>
    <row r="1332" spans="2:9" ht="45" customHeight="1" thickBot="1" x14ac:dyDescent="0.3">
      <c r="B1332" s="401"/>
      <c r="C1332" s="402"/>
      <c r="D1332" s="402"/>
      <c r="E1332" s="402"/>
      <c r="F1332" s="403" t="s">
        <v>0</v>
      </c>
      <c r="G1332" s="403"/>
      <c r="H1332" s="403"/>
      <c r="I1332" s="404"/>
    </row>
    <row r="1333" spans="2:9" ht="6" customHeight="1" thickBot="1" x14ac:dyDescent="0.3">
      <c r="B1333" s="373"/>
      <c r="C1333" s="373"/>
      <c r="D1333" s="373"/>
      <c r="E1333" s="373"/>
      <c r="F1333" s="373"/>
      <c r="G1333" s="373"/>
      <c r="H1333" s="373"/>
      <c r="I1333" s="373"/>
    </row>
    <row r="1334" spans="2:9" ht="10.5" customHeight="1" x14ac:dyDescent="0.25">
      <c r="B1334" s="405" t="s">
        <v>294</v>
      </c>
      <c r="C1334" s="406"/>
      <c r="D1334" s="407" t="s">
        <v>295</v>
      </c>
      <c r="E1334" s="409" t="s">
        <v>296</v>
      </c>
      <c r="F1334" s="410"/>
      <c r="G1334" s="410"/>
      <c r="H1334" s="410"/>
      <c r="I1334" s="411"/>
    </row>
    <row r="1335" spans="2:9" ht="9" customHeight="1" thickBot="1" x14ac:dyDescent="0.3">
      <c r="B1335" s="415"/>
      <c r="C1335" s="416"/>
      <c r="D1335" s="408"/>
      <c r="E1335" s="412"/>
      <c r="F1335" s="413"/>
      <c r="G1335" s="413"/>
      <c r="H1335" s="413"/>
      <c r="I1335" s="414"/>
    </row>
    <row r="1336" spans="2:9" ht="6" customHeight="1" thickBot="1" x14ac:dyDescent="0.3">
      <c r="B1336" s="373"/>
      <c r="C1336" s="373"/>
      <c r="D1336" s="373"/>
      <c r="E1336" s="373"/>
      <c r="F1336" s="373"/>
      <c r="G1336" s="373"/>
      <c r="H1336" s="373"/>
      <c r="I1336" s="373"/>
    </row>
    <row r="1337" spans="2:9" ht="17.25" customHeight="1" thickBot="1" x14ac:dyDescent="0.3">
      <c r="B1337" s="390" t="s">
        <v>297</v>
      </c>
      <c r="C1337" s="391"/>
      <c r="D1337" s="392"/>
      <c r="E1337" s="393"/>
      <c r="F1337" s="393"/>
      <c r="G1337" s="394"/>
      <c r="H1337" s="127" t="s">
        <v>298</v>
      </c>
      <c r="I1337" s="128"/>
    </row>
    <row r="1338" spans="2:9" ht="6" customHeight="1" thickBot="1" x14ac:dyDescent="0.3">
      <c r="B1338" s="373"/>
      <c r="C1338" s="373"/>
      <c r="D1338" s="373"/>
      <c r="E1338" s="373"/>
      <c r="F1338" s="373"/>
      <c r="G1338" s="373"/>
      <c r="H1338" s="373"/>
      <c r="I1338" s="373"/>
    </row>
    <row r="1339" spans="2:9" ht="19.5" customHeight="1" x14ac:dyDescent="0.25">
      <c r="B1339" s="261" t="s">
        <v>299</v>
      </c>
      <c r="C1339" s="129" t="s">
        <v>300</v>
      </c>
      <c r="D1339" s="130" t="s">
        <v>301</v>
      </c>
      <c r="E1339" s="130" t="s">
        <v>302</v>
      </c>
      <c r="F1339" s="398" t="s">
        <v>303</v>
      </c>
      <c r="G1339" s="399"/>
      <c r="H1339" s="400"/>
      <c r="I1339" s="131" t="s">
        <v>304</v>
      </c>
    </row>
    <row r="1340" spans="2:9" ht="11.25" customHeight="1" x14ac:dyDescent="0.25">
      <c r="B1340" s="262"/>
      <c r="C1340" s="132"/>
      <c r="D1340" s="132" t="s">
        <v>305</v>
      </c>
      <c r="E1340" s="132" t="s">
        <v>306</v>
      </c>
      <c r="F1340" s="395" t="s">
        <v>339</v>
      </c>
      <c r="G1340" s="396"/>
      <c r="H1340" s="397"/>
      <c r="I1340" s="133"/>
    </row>
    <row r="1341" spans="2:9" ht="28.5" customHeight="1" x14ac:dyDescent="0.25">
      <c r="B1341" s="263" t="s">
        <v>307</v>
      </c>
      <c r="C1341" s="383" t="s">
        <v>414</v>
      </c>
      <c r="D1341" s="384"/>
      <c r="E1341" s="384"/>
      <c r="F1341" s="384"/>
      <c r="G1341" s="384"/>
      <c r="H1341" s="384"/>
      <c r="I1341" s="385"/>
    </row>
    <row r="1342" spans="2:9" ht="10.5" customHeight="1" x14ac:dyDescent="0.25">
      <c r="B1342" s="264" t="s">
        <v>129</v>
      </c>
      <c r="C1342" s="388" t="s">
        <v>308</v>
      </c>
      <c r="D1342" s="389"/>
      <c r="E1342" s="389"/>
      <c r="F1342" s="389"/>
      <c r="G1342" s="389"/>
      <c r="H1342" s="389"/>
      <c r="I1342" s="134" t="s">
        <v>130</v>
      </c>
    </row>
    <row r="1343" spans="2:9" ht="50.25" customHeight="1" thickBot="1" x14ac:dyDescent="0.3">
      <c r="B1343" s="265">
        <v>6.1699999999999964</v>
      </c>
      <c r="C1343" s="386" t="s">
        <v>574</v>
      </c>
      <c r="D1343" s="387"/>
      <c r="E1343" s="387"/>
      <c r="F1343" s="387"/>
      <c r="G1343" s="387"/>
      <c r="H1343" s="387"/>
      <c r="I1343" s="135" t="s">
        <v>27</v>
      </c>
    </row>
    <row r="1344" spans="2:9" ht="6" customHeight="1" thickBot="1" x14ac:dyDescent="0.3">
      <c r="B1344" s="373"/>
      <c r="C1344" s="373"/>
      <c r="D1344" s="373"/>
      <c r="E1344" s="373"/>
      <c r="F1344" s="373"/>
      <c r="G1344" s="373"/>
      <c r="H1344" s="373"/>
      <c r="I1344" s="373"/>
    </row>
    <row r="1345" spans="2:15" x14ac:dyDescent="0.25">
      <c r="B1345" s="380" t="s">
        <v>309</v>
      </c>
      <c r="C1345" s="381"/>
      <c r="D1345" s="381"/>
      <c r="E1345" s="381"/>
      <c r="F1345" s="381"/>
      <c r="G1345" s="381"/>
      <c r="H1345" s="381"/>
      <c r="I1345" s="382"/>
      <c r="K1345" s="182"/>
    </row>
    <row r="1346" spans="2:15" ht="11.25" customHeight="1" x14ac:dyDescent="0.25">
      <c r="B1346" s="377" t="s">
        <v>310</v>
      </c>
      <c r="C1346" s="378"/>
      <c r="D1346" s="379"/>
      <c r="E1346" s="136"/>
      <c r="F1346" s="137" t="s">
        <v>311</v>
      </c>
      <c r="G1346" s="137" t="s">
        <v>312</v>
      </c>
      <c r="H1346" s="137" t="s">
        <v>313</v>
      </c>
      <c r="I1346" s="138" t="s">
        <v>314</v>
      </c>
      <c r="L1346" s="139"/>
      <c r="M1346" s="139"/>
    </row>
    <row r="1347" spans="2:15" ht="11.25" customHeight="1" x14ac:dyDescent="0.25">
      <c r="B1347" s="362" t="s">
        <v>315</v>
      </c>
      <c r="C1347" s="363"/>
      <c r="D1347" s="363"/>
      <c r="E1347" s="160"/>
      <c r="F1347" s="161" t="s">
        <v>316</v>
      </c>
      <c r="G1347" s="160">
        <v>5000</v>
      </c>
      <c r="H1347" s="142">
        <v>1</v>
      </c>
      <c r="I1347" s="143">
        <f>G1347*H1347</f>
        <v>5000</v>
      </c>
    </row>
    <row r="1348" spans="2:15" ht="16.5" customHeight="1" x14ac:dyDescent="0.25">
      <c r="B1348" s="362" t="s">
        <v>355</v>
      </c>
      <c r="C1348" s="363"/>
      <c r="D1348" s="363"/>
      <c r="E1348" s="160"/>
      <c r="F1348" s="161" t="s">
        <v>317</v>
      </c>
      <c r="G1348" s="160">
        <v>90000</v>
      </c>
      <c r="H1348" s="142">
        <v>1</v>
      </c>
      <c r="I1348" s="143">
        <f>G1348*H1348</f>
        <v>90000</v>
      </c>
    </row>
    <row r="1349" spans="2:15" ht="10.5" customHeight="1" thickBot="1" x14ac:dyDescent="0.3">
      <c r="B1349" s="371" t="s">
        <v>318</v>
      </c>
      <c r="C1349" s="372"/>
      <c r="D1349" s="372"/>
      <c r="E1349" s="372"/>
      <c r="F1349" s="372"/>
      <c r="G1349" s="372"/>
      <c r="H1349" s="372"/>
      <c r="I1349" s="144">
        <f>SUM(I1347:I1348)</f>
        <v>95000</v>
      </c>
      <c r="N1349" s="150"/>
    </row>
    <row r="1350" spans="2:15" ht="6" customHeight="1" thickBot="1" x14ac:dyDescent="0.3">
      <c r="B1350" s="373"/>
      <c r="C1350" s="373"/>
      <c r="D1350" s="373"/>
      <c r="E1350" s="373"/>
      <c r="F1350" s="373"/>
      <c r="G1350" s="373"/>
      <c r="H1350" s="373"/>
      <c r="I1350" s="373"/>
    </row>
    <row r="1351" spans="2:15" s="145" customFormat="1" x14ac:dyDescent="0.25">
      <c r="B1351" s="380" t="s">
        <v>319</v>
      </c>
      <c r="C1351" s="381"/>
      <c r="D1351" s="381"/>
      <c r="E1351" s="381"/>
      <c r="F1351" s="381"/>
      <c r="G1351" s="381"/>
      <c r="H1351" s="381"/>
      <c r="I1351" s="382"/>
    </row>
    <row r="1352" spans="2:15" s="145" customFormat="1" ht="15.75" customHeight="1" x14ac:dyDescent="0.25">
      <c r="B1352" s="377" t="s">
        <v>310</v>
      </c>
      <c r="C1352" s="378"/>
      <c r="D1352" s="379"/>
      <c r="E1352" s="137"/>
      <c r="F1352" s="137" t="s">
        <v>320</v>
      </c>
      <c r="G1352" s="137" t="s">
        <v>321</v>
      </c>
      <c r="H1352" s="137" t="s">
        <v>322</v>
      </c>
      <c r="I1352" s="138" t="s">
        <v>314</v>
      </c>
    </row>
    <row r="1353" spans="2:15" ht="74.25" customHeight="1" x14ac:dyDescent="0.25">
      <c r="B1353" s="436" t="s">
        <v>574</v>
      </c>
      <c r="C1353" s="437"/>
      <c r="D1353" s="438"/>
      <c r="E1353" s="163"/>
      <c r="F1353" s="161" t="s">
        <v>27</v>
      </c>
      <c r="G1353" s="160">
        <f>4608265-2844588+1+2363017+200000</f>
        <v>4326695</v>
      </c>
      <c r="H1353" s="142">
        <v>1</v>
      </c>
      <c r="I1353" s="143">
        <f>G1353*H1353</f>
        <v>4326695</v>
      </c>
      <c r="M1353">
        <v>4608265</v>
      </c>
    </row>
    <row r="1354" spans="2:15" ht="18" customHeight="1" thickBot="1" x14ac:dyDescent="0.3">
      <c r="B1354" s="371" t="s">
        <v>318</v>
      </c>
      <c r="C1354" s="372"/>
      <c r="D1354" s="372"/>
      <c r="E1354" s="372"/>
      <c r="F1354" s="372"/>
      <c r="G1354" s="372"/>
      <c r="H1354" s="372"/>
      <c r="I1354" s="144">
        <f>SUM(I1353:I1353)</f>
        <v>4326695</v>
      </c>
      <c r="N1354" s="150"/>
    </row>
    <row r="1355" spans="2:15" ht="6" customHeight="1" thickBot="1" x14ac:dyDescent="0.3">
      <c r="B1355" s="373"/>
      <c r="C1355" s="373"/>
      <c r="D1355" s="373"/>
      <c r="E1355" s="373"/>
      <c r="F1355" s="373"/>
      <c r="G1355" s="373"/>
      <c r="H1355" s="373"/>
      <c r="I1355" s="373"/>
    </row>
    <row r="1356" spans="2:15" s="145" customFormat="1" x14ac:dyDescent="0.25">
      <c r="B1356" s="380" t="s">
        <v>323</v>
      </c>
      <c r="C1356" s="381"/>
      <c r="D1356" s="381"/>
      <c r="E1356" s="381"/>
      <c r="F1356" s="381"/>
      <c r="G1356" s="381"/>
      <c r="H1356" s="381"/>
      <c r="I1356" s="382"/>
      <c r="L1356" s="146"/>
      <c r="M1356" s="146"/>
    </row>
    <row r="1357" spans="2:15" s="145" customFormat="1" x14ac:dyDescent="0.25">
      <c r="B1357" s="377" t="s">
        <v>324</v>
      </c>
      <c r="C1357" s="378"/>
      <c r="D1357" s="379"/>
      <c r="E1357" s="137" t="s">
        <v>325</v>
      </c>
      <c r="F1357" s="137" t="s">
        <v>326</v>
      </c>
      <c r="G1357" s="137" t="s">
        <v>130</v>
      </c>
      <c r="H1357" s="137" t="s">
        <v>327</v>
      </c>
      <c r="I1357" s="138" t="s">
        <v>314</v>
      </c>
      <c r="K1357" s="260"/>
      <c r="N1357" s="183"/>
      <c r="O1357" s="148"/>
    </row>
    <row r="1358" spans="2:15" ht="11.25" customHeight="1" x14ac:dyDescent="0.25">
      <c r="B1358" s="362" t="s">
        <v>711</v>
      </c>
      <c r="C1358" s="363"/>
      <c r="D1358" s="363"/>
      <c r="E1358" s="170">
        <v>1</v>
      </c>
      <c r="F1358" s="164"/>
      <c r="G1358" s="161"/>
      <c r="H1358" s="162">
        <v>50000</v>
      </c>
      <c r="I1358" s="143">
        <f>H1358*E1358</f>
        <v>50000</v>
      </c>
    </row>
    <row r="1359" spans="2:15" ht="10.5" customHeight="1" thickBot="1" x14ac:dyDescent="0.3">
      <c r="B1359" s="371" t="s">
        <v>318</v>
      </c>
      <c r="C1359" s="372"/>
      <c r="D1359" s="372"/>
      <c r="E1359" s="372"/>
      <c r="F1359" s="372"/>
      <c r="G1359" s="372"/>
      <c r="H1359" s="372"/>
      <c r="I1359" s="144">
        <f>SUM(I1358:I1358)</f>
        <v>50000</v>
      </c>
      <c r="N1359" s="150"/>
    </row>
    <row r="1360" spans="2:15" ht="6" customHeight="1" thickBot="1" x14ac:dyDescent="0.3">
      <c r="B1360" s="373"/>
      <c r="C1360" s="373"/>
      <c r="D1360" s="373"/>
      <c r="E1360" s="373"/>
      <c r="F1360" s="373"/>
      <c r="G1360" s="373"/>
      <c r="H1360" s="373"/>
      <c r="I1360" s="373"/>
    </row>
    <row r="1361" spans="2:15" s="145" customFormat="1" ht="20.100000000000001" customHeight="1" x14ac:dyDescent="0.25">
      <c r="B1361" s="380" t="s">
        <v>328</v>
      </c>
      <c r="C1361" s="381"/>
      <c r="D1361" s="381"/>
      <c r="E1361" s="381"/>
      <c r="F1361" s="381"/>
      <c r="G1361" s="381"/>
      <c r="H1361" s="381"/>
      <c r="I1361" s="382"/>
      <c r="K1361" s="147"/>
      <c r="N1361" s="148"/>
      <c r="O1361" s="149"/>
    </row>
    <row r="1362" spans="2:15" s="145" customFormat="1" ht="20.100000000000001" customHeight="1" x14ac:dyDescent="0.25">
      <c r="B1362" s="377" t="s">
        <v>329</v>
      </c>
      <c r="C1362" s="379"/>
      <c r="D1362" s="137" t="s">
        <v>322</v>
      </c>
      <c r="E1362" s="137" t="s">
        <v>330</v>
      </c>
      <c r="F1362" s="137" t="s">
        <v>331</v>
      </c>
      <c r="G1362" s="137" t="s">
        <v>332</v>
      </c>
      <c r="H1362" s="137" t="s">
        <v>313</v>
      </c>
      <c r="I1362" s="138" t="s">
        <v>314</v>
      </c>
      <c r="K1362" s="147"/>
      <c r="O1362" s="179"/>
    </row>
    <row r="1363" spans="2:15" s="151" customFormat="1" ht="9.75" customHeight="1" x14ac:dyDescent="0.25">
      <c r="B1363" s="367" t="s">
        <v>356</v>
      </c>
      <c r="C1363" s="368"/>
      <c r="D1363" s="180">
        <v>1</v>
      </c>
      <c r="E1363" s="141">
        <v>140000</v>
      </c>
      <c r="F1363" s="141">
        <f>+E1363*0.8</f>
        <v>112000</v>
      </c>
      <c r="G1363" s="178">
        <f>D1363*E1363+F1363*D1363</f>
        <v>252000</v>
      </c>
      <c r="H1363" s="184">
        <v>1.5</v>
      </c>
      <c r="I1363" s="143">
        <f>+G1363/H1363</f>
        <v>168000</v>
      </c>
      <c r="J1363" s="145"/>
      <c r="K1363" s="147"/>
    </row>
    <row r="1364" spans="2:15" s="151" customFormat="1" ht="11.25" customHeight="1" x14ac:dyDescent="0.25">
      <c r="B1364" s="367" t="s">
        <v>374</v>
      </c>
      <c r="C1364" s="368"/>
      <c r="D1364" s="180">
        <v>1</v>
      </c>
      <c r="E1364" s="141">
        <v>80000</v>
      </c>
      <c r="F1364" s="141">
        <f>+E1364*0.8</f>
        <v>64000</v>
      </c>
      <c r="G1364" s="178">
        <f>D1364*E1364+F1364*D1364</f>
        <v>144000</v>
      </c>
      <c r="H1364" s="184">
        <f>+H1363</f>
        <v>1.5</v>
      </c>
      <c r="I1364" s="143">
        <f>+G1364/H1364</f>
        <v>96000</v>
      </c>
      <c r="J1364" s="145"/>
      <c r="K1364" s="147">
        <f>+K1366-I1368</f>
        <v>0</v>
      </c>
      <c r="L1364" s="179"/>
      <c r="M1364" s="179"/>
    </row>
    <row r="1365" spans="2:15" s="145" customFormat="1" ht="10.5" customHeight="1" x14ac:dyDescent="0.25">
      <c r="B1365" s="367" t="s">
        <v>333</v>
      </c>
      <c r="C1365" s="368"/>
      <c r="D1365" s="180">
        <v>2</v>
      </c>
      <c r="E1365" s="141">
        <v>55000</v>
      </c>
      <c r="F1365" s="141">
        <f>+E1365*0.8</f>
        <v>44000</v>
      </c>
      <c r="G1365" s="178">
        <f>D1365*E1365+F1365*D1365</f>
        <v>198000</v>
      </c>
      <c r="H1365" s="184">
        <f>+H1363</f>
        <v>1.5</v>
      </c>
      <c r="I1365" s="143">
        <f>+G1365/H1365</f>
        <v>132000</v>
      </c>
      <c r="K1365" s="147"/>
    </row>
    <row r="1366" spans="2:15" ht="10.5" customHeight="1" thickBot="1" x14ac:dyDescent="0.3">
      <c r="B1366" s="371" t="s">
        <v>318</v>
      </c>
      <c r="C1366" s="372"/>
      <c r="D1366" s="372"/>
      <c r="E1366" s="372"/>
      <c r="F1366" s="372"/>
      <c r="G1366" s="372"/>
      <c r="H1366" s="372"/>
      <c r="I1366" s="144">
        <f>SUM(I1363:I1365)</f>
        <v>396000</v>
      </c>
      <c r="K1366" s="281">
        <v>4867695</v>
      </c>
      <c r="N1366" s="150"/>
    </row>
    <row r="1367" spans="2:15" ht="6" customHeight="1" thickBot="1" x14ac:dyDescent="0.3">
      <c r="B1367" s="373"/>
      <c r="C1367" s="373"/>
      <c r="D1367" s="373"/>
      <c r="E1367" s="373"/>
      <c r="F1367" s="373"/>
      <c r="G1367" s="373"/>
      <c r="H1367" s="373"/>
      <c r="I1367" s="373"/>
    </row>
    <row r="1368" spans="2:15" ht="10.5" customHeight="1" thickBot="1" x14ac:dyDescent="0.3">
      <c r="B1368" s="374" t="s">
        <v>334</v>
      </c>
      <c r="C1368" s="375"/>
      <c r="D1368" s="375"/>
      <c r="E1368" s="375"/>
      <c r="F1368" s="375"/>
      <c r="G1368" s="375"/>
      <c r="H1368" s="376"/>
      <c r="I1368" s="152">
        <f>ROUND(+I1349+I1354+I1359+I1366,0)</f>
        <v>4867695</v>
      </c>
      <c r="J1368" s="281"/>
      <c r="K1368" s="169"/>
      <c r="L1368" s="181"/>
      <c r="M1368" s="181"/>
      <c r="N1368" s="153"/>
    </row>
    <row r="1369" spans="2:15" ht="6" customHeight="1" thickBot="1" x14ac:dyDescent="0.3">
      <c r="B1369" s="373"/>
      <c r="C1369" s="373"/>
      <c r="D1369" s="373"/>
      <c r="E1369" s="373"/>
      <c r="F1369" s="373"/>
      <c r="G1369" s="373"/>
      <c r="H1369" s="373"/>
      <c r="I1369" s="373"/>
    </row>
    <row r="1370" spans="2:15" ht="8.25" customHeight="1" x14ac:dyDescent="0.25">
      <c r="B1370" s="433" t="s">
        <v>335</v>
      </c>
      <c r="C1370" s="417"/>
      <c r="D1370" s="418"/>
      <c r="E1370" s="418"/>
      <c r="F1370" s="419"/>
      <c r="G1370" s="369" t="s">
        <v>336</v>
      </c>
      <c r="H1370" s="370"/>
      <c r="I1370" s="370"/>
    </row>
    <row r="1371" spans="2:15" ht="33.75" customHeight="1" x14ac:dyDescent="0.25">
      <c r="B1371" s="434"/>
      <c r="C1371" s="420"/>
      <c r="D1371" s="421"/>
      <c r="E1371" s="421"/>
      <c r="F1371" s="422"/>
      <c r="G1371" s="430" t="s">
        <v>337</v>
      </c>
      <c r="H1371" s="431"/>
      <c r="I1371" s="431"/>
      <c r="L1371" s="181"/>
      <c r="M1371" s="181"/>
      <c r="N1371" s="179"/>
    </row>
    <row r="1372" spans="2:15" ht="13.5" customHeight="1" x14ac:dyDescent="0.25">
      <c r="B1372" s="434"/>
      <c r="C1372" s="420"/>
      <c r="D1372" s="421"/>
      <c r="E1372" s="421"/>
      <c r="F1372" s="422"/>
      <c r="G1372" s="154" t="s">
        <v>92</v>
      </c>
      <c r="H1372" s="432" t="s">
        <v>93</v>
      </c>
      <c r="I1372" s="432"/>
    </row>
    <row r="1373" spans="2:15" ht="16.5" customHeight="1" x14ac:dyDescent="0.25">
      <c r="B1373" s="435"/>
      <c r="C1373" s="420"/>
      <c r="D1373" s="421"/>
      <c r="E1373" s="421"/>
      <c r="F1373" s="422"/>
      <c r="G1373" s="155" t="s">
        <v>94</v>
      </c>
      <c r="H1373" s="156" t="s">
        <v>95</v>
      </c>
      <c r="I1373" s="157" t="s">
        <v>96</v>
      </c>
    </row>
    <row r="1374" spans="2:15" x14ac:dyDescent="0.25">
      <c r="B1374" s="268" t="s">
        <v>18</v>
      </c>
      <c r="C1374" s="427"/>
      <c r="D1374" s="428"/>
      <c r="E1374" s="428"/>
      <c r="F1374" s="429"/>
      <c r="G1374" s="155" t="s">
        <v>98</v>
      </c>
      <c r="H1374" s="157" t="s">
        <v>99</v>
      </c>
      <c r="I1374" s="157" t="s">
        <v>100</v>
      </c>
    </row>
    <row r="1375" spans="2:15" x14ac:dyDescent="0.25">
      <c r="B1375" s="269" t="s">
        <v>97</v>
      </c>
      <c r="C1375" s="427"/>
      <c r="D1375" s="428"/>
      <c r="E1375" s="428"/>
      <c r="F1375" s="429"/>
      <c r="G1375" s="154" t="s">
        <v>338</v>
      </c>
      <c r="H1375" s="426"/>
      <c r="I1375" s="426"/>
    </row>
    <row r="1376" spans="2:15" ht="15.75" thickBot="1" x14ac:dyDescent="0.3">
      <c r="B1376" s="270" t="s">
        <v>101</v>
      </c>
      <c r="C1376" s="423"/>
      <c r="D1376" s="424"/>
      <c r="E1376" s="424"/>
      <c r="F1376" s="425"/>
      <c r="G1376" s="154" t="s">
        <v>102</v>
      </c>
      <c r="H1376" s="426" t="s">
        <v>103</v>
      </c>
      <c r="I1376" s="426"/>
    </row>
    <row r="1377" spans="2:13" ht="45" customHeight="1" thickBot="1" x14ac:dyDescent="0.3">
      <c r="B1377" s="401"/>
      <c r="C1377" s="402"/>
      <c r="D1377" s="402"/>
      <c r="E1377" s="402"/>
      <c r="F1377" s="403" t="s">
        <v>0</v>
      </c>
      <c r="G1377" s="403"/>
      <c r="H1377" s="403"/>
      <c r="I1377" s="404"/>
    </row>
    <row r="1378" spans="2:13" ht="6" customHeight="1" thickBot="1" x14ac:dyDescent="0.3">
      <c r="B1378" s="373"/>
      <c r="C1378" s="373"/>
      <c r="D1378" s="373"/>
      <c r="E1378" s="373"/>
      <c r="F1378" s="373"/>
      <c r="G1378" s="373"/>
      <c r="H1378" s="373"/>
      <c r="I1378" s="373"/>
    </row>
    <row r="1379" spans="2:13" ht="10.5" customHeight="1" x14ac:dyDescent="0.25">
      <c r="B1379" s="405" t="s">
        <v>294</v>
      </c>
      <c r="C1379" s="406"/>
      <c r="D1379" s="407" t="s">
        <v>295</v>
      </c>
      <c r="E1379" s="409" t="s">
        <v>296</v>
      </c>
      <c r="F1379" s="410"/>
      <c r="G1379" s="410"/>
      <c r="H1379" s="410"/>
      <c r="I1379" s="411"/>
    </row>
    <row r="1380" spans="2:13" ht="9" customHeight="1" thickBot="1" x14ac:dyDescent="0.3">
      <c r="B1380" s="415"/>
      <c r="C1380" s="416"/>
      <c r="D1380" s="408"/>
      <c r="E1380" s="412"/>
      <c r="F1380" s="413"/>
      <c r="G1380" s="413"/>
      <c r="H1380" s="413"/>
      <c r="I1380" s="414"/>
    </row>
    <row r="1381" spans="2:13" ht="6" customHeight="1" thickBot="1" x14ac:dyDescent="0.3">
      <c r="B1381" s="373"/>
      <c r="C1381" s="373"/>
      <c r="D1381" s="373"/>
      <c r="E1381" s="373"/>
      <c r="F1381" s="373"/>
      <c r="G1381" s="373"/>
      <c r="H1381" s="373"/>
      <c r="I1381" s="373"/>
    </row>
    <row r="1382" spans="2:13" ht="17.25" customHeight="1" thickBot="1" x14ac:dyDescent="0.3">
      <c r="B1382" s="390" t="s">
        <v>297</v>
      </c>
      <c r="C1382" s="391"/>
      <c r="D1382" s="392"/>
      <c r="E1382" s="393"/>
      <c r="F1382" s="393"/>
      <c r="G1382" s="394"/>
      <c r="H1382" s="127" t="s">
        <v>298</v>
      </c>
      <c r="I1382" s="128"/>
    </row>
    <row r="1383" spans="2:13" ht="6" customHeight="1" thickBot="1" x14ac:dyDescent="0.3">
      <c r="B1383" s="373"/>
      <c r="C1383" s="373"/>
      <c r="D1383" s="373"/>
      <c r="E1383" s="373"/>
      <c r="F1383" s="373"/>
      <c r="G1383" s="373"/>
      <c r="H1383" s="373"/>
      <c r="I1383" s="373"/>
    </row>
    <row r="1384" spans="2:13" ht="19.5" customHeight="1" x14ac:dyDescent="0.25">
      <c r="B1384" s="261" t="s">
        <v>299</v>
      </c>
      <c r="C1384" s="129" t="s">
        <v>300</v>
      </c>
      <c r="D1384" s="130" t="s">
        <v>301</v>
      </c>
      <c r="E1384" s="130" t="s">
        <v>302</v>
      </c>
      <c r="F1384" s="398" t="s">
        <v>303</v>
      </c>
      <c r="G1384" s="399"/>
      <c r="H1384" s="400"/>
      <c r="I1384" s="131" t="s">
        <v>304</v>
      </c>
    </row>
    <row r="1385" spans="2:13" ht="11.25" customHeight="1" x14ac:dyDescent="0.25">
      <c r="B1385" s="262"/>
      <c r="C1385" s="132"/>
      <c r="D1385" s="132" t="s">
        <v>305</v>
      </c>
      <c r="E1385" s="132" t="s">
        <v>306</v>
      </c>
      <c r="F1385" s="395" t="s">
        <v>339</v>
      </c>
      <c r="G1385" s="396"/>
      <c r="H1385" s="397"/>
      <c r="I1385" s="133"/>
    </row>
    <row r="1386" spans="2:13" ht="28.5" customHeight="1" x14ac:dyDescent="0.25">
      <c r="B1386" s="263" t="s">
        <v>307</v>
      </c>
      <c r="C1386" s="383" t="s">
        <v>414</v>
      </c>
      <c r="D1386" s="384"/>
      <c r="E1386" s="384"/>
      <c r="F1386" s="384"/>
      <c r="G1386" s="384"/>
      <c r="H1386" s="384"/>
      <c r="I1386" s="385"/>
    </row>
    <row r="1387" spans="2:13" ht="10.5" customHeight="1" x14ac:dyDescent="0.25">
      <c r="B1387" s="264" t="s">
        <v>129</v>
      </c>
      <c r="C1387" s="388" t="s">
        <v>308</v>
      </c>
      <c r="D1387" s="389"/>
      <c r="E1387" s="389"/>
      <c r="F1387" s="389"/>
      <c r="G1387" s="389"/>
      <c r="H1387" s="389"/>
      <c r="I1387" s="134" t="s">
        <v>130</v>
      </c>
    </row>
    <row r="1388" spans="2:13" ht="50.25" customHeight="1" thickBot="1" x14ac:dyDescent="0.3">
      <c r="B1388" s="265">
        <v>6.1799999999999962</v>
      </c>
      <c r="C1388" s="386" t="s">
        <v>575</v>
      </c>
      <c r="D1388" s="387"/>
      <c r="E1388" s="387"/>
      <c r="F1388" s="387"/>
      <c r="G1388" s="387"/>
      <c r="H1388" s="387"/>
      <c r="I1388" s="135" t="s">
        <v>27</v>
      </c>
    </row>
    <row r="1389" spans="2:13" ht="6" customHeight="1" thickBot="1" x14ac:dyDescent="0.3">
      <c r="B1389" s="373"/>
      <c r="C1389" s="373"/>
      <c r="D1389" s="373"/>
      <c r="E1389" s="373"/>
      <c r="F1389" s="373"/>
      <c r="G1389" s="373"/>
      <c r="H1389" s="373"/>
      <c r="I1389" s="373"/>
    </row>
    <row r="1390" spans="2:13" x14ac:dyDescent="0.25">
      <c r="B1390" s="380" t="s">
        <v>309</v>
      </c>
      <c r="C1390" s="381"/>
      <c r="D1390" s="381"/>
      <c r="E1390" s="381"/>
      <c r="F1390" s="381"/>
      <c r="G1390" s="381"/>
      <c r="H1390" s="381"/>
      <c r="I1390" s="382"/>
      <c r="K1390" s="182"/>
    </row>
    <row r="1391" spans="2:13" ht="11.25" customHeight="1" x14ac:dyDescent="0.25">
      <c r="B1391" s="377" t="s">
        <v>310</v>
      </c>
      <c r="C1391" s="378"/>
      <c r="D1391" s="379"/>
      <c r="E1391" s="136"/>
      <c r="F1391" s="137" t="s">
        <v>311</v>
      </c>
      <c r="G1391" s="137" t="s">
        <v>312</v>
      </c>
      <c r="H1391" s="137" t="s">
        <v>313</v>
      </c>
      <c r="I1391" s="138" t="s">
        <v>314</v>
      </c>
      <c r="L1391" s="139"/>
      <c r="M1391" s="139"/>
    </row>
    <row r="1392" spans="2:13" ht="11.25" customHeight="1" x14ac:dyDescent="0.25">
      <c r="B1392" s="362" t="s">
        <v>315</v>
      </c>
      <c r="C1392" s="363"/>
      <c r="D1392" s="363"/>
      <c r="E1392" s="160"/>
      <c r="F1392" s="161" t="s">
        <v>316</v>
      </c>
      <c r="G1392" s="160">
        <v>5000</v>
      </c>
      <c r="H1392" s="142">
        <v>1</v>
      </c>
      <c r="I1392" s="143">
        <f>G1392*H1392</f>
        <v>5000</v>
      </c>
    </row>
    <row r="1393" spans="2:15" ht="16.5" customHeight="1" x14ac:dyDescent="0.25">
      <c r="B1393" s="362" t="s">
        <v>355</v>
      </c>
      <c r="C1393" s="363"/>
      <c r="D1393" s="363"/>
      <c r="E1393" s="160"/>
      <c r="F1393" s="161" t="s">
        <v>317</v>
      </c>
      <c r="G1393" s="160">
        <v>90000</v>
      </c>
      <c r="H1393" s="142">
        <v>1</v>
      </c>
      <c r="I1393" s="143">
        <f>G1393*H1393</f>
        <v>90000</v>
      </c>
    </row>
    <row r="1394" spans="2:15" ht="10.5" customHeight="1" thickBot="1" x14ac:dyDescent="0.3">
      <c r="B1394" s="371" t="s">
        <v>318</v>
      </c>
      <c r="C1394" s="372"/>
      <c r="D1394" s="372"/>
      <c r="E1394" s="372"/>
      <c r="F1394" s="372"/>
      <c r="G1394" s="372"/>
      <c r="H1394" s="372"/>
      <c r="I1394" s="144">
        <f>SUM(I1392:I1393)</f>
        <v>95000</v>
      </c>
      <c r="N1394" s="150"/>
    </row>
    <row r="1395" spans="2:15" ht="6" customHeight="1" thickBot="1" x14ac:dyDescent="0.3">
      <c r="B1395" s="373"/>
      <c r="C1395" s="373"/>
      <c r="D1395" s="373"/>
      <c r="E1395" s="373"/>
      <c r="F1395" s="373"/>
      <c r="G1395" s="373"/>
      <c r="H1395" s="373"/>
      <c r="I1395" s="373"/>
    </row>
    <row r="1396" spans="2:15" s="145" customFormat="1" x14ac:dyDescent="0.25">
      <c r="B1396" s="380" t="s">
        <v>319</v>
      </c>
      <c r="C1396" s="381"/>
      <c r="D1396" s="381"/>
      <c r="E1396" s="381"/>
      <c r="F1396" s="381"/>
      <c r="G1396" s="381"/>
      <c r="H1396" s="381"/>
      <c r="I1396" s="382"/>
    </row>
    <row r="1397" spans="2:15" s="145" customFormat="1" ht="15.75" customHeight="1" x14ac:dyDescent="0.25">
      <c r="B1397" s="377" t="s">
        <v>310</v>
      </c>
      <c r="C1397" s="378"/>
      <c r="D1397" s="379"/>
      <c r="E1397" s="137"/>
      <c r="F1397" s="137" t="s">
        <v>320</v>
      </c>
      <c r="G1397" s="137" t="s">
        <v>321</v>
      </c>
      <c r="H1397" s="137" t="s">
        <v>322</v>
      </c>
      <c r="I1397" s="138" t="s">
        <v>314</v>
      </c>
    </row>
    <row r="1398" spans="2:15" ht="74.25" customHeight="1" x14ac:dyDescent="0.25">
      <c r="B1398" s="436" t="s">
        <v>575</v>
      </c>
      <c r="C1398" s="437"/>
      <c r="D1398" s="438"/>
      <c r="E1398" s="163"/>
      <c r="F1398" s="161" t="s">
        <v>27</v>
      </c>
      <c r="G1398" s="160">
        <f>4608265-2844588+1+2363017-2281275</f>
        <v>1845420</v>
      </c>
      <c r="H1398" s="142">
        <v>1</v>
      </c>
      <c r="I1398" s="143">
        <f>G1398*H1398</f>
        <v>1845420</v>
      </c>
      <c r="M1398">
        <v>4608265</v>
      </c>
    </row>
    <row r="1399" spans="2:15" ht="18" customHeight="1" thickBot="1" x14ac:dyDescent="0.3">
      <c r="B1399" s="371" t="s">
        <v>318</v>
      </c>
      <c r="C1399" s="372"/>
      <c r="D1399" s="372"/>
      <c r="E1399" s="372"/>
      <c r="F1399" s="372"/>
      <c r="G1399" s="372"/>
      <c r="H1399" s="372"/>
      <c r="I1399" s="144">
        <f>SUM(I1398:I1398)</f>
        <v>1845420</v>
      </c>
      <c r="N1399" s="150"/>
    </row>
    <row r="1400" spans="2:15" ht="6" customHeight="1" thickBot="1" x14ac:dyDescent="0.3">
      <c r="B1400" s="373"/>
      <c r="C1400" s="373"/>
      <c r="D1400" s="373"/>
      <c r="E1400" s="373"/>
      <c r="F1400" s="373"/>
      <c r="G1400" s="373"/>
      <c r="H1400" s="373"/>
      <c r="I1400" s="373"/>
    </row>
    <row r="1401" spans="2:15" s="145" customFormat="1" x14ac:dyDescent="0.25">
      <c r="B1401" s="380" t="s">
        <v>323</v>
      </c>
      <c r="C1401" s="381"/>
      <c r="D1401" s="381"/>
      <c r="E1401" s="381"/>
      <c r="F1401" s="381"/>
      <c r="G1401" s="381"/>
      <c r="H1401" s="381"/>
      <c r="I1401" s="382"/>
      <c r="L1401" s="146"/>
      <c r="M1401" s="146"/>
    </row>
    <row r="1402" spans="2:15" s="145" customFormat="1" x14ac:dyDescent="0.25">
      <c r="B1402" s="377" t="s">
        <v>324</v>
      </c>
      <c r="C1402" s="378"/>
      <c r="D1402" s="379"/>
      <c r="E1402" s="137" t="s">
        <v>325</v>
      </c>
      <c r="F1402" s="137" t="s">
        <v>326</v>
      </c>
      <c r="G1402" s="137" t="s">
        <v>130</v>
      </c>
      <c r="H1402" s="137" t="s">
        <v>327</v>
      </c>
      <c r="I1402" s="138" t="s">
        <v>314</v>
      </c>
      <c r="K1402" s="260"/>
      <c r="N1402" s="183"/>
      <c r="O1402" s="148"/>
    </row>
    <row r="1403" spans="2:15" ht="11.25" customHeight="1" x14ac:dyDescent="0.25">
      <c r="B1403" s="362" t="s">
        <v>711</v>
      </c>
      <c r="C1403" s="363"/>
      <c r="D1403" s="363"/>
      <c r="E1403" s="170">
        <v>1</v>
      </c>
      <c r="F1403" s="164"/>
      <c r="G1403" s="161"/>
      <c r="H1403" s="162">
        <v>25000</v>
      </c>
      <c r="I1403" s="143">
        <f>H1403*E1403</f>
        <v>25000</v>
      </c>
    </row>
    <row r="1404" spans="2:15" ht="10.5" customHeight="1" thickBot="1" x14ac:dyDescent="0.3">
      <c r="B1404" s="371" t="s">
        <v>318</v>
      </c>
      <c r="C1404" s="372"/>
      <c r="D1404" s="372"/>
      <c r="E1404" s="372"/>
      <c r="F1404" s="372"/>
      <c r="G1404" s="372"/>
      <c r="H1404" s="372"/>
      <c r="I1404" s="144">
        <f>SUM(I1403:I1403)</f>
        <v>25000</v>
      </c>
      <c r="N1404" s="150"/>
    </row>
    <row r="1405" spans="2:15" ht="6" customHeight="1" thickBot="1" x14ac:dyDescent="0.3">
      <c r="B1405" s="373"/>
      <c r="C1405" s="373"/>
      <c r="D1405" s="373"/>
      <c r="E1405" s="373"/>
      <c r="F1405" s="373"/>
      <c r="G1405" s="373"/>
      <c r="H1405" s="373"/>
      <c r="I1405" s="373"/>
    </row>
    <row r="1406" spans="2:15" s="145" customFormat="1" ht="20.100000000000001" customHeight="1" x14ac:dyDescent="0.25">
      <c r="B1406" s="380" t="s">
        <v>328</v>
      </c>
      <c r="C1406" s="381"/>
      <c r="D1406" s="381"/>
      <c r="E1406" s="381"/>
      <c r="F1406" s="381"/>
      <c r="G1406" s="381"/>
      <c r="H1406" s="381"/>
      <c r="I1406" s="382"/>
      <c r="K1406" s="147"/>
      <c r="N1406" s="148"/>
      <c r="O1406" s="149"/>
    </row>
    <row r="1407" spans="2:15" s="145" customFormat="1" ht="20.100000000000001" customHeight="1" x14ac:dyDescent="0.25">
      <c r="B1407" s="377" t="s">
        <v>329</v>
      </c>
      <c r="C1407" s="379"/>
      <c r="D1407" s="137" t="s">
        <v>322</v>
      </c>
      <c r="E1407" s="137" t="s">
        <v>330</v>
      </c>
      <c r="F1407" s="137" t="s">
        <v>331</v>
      </c>
      <c r="G1407" s="137" t="s">
        <v>332</v>
      </c>
      <c r="H1407" s="137" t="s">
        <v>313</v>
      </c>
      <c r="I1407" s="138" t="s">
        <v>314</v>
      </c>
      <c r="K1407" s="147">
        <f>+I1413-K1409</f>
        <v>0</v>
      </c>
      <c r="O1407" s="179"/>
    </row>
    <row r="1408" spans="2:15" s="151" customFormat="1" ht="9.75" customHeight="1" x14ac:dyDescent="0.25">
      <c r="B1408" s="367" t="s">
        <v>356</v>
      </c>
      <c r="C1408" s="368"/>
      <c r="D1408" s="180">
        <v>1</v>
      </c>
      <c r="E1408" s="141">
        <v>140000</v>
      </c>
      <c r="F1408" s="141">
        <f>+E1408*0.8</f>
        <v>112000</v>
      </c>
      <c r="G1408" s="178">
        <f>D1408*E1408+F1408*D1408</f>
        <v>252000</v>
      </c>
      <c r="H1408" s="184">
        <v>3</v>
      </c>
      <c r="I1408" s="143">
        <f>+G1408/H1408</f>
        <v>84000</v>
      </c>
      <c r="J1408" s="145"/>
      <c r="K1408" s="147"/>
    </row>
    <row r="1409" spans="2:14" s="151" customFormat="1" ht="11.25" customHeight="1" x14ac:dyDescent="0.25">
      <c r="B1409" s="367" t="s">
        <v>374</v>
      </c>
      <c r="C1409" s="368"/>
      <c r="D1409" s="180">
        <v>1</v>
      </c>
      <c r="E1409" s="141">
        <v>80000</v>
      </c>
      <c r="F1409" s="141">
        <f>+E1409*0.8</f>
        <v>64000</v>
      </c>
      <c r="G1409" s="178">
        <f>D1409*E1409+F1409*D1409</f>
        <v>144000</v>
      </c>
      <c r="H1409" s="184">
        <f>+H1408</f>
        <v>3</v>
      </c>
      <c r="I1409" s="143">
        <f>+G1409/H1409</f>
        <v>48000</v>
      </c>
      <c r="J1409" s="145"/>
      <c r="K1409" s="147">
        <v>2163420</v>
      </c>
      <c r="L1409" s="179"/>
      <c r="M1409" s="179"/>
    </row>
    <row r="1410" spans="2:14" s="145" customFormat="1" ht="10.5" customHeight="1" x14ac:dyDescent="0.25">
      <c r="B1410" s="367" t="s">
        <v>333</v>
      </c>
      <c r="C1410" s="368"/>
      <c r="D1410" s="180">
        <v>2</v>
      </c>
      <c r="E1410" s="141">
        <v>55000</v>
      </c>
      <c r="F1410" s="141">
        <f>+E1410*0.8</f>
        <v>44000</v>
      </c>
      <c r="G1410" s="178">
        <f>D1410*E1410+F1410*D1410</f>
        <v>198000</v>
      </c>
      <c r="H1410" s="184">
        <f>+H1408</f>
        <v>3</v>
      </c>
      <c r="I1410" s="143">
        <f>+G1410/H1410</f>
        <v>66000</v>
      </c>
      <c r="K1410" s="147"/>
    </row>
    <row r="1411" spans="2:14" ht="10.5" customHeight="1" thickBot="1" x14ac:dyDescent="0.3">
      <c r="B1411" s="371" t="s">
        <v>318</v>
      </c>
      <c r="C1411" s="372"/>
      <c r="D1411" s="372"/>
      <c r="E1411" s="372"/>
      <c r="F1411" s="372"/>
      <c r="G1411" s="372"/>
      <c r="H1411" s="372"/>
      <c r="I1411" s="144">
        <f>SUM(I1408:I1410)</f>
        <v>198000</v>
      </c>
      <c r="K1411" s="281"/>
      <c r="N1411" s="150"/>
    </row>
    <row r="1412" spans="2:14" ht="6" customHeight="1" thickBot="1" x14ac:dyDescent="0.3">
      <c r="B1412" s="373"/>
      <c r="C1412" s="373"/>
      <c r="D1412" s="373"/>
      <c r="E1412" s="373"/>
      <c r="F1412" s="373"/>
      <c r="G1412" s="373"/>
      <c r="H1412" s="373"/>
      <c r="I1412" s="373"/>
    </row>
    <row r="1413" spans="2:14" ht="10.5" customHeight="1" thickBot="1" x14ac:dyDescent="0.3">
      <c r="B1413" s="374" t="s">
        <v>334</v>
      </c>
      <c r="C1413" s="375"/>
      <c r="D1413" s="375"/>
      <c r="E1413" s="375"/>
      <c r="F1413" s="375"/>
      <c r="G1413" s="375"/>
      <c r="H1413" s="376"/>
      <c r="I1413" s="152">
        <f>ROUND(+I1394+I1399+I1404+I1411,0)</f>
        <v>2163420</v>
      </c>
      <c r="J1413" s="281"/>
      <c r="K1413" s="169"/>
      <c r="L1413" s="181"/>
      <c r="M1413" s="181"/>
      <c r="N1413" s="153"/>
    </row>
    <row r="1414" spans="2:14" ht="6" customHeight="1" thickBot="1" x14ac:dyDescent="0.3">
      <c r="B1414" s="373"/>
      <c r="C1414" s="373"/>
      <c r="D1414" s="373"/>
      <c r="E1414" s="373"/>
      <c r="F1414" s="373"/>
      <c r="G1414" s="373"/>
      <c r="H1414" s="373"/>
      <c r="I1414" s="373"/>
    </row>
    <row r="1415" spans="2:14" ht="8.25" customHeight="1" x14ac:dyDescent="0.25">
      <c r="B1415" s="433" t="s">
        <v>335</v>
      </c>
      <c r="C1415" s="417"/>
      <c r="D1415" s="418"/>
      <c r="E1415" s="418"/>
      <c r="F1415" s="419"/>
      <c r="G1415" s="369" t="s">
        <v>336</v>
      </c>
      <c r="H1415" s="370"/>
      <c r="I1415" s="370"/>
    </row>
    <row r="1416" spans="2:14" ht="33.75" customHeight="1" x14ac:dyDescent="0.25">
      <c r="B1416" s="434"/>
      <c r="C1416" s="420"/>
      <c r="D1416" s="421"/>
      <c r="E1416" s="421"/>
      <c r="F1416" s="422"/>
      <c r="G1416" s="430" t="s">
        <v>337</v>
      </c>
      <c r="H1416" s="431"/>
      <c r="I1416" s="431"/>
      <c r="L1416" s="181"/>
      <c r="M1416" s="181"/>
      <c r="N1416" s="179"/>
    </row>
    <row r="1417" spans="2:14" ht="13.5" customHeight="1" x14ac:dyDescent="0.25">
      <c r="B1417" s="434"/>
      <c r="C1417" s="420"/>
      <c r="D1417" s="421"/>
      <c r="E1417" s="421"/>
      <c r="F1417" s="422"/>
      <c r="G1417" s="154" t="s">
        <v>92</v>
      </c>
      <c r="H1417" s="432" t="s">
        <v>93</v>
      </c>
      <c r="I1417" s="432"/>
    </row>
    <row r="1418" spans="2:14" ht="16.5" customHeight="1" x14ac:dyDescent="0.25">
      <c r="B1418" s="435"/>
      <c r="C1418" s="420"/>
      <c r="D1418" s="421"/>
      <c r="E1418" s="421"/>
      <c r="F1418" s="422"/>
      <c r="G1418" s="155" t="s">
        <v>94</v>
      </c>
      <c r="H1418" s="156" t="s">
        <v>95</v>
      </c>
      <c r="I1418" s="157" t="s">
        <v>96</v>
      </c>
    </row>
    <row r="1419" spans="2:14" x14ac:dyDescent="0.25">
      <c r="B1419" s="268" t="s">
        <v>18</v>
      </c>
      <c r="C1419" s="427"/>
      <c r="D1419" s="428"/>
      <c r="E1419" s="428"/>
      <c r="F1419" s="429"/>
      <c r="G1419" s="155" t="s">
        <v>98</v>
      </c>
      <c r="H1419" s="157" t="s">
        <v>99</v>
      </c>
      <c r="I1419" s="157" t="s">
        <v>100</v>
      </c>
    </row>
    <row r="1420" spans="2:14" x14ac:dyDescent="0.25">
      <c r="B1420" s="269" t="s">
        <v>97</v>
      </c>
      <c r="C1420" s="427"/>
      <c r="D1420" s="428"/>
      <c r="E1420" s="428"/>
      <c r="F1420" s="429"/>
      <c r="G1420" s="154" t="s">
        <v>338</v>
      </c>
      <c r="H1420" s="426"/>
      <c r="I1420" s="426"/>
    </row>
    <row r="1421" spans="2:14" ht="15.75" thickBot="1" x14ac:dyDescent="0.3">
      <c r="B1421" s="270" t="s">
        <v>101</v>
      </c>
      <c r="C1421" s="423"/>
      <c r="D1421" s="424"/>
      <c r="E1421" s="424"/>
      <c r="F1421" s="425"/>
      <c r="G1421" s="154" t="s">
        <v>102</v>
      </c>
      <c r="H1421" s="426" t="s">
        <v>103</v>
      </c>
      <c r="I1421" s="426"/>
    </row>
    <row r="1422" spans="2:14" ht="45" customHeight="1" thickBot="1" x14ac:dyDescent="0.3">
      <c r="B1422" s="401"/>
      <c r="C1422" s="402"/>
      <c r="D1422" s="402"/>
      <c r="E1422" s="402"/>
      <c r="F1422" s="403" t="s">
        <v>0</v>
      </c>
      <c r="G1422" s="403"/>
      <c r="H1422" s="403"/>
      <c r="I1422" s="404"/>
    </row>
    <row r="1423" spans="2:14" ht="6" customHeight="1" thickBot="1" x14ac:dyDescent="0.3">
      <c r="B1423" s="373"/>
      <c r="C1423" s="373"/>
      <c r="D1423" s="373"/>
      <c r="E1423" s="373"/>
      <c r="F1423" s="373"/>
      <c r="G1423" s="373"/>
      <c r="H1423" s="373"/>
      <c r="I1423" s="373"/>
    </row>
    <row r="1424" spans="2:14" ht="10.5" customHeight="1" x14ac:dyDescent="0.25">
      <c r="B1424" s="405" t="s">
        <v>294</v>
      </c>
      <c r="C1424" s="406"/>
      <c r="D1424" s="407" t="s">
        <v>295</v>
      </c>
      <c r="E1424" s="409" t="s">
        <v>296</v>
      </c>
      <c r="F1424" s="410"/>
      <c r="G1424" s="410"/>
      <c r="H1424" s="410"/>
      <c r="I1424" s="411"/>
    </row>
    <row r="1425" spans="2:14" ht="9" customHeight="1" thickBot="1" x14ac:dyDescent="0.3">
      <c r="B1425" s="415"/>
      <c r="C1425" s="416"/>
      <c r="D1425" s="408"/>
      <c r="E1425" s="412"/>
      <c r="F1425" s="413"/>
      <c r="G1425" s="413"/>
      <c r="H1425" s="413"/>
      <c r="I1425" s="414"/>
    </row>
    <row r="1426" spans="2:14" ht="6" customHeight="1" thickBot="1" x14ac:dyDescent="0.3">
      <c r="B1426" s="373"/>
      <c r="C1426" s="373"/>
      <c r="D1426" s="373"/>
      <c r="E1426" s="373"/>
      <c r="F1426" s="373"/>
      <c r="G1426" s="373"/>
      <c r="H1426" s="373"/>
      <c r="I1426" s="373"/>
    </row>
    <row r="1427" spans="2:14" ht="17.25" customHeight="1" thickBot="1" x14ac:dyDescent="0.3">
      <c r="B1427" s="390" t="s">
        <v>297</v>
      </c>
      <c r="C1427" s="391"/>
      <c r="D1427" s="392"/>
      <c r="E1427" s="393"/>
      <c r="F1427" s="393"/>
      <c r="G1427" s="394"/>
      <c r="H1427" s="127" t="s">
        <v>298</v>
      </c>
      <c r="I1427" s="128"/>
    </row>
    <row r="1428" spans="2:14" ht="6" customHeight="1" thickBot="1" x14ac:dyDescent="0.3">
      <c r="B1428" s="373"/>
      <c r="C1428" s="373"/>
      <c r="D1428" s="373"/>
      <c r="E1428" s="373"/>
      <c r="F1428" s="373"/>
      <c r="G1428" s="373"/>
      <c r="H1428" s="373"/>
      <c r="I1428" s="373"/>
    </row>
    <row r="1429" spans="2:14" ht="19.5" customHeight="1" x14ac:dyDescent="0.25">
      <c r="B1429" s="261" t="s">
        <v>299</v>
      </c>
      <c r="C1429" s="129" t="s">
        <v>300</v>
      </c>
      <c r="D1429" s="130" t="s">
        <v>301</v>
      </c>
      <c r="E1429" s="130" t="s">
        <v>302</v>
      </c>
      <c r="F1429" s="398" t="s">
        <v>303</v>
      </c>
      <c r="G1429" s="399"/>
      <c r="H1429" s="400"/>
      <c r="I1429" s="131" t="s">
        <v>304</v>
      </c>
    </row>
    <row r="1430" spans="2:14" ht="11.25" customHeight="1" x14ac:dyDescent="0.25">
      <c r="B1430" s="262"/>
      <c r="C1430" s="132"/>
      <c r="D1430" s="132" t="s">
        <v>305</v>
      </c>
      <c r="E1430" s="132" t="s">
        <v>306</v>
      </c>
      <c r="F1430" s="395" t="s">
        <v>339</v>
      </c>
      <c r="G1430" s="396"/>
      <c r="H1430" s="397"/>
      <c r="I1430" s="133"/>
    </row>
    <row r="1431" spans="2:14" ht="28.5" customHeight="1" x14ac:dyDescent="0.25">
      <c r="B1431" s="263" t="s">
        <v>307</v>
      </c>
      <c r="C1431" s="383" t="s">
        <v>414</v>
      </c>
      <c r="D1431" s="384"/>
      <c r="E1431" s="384"/>
      <c r="F1431" s="384"/>
      <c r="G1431" s="384"/>
      <c r="H1431" s="384"/>
      <c r="I1431" s="385"/>
    </row>
    <row r="1432" spans="2:14" ht="10.5" customHeight="1" x14ac:dyDescent="0.25">
      <c r="B1432" s="264" t="s">
        <v>129</v>
      </c>
      <c r="C1432" s="388" t="s">
        <v>308</v>
      </c>
      <c r="D1432" s="389"/>
      <c r="E1432" s="389"/>
      <c r="F1432" s="389"/>
      <c r="G1432" s="389"/>
      <c r="H1432" s="389"/>
      <c r="I1432" s="134" t="s">
        <v>130</v>
      </c>
    </row>
    <row r="1433" spans="2:14" ht="50.25" customHeight="1" thickBot="1" x14ac:dyDescent="0.3">
      <c r="B1433" s="265">
        <v>6.19</v>
      </c>
      <c r="C1433" s="386" t="s">
        <v>576</v>
      </c>
      <c r="D1433" s="387"/>
      <c r="E1433" s="387"/>
      <c r="F1433" s="387"/>
      <c r="G1433" s="387"/>
      <c r="H1433" s="387"/>
      <c r="I1433" s="135" t="s">
        <v>27</v>
      </c>
    </row>
    <row r="1434" spans="2:14" ht="6" customHeight="1" thickBot="1" x14ac:dyDescent="0.3">
      <c r="B1434" s="373"/>
      <c r="C1434" s="373"/>
      <c r="D1434" s="373"/>
      <c r="E1434" s="373"/>
      <c r="F1434" s="373"/>
      <c r="G1434" s="373"/>
      <c r="H1434" s="373"/>
      <c r="I1434" s="373"/>
    </row>
    <row r="1435" spans="2:14" x14ac:dyDescent="0.25">
      <c r="B1435" s="380" t="s">
        <v>309</v>
      </c>
      <c r="C1435" s="381"/>
      <c r="D1435" s="381"/>
      <c r="E1435" s="381"/>
      <c r="F1435" s="381"/>
      <c r="G1435" s="381"/>
      <c r="H1435" s="381"/>
      <c r="I1435" s="382"/>
      <c r="K1435" s="182"/>
    </row>
    <row r="1436" spans="2:14" ht="11.25" customHeight="1" x14ac:dyDescent="0.25">
      <c r="B1436" s="377" t="s">
        <v>310</v>
      </c>
      <c r="C1436" s="378"/>
      <c r="D1436" s="379"/>
      <c r="E1436" s="136"/>
      <c r="F1436" s="137" t="s">
        <v>311</v>
      </c>
      <c r="G1436" s="137" t="s">
        <v>312</v>
      </c>
      <c r="H1436" s="137" t="s">
        <v>313</v>
      </c>
      <c r="I1436" s="138" t="s">
        <v>314</v>
      </c>
      <c r="L1436" s="139"/>
      <c r="M1436" s="139"/>
    </row>
    <row r="1437" spans="2:14" ht="11.25" customHeight="1" x14ac:dyDescent="0.25">
      <c r="B1437" s="362" t="s">
        <v>315</v>
      </c>
      <c r="C1437" s="363"/>
      <c r="D1437" s="363"/>
      <c r="E1437" s="160"/>
      <c r="F1437" s="161" t="s">
        <v>316</v>
      </c>
      <c r="G1437" s="160">
        <v>5000</v>
      </c>
      <c r="H1437" s="142">
        <v>1.8</v>
      </c>
      <c r="I1437" s="143">
        <f>G1437*H1437</f>
        <v>9000</v>
      </c>
    </row>
    <row r="1438" spans="2:14" ht="16.5" customHeight="1" x14ac:dyDescent="0.25">
      <c r="B1438" s="362" t="s">
        <v>355</v>
      </c>
      <c r="C1438" s="363"/>
      <c r="D1438" s="363"/>
      <c r="E1438" s="160"/>
      <c r="F1438" s="161" t="s">
        <v>317</v>
      </c>
      <c r="G1438" s="160">
        <v>90000</v>
      </c>
      <c r="H1438" s="142">
        <v>1.8</v>
      </c>
      <c r="I1438" s="143">
        <f>G1438*H1438</f>
        <v>162000</v>
      </c>
    </row>
    <row r="1439" spans="2:14" ht="10.5" customHeight="1" thickBot="1" x14ac:dyDescent="0.3">
      <c r="B1439" s="371" t="s">
        <v>318</v>
      </c>
      <c r="C1439" s="372"/>
      <c r="D1439" s="372"/>
      <c r="E1439" s="372"/>
      <c r="F1439" s="372"/>
      <c r="G1439" s="372"/>
      <c r="H1439" s="372"/>
      <c r="I1439" s="144">
        <f>SUM(I1437:I1438)</f>
        <v>171000</v>
      </c>
      <c r="N1439" s="150"/>
    </row>
    <row r="1440" spans="2:14" ht="6" customHeight="1" thickBot="1" x14ac:dyDescent="0.3">
      <c r="B1440" s="373"/>
      <c r="C1440" s="373"/>
      <c r="D1440" s="373"/>
      <c r="E1440" s="373"/>
      <c r="F1440" s="373"/>
      <c r="G1440" s="373"/>
      <c r="H1440" s="373"/>
      <c r="I1440" s="373"/>
    </row>
    <row r="1441" spans="2:15" s="145" customFormat="1" x14ac:dyDescent="0.25">
      <c r="B1441" s="380" t="s">
        <v>319</v>
      </c>
      <c r="C1441" s="381"/>
      <c r="D1441" s="381"/>
      <c r="E1441" s="381"/>
      <c r="F1441" s="381"/>
      <c r="G1441" s="381"/>
      <c r="H1441" s="381"/>
      <c r="I1441" s="382"/>
    </row>
    <row r="1442" spans="2:15" s="145" customFormat="1" ht="15.75" customHeight="1" x14ac:dyDescent="0.25">
      <c r="B1442" s="377" t="s">
        <v>310</v>
      </c>
      <c r="C1442" s="378"/>
      <c r="D1442" s="379"/>
      <c r="E1442" s="137"/>
      <c r="F1442" s="137" t="s">
        <v>320</v>
      </c>
      <c r="G1442" s="137" t="s">
        <v>321</v>
      </c>
      <c r="H1442" s="137" t="s">
        <v>322</v>
      </c>
      <c r="I1442" s="138" t="s">
        <v>314</v>
      </c>
    </row>
    <row r="1443" spans="2:15" ht="74.25" customHeight="1" x14ac:dyDescent="0.25">
      <c r="B1443" s="436" t="s">
        <v>576</v>
      </c>
      <c r="C1443" s="437"/>
      <c r="D1443" s="438"/>
      <c r="E1443" s="163"/>
      <c r="F1443" s="161" t="s">
        <v>27</v>
      </c>
      <c r="G1443" s="160">
        <f>4608265-2844588+1+2363017-2281275+6608683</f>
        <v>8454103</v>
      </c>
      <c r="H1443" s="142">
        <v>1</v>
      </c>
      <c r="I1443" s="143">
        <f>G1443*H1443</f>
        <v>8454103</v>
      </c>
      <c r="M1443">
        <v>4608265</v>
      </c>
    </row>
    <row r="1444" spans="2:15" ht="18" customHeight="1" thickBot="1" x14ac:dyDescent="0.3">
      <c r="B1444" s="371" t="s">
        <v>318</v>
      </c>
      <c r="C1444" s="372"/>
      <c r="D1444" s="372"/>
      <c r="E1444" s="372"/>
      <c r="F1444" s="372"/>
      <c r="G1444" s="372"/>
      <c r="H1444" s="372"/>
      <c r="I1444" s="144">
        <f>SUM(I1443:I1443)</f>
        <v>8454103</v>
      </c>
      <c r="N1444" s="150"/>
    </row>
    <row r="1445" spans="2:15" ht="6" customHeight="1" thickBot="1" x14ac:dyDescent="0.3">
      <c r="B1445" s="373"/>
      <c r="C1445" s="373"/>
      <c r="D1445" s="373"/>
      <c r="E1445" s="373"/>
      <c r="F1445" s="373"/>
      <c r="G1445" s="373"/>
      <c r="H1445" s="373"/>
      <c r="I1445" s="373"/>
    </row>
    <row r="1446" spans="2:15" s="145" customFormat="1" x14ac:dyDescent="0.25">
      <c r="B1446" s="380" t="s">
        <v>323</v>
      </c>
      <c r="C1446" s="381"/>
      <c r="D1446" s="381"/>
      <c r="E1446" s="381"/>
      <c r="F1446" s="381"/>
      <c r="G1446" s="381"/>
      <c r="H1446" s="381"/>
      <c r="I1446" s="382"/>
      <c r="L1446" s="146"/>
      <c r="M1446" s="146"/>
    </row>
    <row r="1447" spans="2:15" s="145" customFormat="1" x14ac:dyDescent="0.25">
      <c r="B1447" s="377" t="s">
        <v>324</v>
      </c>
      <c r="C1447" s="378"/>
      <c r="D1447" s="379"/>
      <c r="E1447" s="137" t="s">
        <v>325</v>
      </c>
      <c r="F1447" s="137" t="s">
        <v>326</v>
      </c>
      <c r="G1447" s="137" t="s">
        <v>130</v>
      </c>
      <c r="H1447" s="137" t="s">
        <v>327</v>
      </c>
      <c r="I1447" s="138" t="s">
        <v>314</v>
      </c>
      <c r="K1447" s="260"/>
      <c r="N1447" s="183"/>
      <c r="O1447" s="148"/>
    </row>
    <row r="1448" spans="2:15" ht="11.25" customHeight="1" x14ac:dyDescent="0.25">
      <c r="B1448" s="362" t="s">
        <v>711</v>
      </c>
      <c r="C1448" s="363"/>
      <c r="D1448" s="363"/>
      <c r="E1448" s="170">
        <v>1</v>
      </c>
      <c r="F1448" s="164"/>
      <c r="G1448" s="161"/>
      <c r="H1448" s="162">
        <v>85000</v>
      </c>
      <c r="I1448" s="143">
        <f>H1448*E1448</f>
        <v>85000</v>
      </c>
      <c r="K1448" s="281">
        <f>+K1451-I1458</f>
        <v>-0.5</v>
      </c>
    </row>
    <row r="1449" spans="2:15" ht="10.5" customHeight="1" thickBot="1" x14ac:dyDescent="0.3">
      <c r="B1449" s="371" t="s">
        <v>318</v>
      </c>
      <c r="C1449" s="372"/>
      <c r="D1449" s="372"/>
      <c r="E1449" s="372"/>
      <c r="F1449" s="372"/>
      <c r="G1449" s="372"/>
      <c r="H1449" s="372"/>
      <c r="I1449" s="144">
        <f>SUM(I1448:I1448)</f>
        <v>85000</v>
      </c>
      <c r="N1449" s="150"/>
    </row>
    <row r="1450" spans="2:15" ht="6" customHeight="1" thickBot="1" x14ac:dyDescent="0.3">
      <c r="B1450" s="373"/>
      <c r="C1450" s="373"/>
      <c r="D1450" s="373"/>
      <c r="E1450" s="373"/>
      <c r="F1450" s="373"/>
      <c r="G1450" s="373"/>
      <c r="H1450" s="373"/>
      <c r="I1450" s="373"/>
    </row>
    <row r="1451" spans="2:15" s="145" customFormat="1" ht="20.100000000000001" customHeight="1" x14ac:dyDescent="0.25">
      <c r="B1451" s="380" t="s">
        <v>328</v>
      </c>
      <c r="C1451" s="381"/>
      <c r="D1451" s="381"/>
      <c r="E1451" s="381"/>
      <c r="F1451" s="381"/>
      <c r="G1451" s="381"/>
      <c r="H1451" s="381"/>
      <c r="I1451" s="382"/>
      <c r="K1451" s="147">
        <v>10186102.5</v>
      </c>
      <c r="N1451" s="148"/>
      <c r="O1451" s="149"/>
    </row>
    <row r="1452" spans="2:15" s="145" customFormat="1" ht="20.100000000000001" customHeight="1" x14ac:dyDescent="0.25">
      <c r="B1452" s="377" t="s">
        <v>329</v>
      </c>
      <c r="C1452" s="379"/>
      <c r="D1452" s="137" t="s">
        <v>322</v>
      </c>
      <c r="E1452" s="137" t="s">
        <v>330</v>
      </c>
      <c r="F1452" s="137" t="s">
        <v>331</v>
      </c>
      <c r="G1452" s="137" t="s">
        <v>332</v>
      </c>
      <c r="H1452" s="137" t="s">
        <v>313</v>
      </c>
      <c r="I1452" s="138" t="s">
        <v>314</v>
      </c>
      <c r="K1452" s="147"/>
      <c r="O1452" s="179"/>
    </row>
    <row r="1453" spans="2:15" s="151" customFormat="1" ht="9.75" customHeight="1" x14ac:dyDescent="0.25">
      <c r="B1453" s="367" t="s">
        <v>356</v>
      </c>
      <c r="C1453" s="368"/>
      <c r="D1453" s="180">
        <v>1</v>
      </c>
      <c r="E1453" s="141">
        <v>140000</v>
      </c>
      <c r="F1453" s="141">
        <f>+E1453*0.8</f>
        <v>112000</v>
      </c>
      <c r="G1453" s="178">
        <f>D1453*E1453+F1453*D1453</f>
        <v>252000</v>
      </c>
      <c r="H1453" s="184">
        <v>0.5</v>
      </c>
      <c r="I1453" s="143">
        <f>+G1453/H1453</f>
        <v>504000</v>
      </c>
      <c r="J1453" s="145"/>
      <c r="K1453" s="147"/>
    </row>
    <row r="1454" spans="2:15" s="151" customFormat="1" ht="11.25" customHeight="1" x14ac:dyDescent="0.25">
      <c r="B1454" s="367" t="s">
        <v>374</v>
      </c>
      <c r="C1454" s="368"/>
      <c r="D1454" s="180">
        <v>2</v>
      </c>
      <c r="E1454" s="141">
        <v>80000</v>
      </c>
      <c r="F1454" s="141">
        <f>+E1454*0.8</f>
        <v>64000</v>
      </c>
      <c r="G1454" s="178">
        <f>D1454*E1454+F1454*D1454</f>
        <v>288000</v>
      </c>
      <c r="H1454" s="184">
        <f>+H1453</f>
        <v>0.5</v>
      </c>
      <c r="I1454" s="143">
        <f>+G1454/H1454</f>
        <v>576000</v>
      </c>
      <c r="J1454" s="145"/>
      <c r="K1454" s="147"/>
      <c r="L1454" s="179"/>
      <c r="M1454" s="179"/>
    </row>
    <row r="1455" spans="2:15" s="145" customFormat="1" ht="10.5" customHeight="1" x14ac:dyDescent="0.25">
      <c r="B1455" s="367" t="s">
        <v>333</v>
      </c>
      <c r="C1455" s="368"/>
      <c r="D1455" s="180">
        <v>2</v>
      </c>
      <c r="E1455" s="141">
        <v>55000</v>
      </c>
      <c r="F1455" s="141">
        <f>+E1455*0.8</f>
        <v>44000</v>
      </c>
      <c r="G1455" s="178">
        <f>D1455*E1455+F1455*D1455</f>
        <v>198000</v>
      </c>
      <c r="H1455" s="184">
        <f>+H1453</f>
        <v>0.5</v>
      </c>
      <c r="I1455" s="143">
        <f>+G1455/H1455</f>
        <v>396000</v>
      </c>
      <c r="K1455" s="147"/>
    </row>
    <row r="1456" spans="2:15" ht="10.5" customHeight="1" thickBot="1" x14ac:dyDescent="0.3">
      <c r="B1456" s="371" t="s">
        <v>318</v>
      </c>
      <c r="C1456" s="372"/>
      <c r="D1456" s="372"/>
      <c r="E1456" s="372"/>
      <c r="F1456" s="372"/>
      <c r="G1456" s="372"/>
      <c r="H1456" s="372"/>
      <c r="I1456" s="144">
        <f>SUM(I1453:I1455)</f>
        <v>1476000</v>
      </c>
      <c r="K1456" s="281"/>
      <c r="N1456" s="150"/>
    </row>
    <row r="1457" spans="2:14" ht="6" customHeight="1" thickBot="1" x14ac:dyDescent="0.3">
      <c r="B1457" s="373"/>
      <c r="C1457" s="373"/>
      <c r="D1457" s="373"/>
      <c r="E1457" s="373"/>
      <c r="F1457" s="373"/>
      <c r="G1457" s="373"/>
      <c r="H1457" s="373"/>
      <c r="I1457" s="373"/>
    </row>
    <row r="1458" spans="2:14" ht="10.5" customHeight="1" thickBot="1" x14ac:dyDescent="0.3">
      <c r="B1458" s="374" t="s">
        <v>334</v>
      </c>
      <c r="C1458" s="375"/>
      <c r="D1458" s="375"/>
      <c r="E1458" s="375"/>
      <c r="F1458" s="375"/>
      <c r="G1458" s="375"/>
      <c r="H1458" s="376"/>
      <c r="I1458" s="152">
        <f>ROUND(+I1439+I1444+I1449+I1456,0)</f>
        <v>10186103</v>
      </c>
      <c r="J1458" s="281"/>
      <c r="K1458" s="169"/>
      <c r="L1458" s="181"/>
      <c r="M1458" s="181"/>
      <c r="N1458" s="153"/>
    </row>
    <row r="1459" spans="2:14" ht="6" customHeight="1" thickBot="1" x14ac:dyDescent="0.3">
      <c r="B1459" s="373"/>
      <c r="C1459" s="373"/>
      <c r="D1459" s="373"/>
      <c r="E1459" s="373"/>
      <c r="F1459" s="373"/>
      <c r="G1459" s="373"/>
      <c r="H1459" s="373"/>
      <c r="I1459" s="373"/>
    </row>
    <row r="1460" spans="2:14" ht="8.25" customHeight="1" x14ac:dyDescent="0.25">
      <c r="B1460" s="433" t="s">
        <v>335</v>
      </c>
      <c r="C1460" s="417"/>
      <c r="D1460" s="418"/>
      <c r="E1460" s="418"/>
      <c r="F1460" s="419"/>
      <c r="G1460" s="369" t="s">
        <v>336</v>
      </c>
      <c r="H1460" s="370"/>
      <c r="I1460" s="370"/>
    </row>
    <row r="1461" spans="2:14" ht="33.75" customHeight="1" x14ac:dyDescent="0.25">
      <c r="B1461" s="434"/>
      <c r="C1461" s="420"/>
      <c r="D1461" s="421"/>
      <c r="E1461" s="421"/>
      <c r="F1461" s="422"/>
      <c r="G1461" s="430" t="s">
        <v>337</v>
      </c>
      <c r="H1461" s="431"/>
      <c r="I1461" s="431"/>
      <c r="L1461" s="181"/>
      <c r="M1461" s="181"/>
      <c r="N1461" s="179"/>
    </row>
    <row r="1462" spans="2:14" ht="13.5" customHeight="1" x14ac:dyDescent="0.25">
      <c r="B1462" s="434"/>
      <c r="C1462" s="420"/>
      <c r="D1462" s="421"/>
      <c r="E1462" s="421"/>
      <c r="F1462" s="422"/>
      <c r="G1462" s="154" t="s">
        <v>92</v>
      </c>
      <c r="H1462" s="432" t="s">
        <v>93</v>
      </c>
      <c r="I1462" s="432"/>
    </row>
    <row r="1463" spans="2:14" ht="16.5" customHeight="1" x14ac:dyDescent="0.25">
      <c r="B1463" s="435"/>
      <c r="C1463" s="420"/>
      <c r="D1463" s="421"/>
      <c r="E1463" s="421"/>
      <c r="F1463" s="422"/>
      <c r="G1463" s="155" t="s">
        <v>94</v>
      </c>
      <c r="H1463" s="156" t="s">
        <v>95</v>
      </c>
      <c r="I1463" s="157" t="s">
        <v>96</v>
      </c>
    </row>
    <row r="1464" spans="2:14" x14ac:dyDescent="0.25">
      <c r="B1464" s="268" t="s">
        <v>18</v>
      </c>
      <c r="C1464" s="427"/>
      <c r="D1464" s="428"/>
      <c r="E1464" s="428"/>
      <c r="F1464" s="429"/>
      <c r="G1464" s="155" t="s">
        <v>98</v>
      </c>
      <c r="H1464" s="157" t="s">
        <v>99</v>
      </c>
      <c r="I1464" s="157" t="s">
        <v>100</v>
      </c>
    </row>
    <row r="1465" spans="2:14" x14ac:dyDescent="0.25">
      <c r="B1465" s="269" t="s">
        <v>97</v>
      </c>
      <c r="C1465" s="427"/>
      <c r="D1465" s="428"/>
      <c r="E1465" s="428"/>
      <c r="F1465" s="429"/>
      <c r="G1465" s="154" t="s">
        <v>338</v>
      </c>
      <c r="H1465" s="426"/>
      <c r="I1465" s="426"/>
    </row>
    <row r="1466" spans="2:14" ht="15.75" thickBot="1" x14ac:dyDescent="0.3">
      <c r="B1466" s="270" t="s">
        <v>101</v>
      </c>
      <c r="C1466" s="423"/>
      <c r="D1466" s="424"/>
      <c r="E1466" s="424"/>
      <c r="F1466" s="425"/>
      <c r="G1466" s="154" t="s">
        <v>102</v>
      </c>
      <c r="H1466" s="426" t="s">
        <v>103</v>
      </c>
      <c r="I1466" s="426"/>
    </row>
    <row r="1467" spans="2:14" ht="45" customHeight="1" thickBot="1" x14ac:dyDescent="0.3">
      <c r="B1467" s="401"/>
      <c r="C1467" s="402"/>
      <c r="D1467" s="402"/>
      <c r="E1467" s="402"/>
      <c r="F1467" s="403" t="s">
        <v>0</v>
      </c>
      <c r="G1467" s="403"/>
      <c r="H1467" s="403"/>
      <c r="I1467" s="404"/>
    </row>
    <row r="1468" spans="2:14" ht="6" customHeight="1" thickBot="1" x14ac:dyDescent="0.3">
      <c r="B1468" s="373"/>
      <c r="C1468" s="373"/>
      <c r="D1468" s="373"/>
      <c r="E1468" s="373"/>
      <c r="F1468" s="373"/>
      <c r="G1468" s="373"/>
      <c r="H1468" s="373"/>
      <c r="I1468" s="373"/>
    </row>
    <row r="1469" spans="2:14" ht="10.5" customHeight="1" x14ac:dyDescent="0.25">
      <c r="B1469" s="405" t="s">
        <v>294</v>
      </c>
      <c r="C1469" s="406"/>
      <c r="D1469" s="407" t="s">
        <v>295</v>
      </c>
      <c r="E1469" s="409" t="s">
        <v>296</v>
      </c>
      <c r="F1469" s="410"/>
      <c r="G1469" s="410"/>
      <c r="H1469" s="410"/>
      <c r="I1469" s="411"/>
    </row>
    <row r="1470" spans="2:14" ht="9" customHeight="1" thickBot="1" x14ac:dyDescent="0.3">
      <c r="B1470" s="415"/>
      <c r="C1470" s="416"/>
      <c r="D1470" s="408"/>
      <c r="E1470" s="412"/>
      <c r="F1470" s="413"/>
      <c r="G1470" s="413"/>
      <c r="H1470" s="413"/>
      <c r="I1470" s="414"/>
    </row>
    <row r="1471" spans="2:14" ht="6" customHeight="1" thickBot="1" x14ac:dyDescent="0.3">
      <c r="B1471" s="373"/>
      <c r="C1471" s="373"/>
      <c r="D1471" s="373"/>
      <c r="E1471" s="373"/>
      <c r="F1471" s="373"/>
      <c r="G1471" s="373"/>
      <c r="H1471" s="373"/>
      <c r="I1471" s="373"/>
    </row>
    <row r="1472" spans="2:14" ht="17.25" customHeight="1" thickBot="1" x14ac:dyDescent="0.3">
      <c r="B1472" s="390" t="s">
        <v>297</v>
      </c>
      <c r="C1472" s="391"/>
      <c r="D1472" s="392"/>
      <c r="E1472" s="393"/>
      <c r="F1472" s="393"/>
      <c r="G1472" s="394"/>
      <c r="H1472" s="127" t="s">
        <v>298</v>
      </c>
      <c r="I1472" s="128"/>
    </row>
    <row r="1473" spans="2:14" ht="6" customHeight="1" thickBot="1" x14ac:dyDescent="0.3">
      <c r="B1473" s="373"/>
      <c r="C1473" s="373"/>
      <c r="D1473" s="373"/>
      <c r="E1473" s="373"/>
      <c r="F1473" s="373"/>
      <c r="G1473" s="373"/>
      <c r="H1473" s="373"/>
      <c r="I1473" s="373"/>
    </row>
    <row r="1474" spans="2:14" ht="19.5" customHeight="1" x14ac:dyDescent="0.25">
      <c r="B1474" s="261" t="s">
        <v>299</v>
      </c>
      <c r="C1474" s="129" t="s">
        <v>300</v>
      </c>
      <c r="D1474" s="130" t="s">
        <v>301</v>
      </c>
      <c r="E1474" s="130" t="s">
        <v>302</v>
      </c>
      <c r="F1474" s="398" t="s">
        <v>303</v>
      </c>
      <c r="G1474" s="399"/>
      <c r="H1474" s="400"/>
      <c r="I1474" s="131" t="s">
        <v>304</v>
      </c>
    </row>
    <row r="1475" spans="2:14" ht="11.25" customHeight="1" x14ac:dyDescent="0.25">
      <c r="B1475" s="262"/>
      <c r="C1475" s="132"/>
      <c r="D1475" s="132" t="s">
        <v>305</v>
      </c>
      <c r="E1475" s="132" t="s">
        <v>306</v>
      </c>
      <c r="F1475" s="395" t="s">
        <v>339</v>
      </c>
      <c r="G1475" s="396"/>
      <c r="H1475" s="397"/>
      <c r="I1475" s="133"/>
    </row>
    <row r="1476" spans="2:14" ht="28.5" customHeight="1" x14ac:dyDescent="0.25">
      <c r="B1476" s="263" t="s">
        <v>307</v>
      </c>
      <c r="C1476" s="383" t="s">
        <v>414</v>
      </c>
      <c r="D1476" s="384"/>
      <c r="E1476" s="384"/>
      <c r="F1476" s="384"/>
      <c r="G1476" s="384"/>
      <c r="H1476" s="384"/>
      <c r="I1476" s="385"/>
    </row>
    <row r="1477" spans="2:14" ht="10.5" customHeight="1" x14ac:dyDescent="0.25">
      <c r="B1477" s="264" t="s">
        <v>129</v>
      </c>
      <c r="C1477" s="388" t="s">
        <v>308</v>
      </c>
      <c r="D1477" s="389"/>
      <c r="E1477" s="389"/>
      <c r="F1477" s="389"/>
      <c r="G1477" s="389"/>
      <c r="H1477" s="389"/>
      <c r="I1477" s="134" t="s">
        <v>130</v>
      </c>
    </row>
    <row r="1478" spans="2:14" ht="50.25" customHeight="1" thickBot="1" x14ac:dyDescent="0.3">
      <c r="B1478" s="265">
        <v>6.1999999999999957</v>
      </c>
      <c r="C1478" s="386" t="s">
        <v>577</v>
      </c>
      <c r="D1478" s="387"/>
      <c r="E1478" s="387"/>
      <c r="F1478" s="387"/>
      <c r="G1478" s="387"/>
      <c r="H1478" s="387"/>
      <c r="I1478" s="135" t="s">
        <v>27</v>
      </c>
    </row>
    <row r="1479" spans="2:14" ht="6" customHeight="1" thickBot="1" x14ac:dyDescent="0.3">
      <c r="B1479" s="373"/>
      <c r="C1479" s="373"/>
      <c r="D1479" s="373"/>
      <c r="E1479" s="373"/>
      <c r="F1479" s="373"/>
      <c r="G1479" s="373"/>
      <c r="H1479" s="373"/>
      <c r="I1479" s="373"/>
    </row>
    <row r="1480" spans="2:14" x14ac:dyDescent="0.25">
      <c r="B1480" s="380" t="s">
        <v>309</v>
      </c>
      <c r="C1480" s="381"/>
      <c r="D1480" s="381"/>
      <c r="E1480" s="381"/>
      <c r="F1480" s="381"/>
      <c r="G1480" s="381"/>
      <c r="H1480" s="381"/>
      <c r="I1480" s="382"/>
      <c r="K1480" s="182"/>
    </row>
    <row r="1481" spans="2:14" ht="11.25" customHeight="1" x14ac:dyDescent="0.25">
      <c r="B1481" s="377" t="s">
        <v>310</v>
      </c>
      <c r="C1481" s="378"/>
      <c r="D1481" s="379"/>
      <c r="E1481" s="136"/>
      <c r="F1481" s="137" t="s">
        <v>311</v>
      </c>
      <c r="G1481" s="137" t="s">
        <v>312</v>
      </c>
      <c r="H1481" s="137" t="s">
        <v>313</v>
      </c>
      <c r="I1481" s="138" t="s">
        <v>314</v>
      </c>
      <c r="L1481" s="139"/>
      <c r="M1481" s="139"/>
    </row>
    <row r="1482" spans="2:14" ht="11.25" customHeight="1" x14ac:dyDescent="0.25">
      <c r="B1482" s="362" t="s">
        <v>315</v>
      </c>
      <c r="C1482" s="363"/>
      <c r="D1482" s="363"/>
      <c r="E1482" s="160"/>
      <c r="F1482" s="161" t="s">
        <v>316</v>
      </c>
      <c r="G1482" s="160">
        <v>5000</v>
      </c>
      <c r="H1482" s="142">
        <v>1</v>
      </c>
      <c r="I1482" s="143">
        <f>G1482*H1482</f>
        <v>5000</v>
      </c>
    </row>
    <row r="1483" spans="2:14" ht="16.5" customHeight="1" x14ac:dyDescent="0.25">
      <c r="B1483" s="362" t="s">
        <v>355</v>
      </c>
      <c r="C1483" s="363"/>
      <c r="D1483" s="363"/>
      <c r="E1483" s="160"/>
      <c r="F1483" s="161" t="s">
        <v>317</v>
      </c>
      <c r="G1483" s="160">
        <v>90000</v>
      </c>
      <c r="H1483" s="142">
        <v>1</v>
      </c>
      <c r="I1483" s="143">
        <f>G1483*H1483</f>
        <v>90000</v>
      </c>
    </row>
    <row r="1484" spans="2:14" ht="10.5" customHeight="1" thickBot="1" x14ac:dyDescent="0.3">
      <c r="B1484" s="371" t="s">
        <v>318</v>
      </c>
      <c r="C1484" s="372"/>
      <c r="D1484" s="372"/>
      <c r="E1484" s="372"/>
      <c r="F1484" s="372"/>
      <c r="G1484" s="372"/>
      <c r="H1484" s="372"/>
      <c r="I1484" s="144">
        <f>SUM(I1482:I1483)</f>
        <v>95000</v>
      </c>
      <c r="N1484" s="150"/>
    </row>
    <row r="1485" spans="2:14" ht="6" customHeight="1" thickBot="1" x14ac:dyDescent="0.3">
      <c r="B1485" s="373"/>
      <c r="C1485" s="373"/>
      <c r="D1485" s="373"/>
      <c r="E1485" s="373"/>
      <c r="F1485" s="373"/>
      <c r="G1485" s="373"/>
      <c r="H1485" s="373"/>
      <c r="I1485" s="373"/>
    </row>
    <row r="1486" spans="2:14" s="145" customFormat="1" x14ac:dyDescent="0.25">
      <c r="B1486" s="380" t="s">
        <v>319</v>
      </c>
      <c r="C1486" s="381"/>
      <c r="D1486" s="381"/>
      <c r="E1486" s="381"/>
      <c r="F1486" s="381"/>
      <c r="G1486" s="381"/>
      <c r="H1486" s="381"/>
      <c r="I1486" s="382"/>
    </row>
    <row r="1487" spans="2:14" s="145" customFormat="1" ht="15.75" customHeight="1" x14ac:dyDescent="0.25">
      <c r="B1487" s="377" t="s">
        <v>310</v>
      </c>
      <c r="C1487" s="378"/>
      <c r="D1487" s="379"/>
      <c r="E1487" s="137"/>
      <c r="F1487" s="137" t="s">
        <v>320</v>
      </c>
      <c r="G1487" s="137" t="s">
        <v>321</v>
      </c>
      <c r="H1487" s="137" t="s">
        <v>322</v>
      </c>
      <c r="I1487" s="138" t="s">
        <v>314</v>
      </c>
    </row>
    <row r="1488" spans="2:14" ht="74.25" customHeight="1" x14ac:dyDescent="0.25">
      <c r="B1488" s="436" t="s">
        <v>577</v>
      </c>
      <c r="C1488" s="437"/>
      <c r="D1488" s="438"/>
      <c r="E1488" s="163"/>
      <c r="F1488" s="161" t="s">
        <v>27</v>
      </c>
      <c r="G1488" s="160">
        <f>4608265-2844588+1+2363017-2281275+6608683-4824123+540000</f>
        <v>4169980</v>
      </c>
      <c r="H1488" s="142">
        <v>1</v>
      </c>
      <c r="I1488" s="143">
        <f>G1488*H1488</f>
        <v>4169980</v>
      </c>
      <c r="M1488">
        <v>4608265</v>
      </c>
    </row>
    <row r="1489" spans="2:15" ht="18" customHeight="1" thickBot="1" x14ac:dyDescent="0.3">
      <c r="B1489" s="371" t="s">
        <v>318</v>
      </c>
      <c r="C1489" s="372"/>
      <c r="D1489" s="372"/>
      <c r="E1489" s="372"/>
      <c r="F1489" s="372"/>
      <c r="G1489" s="372"/>
      <c r="H1489" s="372"/>
      <c r="I1489" s="144">
        <f>SUM(I1488:I1488)</f>
        <v>4169980</v>
      </c>
      <c r="N1489" s="150"/>
    </row>
    <row r="1490" spans="2:15" ht="6" customHeight="1" thickBot="1" x14ac:dyDescent="0.3">
      <c r="B1490" s="373"/>
      <c r="C1490" s="373"/>
      <c r="D1490" s="373"/>
      <c r="E1490" s="373"/>
      <c r="F1490" s="373"/>
      <c r="G1490" s="373"/>
      <c r="H1490" s="373"/>
      <c r="I1490" s="373"/>
    </row>
    <row r="1491" spans="2:15" s="145" customFormat="1" x14ac:dyDescent="0.25">
      <c r="B1491" s="380" t="s">
        <v>323</v>
      </c>
      <c r="C1491" s="381"/>
      <c r="D1491" s="381"/>
      <c r="E1491" s="381"/>
      <c r="F1491" s="381"/>
      <c r="G1491" s="381"/>
      <c r="H1491" s="381"/>
      <c r="I1491" s="382"/>
      <c r="L1491" s="146"/>
      <c r="M1491" s="146"/>
    </row>
    <row r="1492" spans="2:15" s="145" customFormat="1" x14ac:dyDescent="0.25">
      <c r="B1492" s="377" t="s">
        <v>324</v>
      </c>
      <c r="C1492" s="378"/>
      <c r="D1492" s="379"/>
      <c r="E1492" s="137" t="s">
        <v>325</v>
      </c>
      <c r="F1492" s="137" t="s">
        <v>326</v>
      </c>
      <c r="G1492" s="137" t="s">
        <v>130</v>
      </c>
      <c r="H1492" s="137" t="s">
        <v>327</v>
      </c>
      <c r="I1492" s="138" t="s">
        <v>314</v>
      </c>
      <c r="K1492" s="260"/>
      <c r="N1492" s="183"/>
      <c r="O1492" s="148"/>
    </row>
    <row r="1493" spans="2:15" ht="11.25" customHeight="1" x14ac:dyDescent="0.25">
      <c r="B1493" s="362" t="s">
        <v>711</v>
      </c>
      <c r="C1493" s="363"/>
      <c r="D1493" s="363"/>
      <c r="E1493" s="170">
        <v>1</v>
      </c>
      <c r="F1493" s="164"/>
      <c r="G1493" s="161"/>
      <c r="H1493" s="162">
        <v>45000</v>
      </c>
      <c r="I1493" s="143">
        <f>H1493*E1493</f>
        <v>45000</v>
      </c>
      <c r="K1493" s="281">
        <f>+K1496-I1503</f>
        <v>0</v>
      </c>
    </row>
    <row r="1494" spans="2:15" ht="10.5" customHeight="1" thickBot="1" x14ac:dyDescent="0.3">
      <c r="B1494" s="371" t="s">
        <v>318</v>
      </c>
      <c r="C1494" s="372"/>
      <c r="D1494" s="372"/>
      <c r="E1494" s="372"/>
      <c r="F1494" s="372"/>
      <c r="G1494" s="372"/>
      <c r="H1494" s="372"/>
      <c r="I1494" s="144">
        <f>SUM(I1493:I1493)</f>
        <v>45000</v>
      </c>
      <c r="N1494" s="150"/>
    </row>
    <row r="1495" spans="2:15" ht="6" customHeight="1" thickBot="1" x14ac:dyDescent="0.3">
      <c r="B1495" s="373"/>
      <c r="C1495" s="373"/>
      <c r="D1495" s="373"/>
      <c r="E1495" s="373"/>
      <c r="F1495" s="373"/>
      <c r="G1495" s="373"/>
      <c r="H1495" s="373"/>
      <c r="I1495" s="373"/>
    </row>
    <row r="1496" spans="2:15" s="145" customFormat="1" ht="20.100000000000001" customHeight="1" x14ac:dyDescent="0.25">
      <c r="B1496" s="380" t="s">
        <v>328</v>
      </c>
      <c r="C1496" s="381"/>
      <c r="D1496" s="381"/>
      <c r="E1496" s="381"/>
      <c r="F1496" s="381"/>
      <c r="G1496" s="381"/>
      <c r="H1496" s="381"/>
      <c r="I1496" s="382"/>
      <c r="K1496" s="147">
        <v>5047980</v>
      </c>
      <c r="N1496" s="148"/>
      <c r="O1496" s="149"/>
    </row>
    <row r="1497" spans="2:15" s="145" customFormat="1" ht="20.100000000000001" customHeight="1" x14ac:dyDescent="0.25">
      <c r="B1497" s="377" t="s">
        <v>329</v>
      </c>
      <c r="C1497" s="379"/>
      <c r="D1497" s="137" t="s">
        <v>322</v>
      </c>
      <c r="E1497" s="137" t="s">
        <v>330</v>
      </c>
      <c r="F1497" s="137" t="s">
        <v>331</v>
      </c>
      <c r="G1497" s="137" t="s">
        <v>332</v>
      </c>
      <c r="H1497" s="137" t="s">
        <v>313</v>
      </c>
      <c r="I1497" s="138" t="s">
        <v>314</v>
      </c>
      <c r="K1497" s="147"/>
      <c r="O1497" s="179"/>
    </row>
    <row r="1498" spans="2:15" s="151" customFormat="1" ht="9.75" customHeight="1" x14ac:dyDescent="0.25">
      <c r="B1498" s="367" t="s">
        <v>356</v>
      </c>
      <c r="C1498" s="368"/>
      <c r="D1498" s="180">
        <v>1</v>
      </c>
      <c r="E1498" s="141">
        <v>140000</v>
      </c>
      <c r="F1498" s="141">
        <f>+E1498*0.8</f>
        <v>112000</v>
      </c>
      <c r="G1498" s="178">
        <f>D1498*E1498+F1498*D1498</f>
        <v>252000</v>
      </c>
      <c r="H1498" s="184">
        <v>1</v>
      </c>
      <c r="I1498" s="143">
        <f>+G1498/H1498</f>
        <v>252000</v>
      </c>
      <c r="J1498" s="145"/>
      <c r="K1498" s="147"/>
    </row>
    <row r="1499" spans="2:15" s="151" customFormat="1" ht="11.25" customHeight="1" x14ac:dyDescent="0.25">
      <c r="B1499" s="367" t="s">
        <v>374</v>
      </c>
      <c r="C1499" s="368"/>
      <c r="D1499" s="180">
        <v>2</v>
      </c>
      <c r="E1499" s="141">
        <v>80000</v>
      </c>
      <c r="F1499" s="141">
        <f>+E1499*0.8</f>
        <v>64000</v>
      </c>
      <c r="G1499" s="178">
        <f>D1499*E1499+F1499*D1499</f>
        <v>288000</v>
      </c>
      <c r="H1499" s="184">
        <f>+H1498</f>
        <v>1</v>
      </c>
      <c r="I1499" s="143">
        <f>+G1499/H1499</f>
        <v>288000</v>
      </c>
      <c r="J1499" s="145"/>
      <c r="K1499" s="147"/>
      <c r="L1499" s="179"/>
      <c r="M1499" s="179"/>
    </row>
    <row r="1500" spans="2:15" s="145" customFormat="1" ht="10.5" customHeight="1" x14ac:dyDescent="0.25">
      <c r="B1500" s="367" t="s">
        <v>333</v>
      </c>
      <c r="C1500" s="368"/>
      <c r="D1500" s="180">
        <v>2</v>
      </c>
      <c r="E1500" s="141">
        <v>55000</v>
      </c>
      <c r="F1500" s="141">
        <f>+E1500*0.8</f>
        <v>44000</v>
      </c>
      <c r="G1500" s="178">
        <f>D1500*E1500+F1500*D1500</f>
        <v>198000</v>
      </c>
      <c r="H1500" s="184">
        <f>+H1498</f>
        <v>1</v>
      </c>
      <c r="I1500" s="143">
        <f>+G1500/H1500</f>
        <v>198000</v>
      </c>
      <c r="K1500" s="147"/>
    </row>
    <row r="1501" spans="2:15" ht="10.5" customHeight="1" thickBot="1" x14ac:dyDescent="0.3">
      <c r="B1501" s="371" t="s">
        <v>318</v>
      </c>
      <c r="C1501" s="372"/>
      <c r="D1501" s="372"/>
      <c r="E1501" s="372"/>
      <c r="F1501" s="372"/>
      <c r="G1501" s="372"/>
      <c r="H1501" s="372"/>
      <c r="I1501" s="144">
        <f>SUM(I1498:I1500)</f>
        <v>738000</v>
      </c>
      <c r="K1501" s="281"/>
      <c r="N1501" s="150"/>
    </row>
    <row r="1502" spans="2:15" ht="6" customHeight="1" thickBot="1" x14ac:dyDescent="0.3">
      <c r="B1502" s="373"/>
      <c r="C1502" s="373"/>
      <c r="D1502" s="373"/>
      <c r="E1502" s="373"/>
      <c r="F1502" s="373"/>
      <c r="G1502" s="373"/>
      <c r="H1502" s="373"/>
      <c r="I1502" s="373"/>
    </row>
    <row r="1503" spans="2:15" ht="10.5" customHeight="1" thickBot="1" x14ac:dyDescent="0.3">
      <c r="B1503" s="374" t="s">
        <v>334</v>
      </c>
      <c r="C1503" s="375"/>
      <c r="D1503" s="375"/>
      <c r="E1503" s="375"/>
      <c r="F1503" s="375"/>
      <c r="G1503" s="375"/>
      <c r="H1503" s="376"/>
      <c r="I1503" s="152">
        <f>ROUND(+I1484+I1489+I1494+I1501,0)</f>
        <v>5047980</v>
      </c>
      <c r="J1503" s="281"/>
      <c r="K1503" s="169"/>
      <c r="L1503" s="181"/>
      <c r="M1503" s="181"/>
      <c r="N1503" s="153"/>
    </row>
    <row r="1504" spans="2:15" ht="6" customHeight="1" thickBot="1" x14ac:dyDescent="0.3">
      <c r="B1504" s="373"/>
      <c r="C1504" s="373"/>
      <c r="D1504" s="373"/>
      <c r="E1504" s="373"/>
      <c r="F1504" s="373"/>
      <c r="G1504" s="373"/>
      <c r="H1504" s="373"/>
      <c r="I1504" s="373"/>
    </row>
    <row r="1505" spans="2:14" ht="8.25" customHeight="1" x14ac:dyDescent="0.25">
      <c r="B1505" s="433" t="s">
        <v>335</v>
      </c>
      <c r="C1505" s="417"/>
      <c r="D1505" s="418"/>
      <c r="E1505" s="418"/>
      <c r="F1505" s="419"/>
      <c r="G1505" s="369" t="s">
        <v>336</v>
      </c>
      <c r="H1505" s="370"/>
      <c r="I1505" s="370"/>
    </row>
    <row r="1506" spans="2:14" ht="33.75" customHeight="1" x14ac:dyDescent="0.25">
      <c r="B1506" s="434"/>
      <c r="C1506" s="420"/>
      <c r="D1506" s="421"/>
      <c r="E1506" s="421"/>
      <c r="F1506" s="422"/>
      <c r="G1506" s="430" t="s">
        <v>337</v>
      </c>
      <c r="H1506" s="431"/>
      <c r="I1506" s="431"/>
      <c r="L1506" s="181"/>
      <c r="M1506" s="181"/>
      <c r="N1506" s="179"/>
    </row>
    <row r="1507" spans="2:14" ht="13.5" customHeight="1" x14ac:dyDescent="0.25">
      <c r="B1507" s="434"/>
      <c r="C1507" s="420"/>
      <c r="D1507" s="421"/>
      <c r="E1507" s="421"/>
      <c r="F1507" s="422"/>
      <c r="G1507" s="154" t="s">
        <v>92</v>
      </c>
      <c r="H1507" s="432" t="s">
        <v>93</v>
      </c>
      <c r="I1507" s="432"/>
    </row>
    <row r="1508" spans="2:14" ht="16.5" customHeight="1" x14ac:dyDescent="0.25">
      <c r="B1508" s="435"/>
      <c r="C1508" s="420"/>
      <c r="D1508" s="421"/>
      <c r="E1508" s="421"/>
      <c r="F1508" s="422"/>
      <c r="G1508" s="155" t="s">
        <v>94</v>
      </c>
      <c r="H1508" s="156" t="s">
        <v>95</v>
      </c>
      <c r="I1508" s="157" t="s">
        <v>96</v>
      </c>
    </row>
    <row r="1509" spans="2:14" x14ac:dyDescent="0.25">
      <c r="B1509" s="268" t="s">
        <v>18</v>
      </c>
      <c r="C1509" s="427"/>
      <c r="D1509" s="428"/>
      <c r="E1509" s="428"/>
      <c r="F1509" s="429"/>
      <c r="G1509" s="155" t="s">
        <v>98</v>
      </c>
      <c r="H1509" s="157" t="s">
        <v>99</v>
      </c>
      <c r="I1509" s="157" t="s">
        <v>100</v>
      </c>
    </row>
    <row r="1510" spans="2:14" x14ac:dyDescent="0.25">
      <c r="B1510" s="269" t="s">
        <v>97</v>
      </c>
      <c r="C1510" s="427"/>
      <c r="D1510" s="428"/>
      <c r="E1510" s="428"/>
      <c r="F1510" s="429"/>
      <c r="G1510" s="154" t="s">
        <v>338</v>
      </c>
      <c r="H1510" s="426"/>
      <c r="I1510" s="426"/>
    </row>
    <row r="1511" spans="2:14" ht="15.75" thickBot="1" x14ac:dyDescent="0.3">
      <c r="B1511" s="270" t="s">
        <v>101</v>
      </c>
      <c r="C1511" s="423"/>
      <c r="D1511" s="424"/>
      <c r="E1511" s="424"/>
      <c r="F1511" s="425"/>
      <c r="G1511" s="154" t="s">
        <v>102</v>
      </c>
      <c r="H1511" s="426" t="s">
        <v>103</v>
      </c>
      <c r="I1511" s="426"/>
    </row>
    <row r="1512" spans="2:14" ht="45" customHeight="1" thickBot="1" x14ac:dyDescent="0.3">
      <c r="B1512" s="401"/>
      <c r="C1512" s="402"/>
      <c r="D1512" s="402"/>
      <c r="E1512" s="402"/>
      <c r="F1512" s="403" t="s">
        <v>0</v>
      </c>
      <c r="G1512" s="403"/>
      <c r="H1512" s="403"/>
      <c r="I1512" s="404"/>
    </row>
    <row r="1513" spans="2:14" ht="6" customHeight="1" thickBot="1" x14ac:dyDescent="0.3">
      <c r="B1513" s="373"/>
      <c r="C1513" s="373"/>
      <c r="D1513" s="373"/>
      <c r="E1513" s="373"/>
      <c r="F1513" s="373"/>
      <c r="G1513" s="373"/>
      <c r="H1513" s="373"/>
      <c r="I1513" s="373"/>
    </row>
    <row r="1514" spans="2:14" ht="10.5" customHeight="1" x14ac:dyDescent="0.25">
      <c r="B1514" s="405" t="s">
        <v>294</v>
      </c>
      <c r="C1514" s="406"/>
      <c r="D1514" s="407" t="s">
        <v>295</v>
      </c>
      <c r="E1514" s="409" t="s">
        <v>296</v>
      </c>
      <c r="F1514" s="410"/>
      <c r="G1514" s="410"/>
      <c r="H1514" s="410"/>
      <c r="I1514" s="411"/>
    </row>
    <row r="1515" spans="2:14" ht="9" customHeight="1" thickBot="1" x14ac:dyDescent="0.3">
      <c r="B1515" s="415"/>
      <c r="C1515" s="416"/>
      <c r="D1515" s="408"/>
      <c r="E1515" s="412"/>
      <c r="F1515" s="413"/>
      <c r="G1515" s="413"/>
      <c r="H1515" s="413"/>
      <c r="I1515" s="414"/>
    </row>
    <row r="1516" spans="2:14" ht="6" customHeight="1" thickBot="1" x14ac:dyDescent="0.3">
      <c r="B1516" s="373"/>
      <c r="C1516" s="373"/>
      <c r="D1516" s="373"/>
      <c r="E1516" s="373"/>
      <c r="F1516" s="373"/>
      <c r="G1516" s="373"/>
      <c r="H1516" s="373"/>
      <c r="I1516" s="373"/>
    </row>
    <row r="1517" spans="2:14" ht="17.25" customHeight="1" thickBot="1" x14ac:dyDescent="0.3">
      <c r="B1517" s="390" t="s">
        <v>297</v>
      </c>
      <c r="C1517" s="391"/>
      <c r="D1517" s="392"/>
      <c r="E1517" s="393"/>
      <c r="F1517" s="393"/>
      <c r="G1517" s="394"/>
      <c r="H1517" s="127" t="s">
        <v>298</v>
      </c>
      <c r="I1517" s="128"/>
    </row>
    <row r="1518" spans="2:14" ht="6" customHeight="1" thickBot="1" x14ac:dyDescent="0.3">
      <c r="B1518" s="373"/>
      <c r="C1518" s="373"/>
      <c r="D1518" s="373"/>
      <c r="E1518" s="373"/>
      <c r="F1518" s="373"/>
      <c r="G1518" s="373"/>
      <c r="H1518" s="373"/>
      <c r="I1518" s="373"/>
    </row>
    <row r="1519" spans="2:14" ht="19.5" customHeight="1" x14ac:dyDescent="0.25">
      <c r="B1519" s="261" t="s">
        <v>299</v>
      </c>
      <c r="C1519" s="129" t="s">
        <v>300</v>
      </c>
      <c r="D1519" s="130" t="s">
        <v>301</v>
      </c>
      <c r="E1519" s="130" t="s">
        <v>302</v>
      </c>
      <c r="F1519" s="398" t="s">
        <v>303</v>
      </c>
      <c r="G1519" s="399"/>
      <c r="H1519" s="400"/>
      <c r="I1519" s="131" t="s">
        <v>304</v>
      </c>
    </row>
    <row r="1520" spans="2:14" ht="11.25" customHeight="1" x14ac:dyDescent="0.25">
      <c r="B1520" s="262"/>
      <c r="C1520" s="132"/>
      <c r="D1520" s="132" t="s">
        <v>305</v>
      </c>
      <c r="E1520" s="132" t="s">
        <v>306</v>
      </c>
      <c r="F1520" s="395" t="s">
        <v>339</v>
      </c>
      <c r="G1520" s="396"/>
      <c r="H1520" s="397"/>
      <c r="I1520" s="133"/>
    </row>
    <row r="1521" spans="2:14" ht="28.5" customHeight="1" x14ac:dyDescent="0.25">
      <c r="B1521" s="263" t="s">
        <v>307</v>
      </c>
      <c r="C1521" s="383" t="s">
        <v>414</v>
      </c>
      <c r="D1521" s="384"/>
      <c r="E1521" s="384"/>
      <c r="F1521" s="384"/>
      <c r="G1521" s="384"/>
      <c r="H1521" s="384"/>
      <c r="I1521" s="385"/>
    </row>
    <row r="1522" spans="2:14" ht="10.5" customHeight="1" x14ac:dyDescent="0.25">
      <c r="B1522" s="264" t="s">
        <v>129</v>
      </c>
      <c r="C1522" s="388" t="s">
        <v>308</v>
      </c>
      <c r="D1522" s="389"/>
      <c r="E1522" s="389"/>
      <c r="F1522" s="389"/>
      <c r="G1522" s="389"/>
      <c r="H1522" s="389"/>
      <c r="I1522" s="134" t="s">
        <v>130</v>
      </c>
    </row>
    <row r="1523" spans="2:14" ht="50.25" customHeight="1" thickBot="1" x14ac:dyDescent="0.3">
      <c r="B1523" s="265">
        <v>6.2099999999999955</v>
      </c>
      <c r="C1523" s="386" t="s">
        <v>578</v>
      </c>
      <c r="D1523" s="387"/>
      <c r="E1523" s="387"/>
      <c r="F1523" s="387"/>
      <c r="G1523" s="387"/>
      <c r="H1523" s="387"/>
      <c r="I1523" s="135" t="s">
        <v>27</v>
      </c>
    </row>
    <row r="1524" spans="2:14" ht="6" customHeight="1" thickBot="1" x14ac:dyDescent="0.3">
      <c r="B1524" s="373"/>
      <c r="C1524" s="373"/>
      <c r="D1524" s="373"/>
      <c r="E1524" s="373"/>
      <c r="F1524" s="373"/>
      <c r="G1524" s="373"/>
      <c r="H1524" s="373"/>
      <c r="I1524" s="373"/>
    </row>
    <row r="1525" spans="2:14" x14ac:dyDescent="0.25">
      <c r="B1525" s="380" t="s">
        <v>309</v>
      </c>
      <c r="C1525" s="381"/>
      <c r="D1525" s="381"/>
      <c r="E1525" s="381"/>
      <c r="F1525" s="381"/>
      <c r="G1525" s="381"/>
      <c r="H1525" s="381"/>
      <c r="I1525" s="382"/>
      <c r="K1525" s="182"/>
    </row>
    <row r="1526" spans="2:14" ht="11.25" customHeight="1" x14ac:dyDescent="0.25">
      <c r="B1526" s="377" t="s">
        <v>310</v>
      </c>
      <c r="C1526" s="378"/>
      <c r="D1526" s="379"/>
      <c r="E1526" s="136"/>
      <c r="F1526" s="137" t="s">
        <v>311</v>
      </c>
      <c r="G1526" s="137" t="s">
        <v>312</v>
      </c>
      <c r="H1526" s="137" t="s">
        <v>313</v>
      </c>
      <c r="I1526" s="138" t="s">
        <v>314</v>
      </c>
      <c r="L1526" s="139"/>
      <c r="M1526" s="139"/>
    </row>
    <row r="1527" spans="2:14" ht="11.25" customHeight="1" x14ac:dyDescent="0.25">
      <c r="B1527" s="362" t="s">
        <v>315</v>
      </c>
      <c r="C1527" s="363"/>
      <c r="D1527" s="363"/>
      <c r="E1527" s="160"/>
      <c r="F1527" s="161" t="s">
        <v>316</v>
      </c>
      <c r="G1527" s="160">
        <v>5000</v>
      </c>
      <c r="H1527" s="142">
        <v>1.3</v>
      </c>
      <c r="I1527" s="143">
        <f>G1527*H1527</f>
        <v>6500</v>
      </c>
    </row>
    <row r="1528" spans="2:14" ht="16.5" customHeight="1" x14ac:dyDescent="0.25">
      <c r="B1528" s="362" t="s">
        <v>355</v>
      </c>
      <c r="C1528" s="363"/>
      <c r="D1528" s="363"/>
      <c r="E1528" s="160"/>
      <c r="F1528" s="161" t="s">
        <v>317</v>
      </c>
      <c r="G1528" s="160">
        <v>90000</v>
      </c>
      <c r="H1528" s="142">
        <v>1.3</v>
      </c>
      <c r="I1528" s="143">
        <f>G1528*H1528</f>
        <v>117000</v>
      </c>
    </row>
    <row r="1529" spans="2:14" ht="10.5" customHeight="1" thickBot="1" x14ac:dyDescent="0.3">
      <c r="B1529" s="371" t="s">
        <v>318</v>
      </c>
      <c r="C1529" s="372"/>
      <c r="D1529" s="372"/>
      <c r="E1529" s="372"/>
      <c r="F1529" s="372"/>
      <c r="G1529" s="372"/>
      <c r="H1529" s="372"/>
      <c r="I1529" s="144">
        <f>SUM(I1527:I1528)</f>
        <v>123500</v>
      </c>
      <c r="N1529" s="150"/>
    </row>
    <row r="1530" spans="2:14" ht="6" customHeight="1" thickBot="1" x14ac:dyDescent="0.3">
      <c r="B1530" s="373"/>
      <c r="C1530" s="373"/>
      <c r="D1530" s="373"/>
      <c r="E1530" s="373"/>
      <c r="F1530" s="373"/>
      <c r="G1530" s="373"/>
      <c r="H1530" s="373"/>
      <c r="I1530" s="373"/>
    </row>
    <row r="1531" spans="2:14" s="145" customFormat="1" x14ac:dyDescent="0.25">
      <c r="B1531" s="380" t="s">
        <v>319</v>
      </c>
      <c r="C1531" s="381"/>
      <c r="D1531" s="381"/>
      <c r="E1531" s="381"/>
      <c r="F1531" s="381"/>
      <c r="G1531" s="381"/>
      <c r="H1531" s="381"/>
      <c r="I1531" s="382"/>
    </row>
    <row r="1532" spans="2:14" s="145" customFormat="1" ht="15.75" customHeight="1" x14ac:dyDescent="0.25">
      <c r="B1532" s="377" t="s">
        <v>310</v>
      </c>
      <c r="C1532" s="378"/>
      <c r="D1532" s="379"/>
      <c r="E1532" s="137"/>
      <c r="F1532" s="137" t="s">
        <v>320</v>
      </c>
      <c r="G1532" s="137" t="s">
        <v>321</v>
      </c>
      <c r="H1532" s="137" t="s">
        <v>322</v>
      </c>
      <c r="I1532" s="138" t="s">
        <v>314</v>
      </c>
    </row>
    <row r="1533" spans="2:14" ht="74.25" customHeight="1" x14ac:dyDescent="0.25">
      <c r="B1533" s="436" t="s">
        <v>578</v>
      </c>
      <c r="C1533" s="437"/>
      <c r="D1533" s="438"/>
      <c r="E1533" s="163"/>
      <c r="F1533" s="161" t="s">
        <v>27</v>
      </c>
      <c r="G1533" s="160">
        <f>4608265-2844588+1+2363017-2281275+6608683-4824123+540000+2212920</f>
        <v>6382900</v>
      </c>
      <c r="H1533" s="142">
        <v>1</v>
      </c>
      <c r="I1533" s="143">
        <f>G1533*H1533</f>
        <v>6382900</v>
      </c>
      <c r="M1533">
        <v>4608265</v>
      </c>
    </row>
    <row r="1534" spans="2:14" ht="18" customHeight="1" thickBot="1" x14ac:dyDescent="0.3">
      <c r="B1534" s="371" t="s">
        <v>318</v>
      </c>
      <c r="C1534" s="372"/>
      <c r="D1534" s="372"/>
      <c r="E1534" s="372"/>
      <c r="F1534" s="372"/>
      <c r="G1534" s="372"/>
      <c r="H1534" s="372"/>
      <c r="I1534" s="144">
        <f>SUM(I1533:I1533)</f>
        <v>6382900</v>
      </c>
      <c r="N1534" s="150"/>
    </row>
    <row r="1535" spans="2:14" ht="6" customHeight="1" thickBot="1" x14ac:dyDescent="0.3">
      <c r="B1535" s="373"/>
      <c r="C1535" s="373"/>
      <c r="D1535" s="373"/>
      <c r="E1535" s="373"/>
      <c r="F1535" s="373"/>
      <c r="G1535" s="373"/>
      <c r="H1535" s="373"/>
      <c r="I1535" s="373"/>
    </row>
    <row r="1536" spans="2:14" s="145" customFormat="1" x14ac:dyDescent="0.25">
      <c r="B1536" s="380" t="s">
        <v>323</v>
      </c>
      <c r="C1536" s="381"/>
      <c r="D1536" s="381"/>
      <c r="E1536" s="381"/>
      <c r="F1536" s="381"/>
      <c r="G1536" s="381"/>
      <c r="H1536" s="381"/>
      <c r="I1536" s="382"/>
      <c r="L1536" s="146"/>
      <c r="M1536" s="146"/>
    </row>
    <row r="1537" spans="2:15" s="145" customFormat="1" x14ac:dyDescent="0.25">
      <c r="B1537" s="377" t="s">
        <v>324</v>
      </c>
      <c r="C1537" s="378"/>
      <c r="D1537" s="379"/>
      <c r="E1537" s="137" t="s">
        <v>325</v>
      </c>
      <c r="F1537" s="137" t="s">
        <v>326</v>
      </c>
      <c r="G1537" s="137" t="s">
        <v>130</v>
      </c>
      <c r="H1537" s="137" t="s">
        <v>327</v>
      </c>
      <c r="I1537" s="138" t="s">
        <v>314</v>
      </c>
      <c r="K1537" s="260"/>
      <c r="N1537" s="183"/>
      <c r="O1537" s="148"/>
    </row>
    <row r="1538" spans="2:15" ht="11.25" customHeight="1" x14ac:dyDescent="0.25">
      <c r="B1538" s="362" t="s">
        <v>711</v>
      </c>
      <c r="C1538" s="363"/>
      <c r="D1538" s="363"/>
      <c r="E1538" s="170">
        <v>1</v>
      </c>
      <c r="F1538" s="164"/>
      <c r="G1538" s="161"/>
      <c r="H1538" s="162">
        <v>45000</v>
      </c>
      <c r="I1538" s="143">
        <f>H1538*E1538</f>
        <v>45000</v>
      </c>
      <c r="K1538" s="281">
        <f>+K1541-I1548</f>
        <v>0</v>
      </c>
    </row>
    <row r="1539" spans="2:15" ht="10.5" customHeight="1" thickBot="1" x14ac:dyDescent="0.3">
      <c r="B1539" s="371" t="s">
        <v>318</v>
      </c>
      <c r="C1539" s="372"/>
      <c r="D1539" s="372"/>
      <c r="E1539" s="372"/>
      <c r="F1539" s="372"/>
      <c r="G1539" s="372"/>
      <c r="H1539" s="372"/>
      <c r="I1539" s="144">
        <f>SUM(I1538:I1538)</f>
        <v>45000</v>
      </c>
      <c r="N1539" s="150"/>
    </row>
    <row r="1540" spans="2:15" ht="6" customHeight="1" thickBot="1" x14ac:dyDescent="0.3">
      <c r="B1540" s="373"/>
      <c r="C1540" s="373"/>
      <c r="D1540" s="373"/>
      <c r="E1540" s="373"/>
      <c r="F1540" s="373"/>
      <c r="G1540" s="373"/>
      <c r="H1540" s="373"/>
      <c r="I1540" s="373"/>
    </row>
    <row r="1541" spans="2:15" s="145" customFormat="1" ht="20.100000000000001" customHeight="1" x14ac:dyDescent="0.25">
      <c r="B1541" s="380" t="s">
        <v>328</v>
      </c>
      <c r="C1541" s="381"/>
      <c r="D1541" s="381"/>
      <c r="E1541" s="381"/>
      <c r="F1541" s="381"/>
      <c r="G1541" s="381"/>
      <c r="H1541" s="381"/>
      <c r="I1541" s="382"/>
      <c r="K1541" s="147">
        <v>7211400</v>
      </c>
      <c r="N1541" s="148"/>
      <c r="O1541" s="149"/>
    </row>
    <row r="1542" spans="2:15" s="145" customFormat="1" ht="20.100000000000001" customHeight="1" x14ac:dyDescent="0.25">
      <c r="B1542" s="377" t="s">
        <v>329</v>
      </c>
      <c r="C1542" s="379"/>
      <c r="D1542" s="137" t="s">
        <v>322</v>
      </c>
      <c r="E1542" s="137" t="s">
        <v>330</v>
      </c>
      <c r="F1542" s="137" t="s">
        <v>331</v>
      </c>
      <c r="G1542" s="137" t="s">
        <v>332</v>
      </c>
      <c r="H1542" s="137" t="s">
        <v>313</v>
      </c>
      <c r="I1542" s="138" t="s">
        <v>314</v>
      </c>
      <c r="K1542" s="147"/>
      <c r="O1542" s="179"/>
    </row>
    <row r="1543" spans="2:15" s="151" customFormat="1" ht="9.75" customHeight="1" x14ac:dyDescent="0.25">
      <c r="B1543" s="367" t="s">
        <v>356</v>
      </c>
      <c r="C1543" s="368"/>
      <c r="D1543" s="180">
        <v>1</v>
      </c>
      <c r="E1543" s="141">
        <v>140000</v>
      </c>
      <c r="F1543" s="141">
        <f>+E1543*0.8</f>
        <v>112000</v>
      </c>
      <c r="G1543" s="178">
        <f>D1543*E1543+F1543*D1543</f>
        <v>252000</v>
      </c>
      <c r="H1543" s="184">
        <v>0.9</v>
      </c>
      <c r="I1543" s="143">
        <f>+G1543/H1543</f>
        <v>280000</v>
      </c>
      <c r="J1543" s="145"/>
      <c r="K1543" s="147"/>
    </row>
    <row r="1544" spans="2:15" s="151" customFormat="1" ht="11.25" customHeight="1" x14ac:dyDescent="0.25">
      <c r="B1544" s="367" t="s">
        <v>374</v>
      </c>
      <c r="C1544" s="368"/>
      <c r="D1544" s="180">
        <v>1</v>
      </c>
      <c r="E1544" s="141">
        <v>80000</v>
      </c>
      <c r="F1544" s="141">
        <f>+E1544*0.8</f>
        <v>64000</v>
      </c>
      <c r="G1544" s="178">
        <f>D1544*E1544+F1544*D1544</f>
        <v>144000</v>
      </c>
      <c r="H1544" s="184">
        <f>+H1543</f>
        <v>0.9</v>
      </c>
      <c r="I1544" s="143">
        <f>+G1544/H1544</f>
        <v>160000</v>
      </c>
      <c r="J1544" s="145"/>
      <c r="K1544" s="147"/>
      <c r="L1544" s="179"/>
      <c r="M1544" s="179"/>
    </row>
    <row r="1545" spans="2:15" s="145" customFormat="1" ht="10.5" customHeight="1" x14ac:dyDescent="0.25">
      <c r="B1545" s="367" t="s">
        <v>333</v>
      </c>
      <c r="C1545" s="368"/>
      <c r="D1545" s="180">
        <v>2</v>
      </c>
      <c r="E1545" s="141">
        <v>55000</v>
      </c>
      <c r="F1545" s="141">
        <f>+E1545*0.8</f>
        <v>44000</v>
      </c>
      <c r="G1545" s="178">
        <f>D1545*E1545+F1545*D1545</f>
        <v>198000</v>
      </c>
      <c r="H1545" s="184">
        <f>+H1543</f>
        <v>0.9</v>
      </c>
      <c r="I1545" s="143">
        <f>+G1545/H1545</f>
        <v>220000</v>
      </c>
      <c r="K1545" s="147"/>
    </row>
    <row r="1546" spans="2:15" ht="10.5" customHeight="1" thickBot="1" x14ac:dyDescent="0.3">
      <c r="B1546" s="371" t="s">
        <v>318</v>
      </c>
      <c r="C1546" s="372"/>
      <c r="D1546" s="372"/>
      <c r="E1546" s="372"/>
      <c r="F1546" s="372"/>
      <c r="G1546" s="372"/>
      <c r="H1546" s="372"/>
      <c r="I1546" s="144">
        <f>SUM(I1543:I1545)</f>
        <v>660000</v>
      </c>
      <c r="K1546" s="281"/>
      <c r="N1546" s="150"/>
    </row>
    <row r="1547" spans="2:15" ht="6" customHeight="1" thickBot="1" x14ac:dyDescent="0.3">
      <c r="B1547" s="373"/>
      <c r="C1547" s="373"/>
      <c r="D1547" s="373"/>
      <c r="E1547" s="373"/>
      <c r="F1547" s="373"/>
      <c r="G1547" s="373"/>
      <c r="H1547" s="373"/>
      <c r="I1547" s="373"/>
    </row>
    <row r="1548" spans="2:15" ht="10.5" customHeight="1" thickBot="1" x14ac:dyDescent="0.3">
      <c r="B1548" s="374" t="s">
        <v>334</v>
      </c>
      <c r="C1548" s="375"/>
      <c r="D1548" s="375"/>
      <c r="E1548" s="375"/>
      <c r="F1548" s="375"/>
      <c r="G1548" s="375"/>
      <c r="H1548" s="376"/>
      <c r="I1548" s="152">
        <f>ROUND(+I1529+I1534+I1539+I1546,0)</f>
        <v>7211400</v>
      </c>
      <c r="J1548" s="281"/>
      <c r="K1548" s="169"/>
      <c r="L1548" s="181"/>
      <c r="M1548" s="181"/>
      <c r="N1548" s="153"/>
    </row>
    <row r="1549" spans="2:15" ht="6" customHeight="1" thickBot="1" x14ac:dyDescent="0.3">
      <c r="B1549" s="373"/>
      <c r="C1549" s="373"/>
      <c r="D1549" s="373"/>
      <c r="E1549" s="373"/>
      <c r="F1549" s="373"/>
      <c r="G1549" s="373"/>
      <c r="H1549" s="373"/>
      <c r="I1549" s="373"/>
    </row>
    <row r="1550" spans="2:15" ht="8.25" customHeight="1" x14ac:dyDescent="0.25">
      <c r="B1550" s="433" t="s">
        <v>335</v>
      </c>
      <c r="C1550" s="417"/>
      <c r="D1550" s="418"/>
      <c r="E1550" s="418"/>
      <c r="F1550" s="419"/>
      <c r="G1550" s="369" t="s">
        <v>336</v>
      </c>
      <c r="H1550" s="370"/>
      <c r="I1550" s="370"/>
    </row>
    <row r="1551" spans="2:15" ht="33.75" customHeight="1" x14ac:dyDescent="0.25">
      <c r="B1551" s="434"/>
      <c r="C1551" s="420"/>
      <c r="D1551" s="421"/>
      <c r="E1551" s="421"/>
      <c r="F1551" s="422"/>
      <c r="G1551" s="430" t="s">
        <v>337</v>
      </c>
      <c r="H1551" s="431"/>
      <c r="I1551" s="431"/>
      <c r="L1551" s="181"/>
      <c r="M1551" s="181"/>
      <c r="N1551" s="179"/>
    </row>
    <row r="1552" spans="2:15" ht="13.5" customHeight="1" x14ac:dyDescent="0.25">
      <c r="B1552" s="434"/>
      <c r="C1552" s="420"/>
      <c r="D1552" s="421"/>
      <c r="E1552" s="421"/>
      <c r="F1552" s="422"/>
      <c r="G1552" s="154" t="s">
        <v>92</v>
      </c>
      <c r="H1552" s="432" t="s">
        <v>93</v>
      </c>
      <c r="I1552" s="432"/>
    </row>
    <row r="1553" spans="2:9" ht="16.5" customHeight="1" x14ac:dyDescent="0.25">
      <c r="B1553" s="435"/>
      <c r="C1553" s="420"/>
      <c r="D1553" s="421"/>
      <c r="E1553" s="421"/>
      <c r="F1553" s="422"/>
      <c r="G1553" s="155" t="s">
        <v>94</v>
      </c>
      <c r="H1553" s="156" t="s">
        <v>95</v>
      </c>
      <c r="I1553" s="157" t="s">
        <v>96</v>
      </c>
    </row>
    <row r="1554" spans="2:9" x14ac:dyDescent="0.25">
      <c r="B1554" s="268" t="s">
        <v>18</v>
      </c>
      <c r="C1554" s="427"/>
      <c r="D1554" s="428"/>
      <c r="E1554" s="428"/>
      <c r="F1554" s="429"/>
      <c r="G1554" s="155" t="s">
        <v>98</v>
      </c>
      <c r="H1554" s="157" t="s">
        <v>99</v>
      </c>
      <c r="I1554" s="157" t="s">
        <v>100</v>
      </c>
    </row>
    <row r="1555" spans="2:9" x14ac:dyDescent="0.25">
      <c r="B1555" s="269" t="s">
        <v>97</v>
      </c>
      <c r="C1555" s="427"/>
      <c r="D1555" s="428"/>
      <c r="E1555" s="428"/>
      <c r="F1555" s="429"/>
      <c r="G1555" s="154" t="s">
        <v>338</v>
      </c>
      <c r="H1555" s="426"/>
      <c r="I1555" s="426"/>
    </row>
    <row r="1556" spans="2:9" ht="15.75" thickBot="1" x14ac:dyDescent="0.3">
      <c r="B1556" s="270" t="s">
        <v>101</v>
      </c>
      <c r="C1556" s="423"/>
      <c r="D1556" s="424"/>
      <c r="E1556" s="424"/>
      <c r="F1556" s="425"/>
      <c r="G1556" s="154" t="s">
        <v>102</v>
      </c>
      <c r="H1556" s="426" t="s">
        <v>103</v>
      </c>
      <c r="I1556" s="426"/>
    </row>
    <row r="1557" spans="2:9" ht="45" customHeight="1" thickBot="1" x14ac:dyDescent="0.3">
      <c r="B1557" s="401"/>
      <c r="C1557" s="402"/>
      <c r="D1557" s="402"/>
      <c r="E1557" s="402"/>
      <c r="F1557" s="403" t="s">
        <v>0</v>
      </c>
      <c r="G1557" s="403"/>
      <c r="H1557" s="403"/>
      <c r="I1557" s="404"/>
    </row>
    <row r="1558" spans="2:9" ht="6" customHeight="1" thickBot="1" x14ac:dyDescent="0.3">
      <c r="B1558" s="373"/>
      <c r="C1558" s="373"/>
      <c r="D1558" s="373"/>
      <c r="E1558" s="373"/>
      <c r="F1558" s="373"/>
      <c r="G1558" s="373"/>
      <c r="H1558" s="373"/>
      <c r="I1558" s="373"/>
    </row>
    <row r="1559" spans="2:9" ht="10.5" customHeight="1" x14ac:dyDescent="0.25">
      <c r="B1559" s="405" t="s">
        <v>294</v>
      </c>
      <c r="C1559" s="406"/>
      <c r="D1559" s="407" t="s">
        <v>295</v>
      </c>
      <c r="E1559" s="409" t="s">
        <v>296</v>
      </c>
      <c r="F1559" s="410"/>
      <c r="G1559" s="410"/>
      <c r="H1559" s="410"/>
      <c r="I1559" s="411"/>
    </row>
    <row r="1560" spans="2:9" ht="9" customHeight="1" thickBot="1" x14ac:dyDescent="0.3">
      <c r="B1560" s="415"/>
      <c r="C1560" s="416"/>
      <c r="D1560" s="408"/>
      <c r="E1560" s="412"/>
      <c r="F1560" s="413"/>
      <c r="G1560" s="413"/>
      <c r="H1560" s="413"/>
      <c r="I1560" s="414"/>
    </row>
    <row r="1561" spans="2:9" ht="6" customHeight="1" thickBot="1" x14ac:dyDescent="0.3">
      <c r="B1561" s="373"/>
      <c r="C1561" s="373"/>
      <c r="D1561" s="373"/>
      <c r="E1561" s="373"/>
      <c r="F1561" s="373"/>
      <c r="G1561" s="373"/>
      <c r="H1561" s="373"/>
      <c r="I1561" s="373"/>
    </row>
    <row r="1562" spans="2:9" ht="17.25" customHeight="1" thickBot="1" x14ac:dyDescent="0.3">
      <c r="B1562" s="390" t="s">
        <v>297</v>
      </c>
      <c r="C1562" s="391"/>
      <c r="D1562" s="392"/>
      <c r="E1562" s="393"/>
      <c r="F1562" s="393"/>
      <c r="G1562" s="394"/>
      <c r="H1562" s="127" t="s">
        <v>298</v>
      </c>
      <c r="I1562" s="128"/>
    </row>
    <row r="1563" spans="2:9" ht="6" customHeight="1" thickBot="1" x14ac:dyDescent="0.3">
      <c r="B1563" s="373"/>
      <c r="C1563" s="373"/>
      <c r="D1563" s="373"/>
      <c r="E1563" s="373"/>
      <c r="F1563" s="373"/>
      <c r="G1563" s="373"/>
      <c r="H1563" s="373"/>
      <c r="I1563" s="373"/>
    </row>
    <row r="1564" spans="2:9" ht="19.5" customHeight="1" x14ac:dyDescent="0.25">
      <c r="B1564" s="261" t="s">
        <v>299</v>
      </c>
      <c r="C1564" s="129" t="s">
        <v>300</v>
      </c>
      <c r="D1564" s="130" t="s">
        <v>301</v>
      </c>
      <c r="E1564" s="130" t="s">
        <v>302</v>
      </c>
      <c r="F1564" s="398" t="s">
        <v>303</v>
      </c>
      <c r="G1564" s="399"/>
      <c r="H1564" s="400"/>
      <c r="I1564" s="131" t="s">
        <v>304</v>
      </c>
    </row>
    <row r="1565" spans="2:9" ht="11.25" customHeight="1" x14ac:dyDescent="0.25">
      <c r="B1565" s="262"/>
      <c r="C1565" s="132"/>
      <c r="D1565" s="132" t="s">
        <v>305</v>
      </c>
      <c r="E1565" s="132" t="s">
        <v>306</v>
      </c>
      <c r="F1565" s="395" t="s">
        <v>339</v>
      </c>
      <c r="G1565" s="396"/>
      <c r="H1565" s="397"/>
      <c r="I1565" s="133"/>
    </row>
    <row r="1566" spans="2:9" ht="28.5" customHeight="1" x14ac:dyDescent="0.25">
      <c r="B1566" s="263" t="s">
        <v>307</v>
      </c>
      <c r="C1566" s="383" t="s">
        <v>414</v>
      </c>
      <c r="D1566" s="384"/>
      <c r="E1566" s="384"/>
      <c r="F1566" s="384"/>
      <c r="G1566" s="384"/>
      <c r="H1566" s="384"/>
      <c r="I1566" s="385"/>
    </row>
    <row r="1567" spans="2:9" ht="10.5" customHeight="1" x14ac:dyDescent="0.25">
      <c r="B1567" s="264" t="s">
        <v>129</v>
      </c>
      <c r="C1567" s="388" t="s">
        <v>308</v>
      </c>
      <c r="D1567" s="389"/>
      <c r="E1567" s="389"/>
      <c r="F1567" s="389"/>
      <c r="G1567" s="389"/>
      <c r="H1567" s="389"/>
      <c r="I1567" s="134" t="s">
        <v>130</v>
      </c>
    </row>
    <row r="1568" spans="2:9" ht="50.25" customHeight="1" thickBot="1" x14ac:dyDescent="0.3">
      <c r="B1568" s="265">
        <v>6.2199999999999953</v>
      </c>
      <c r="C1568" s="386" t="s">
        <v>579</v>
      </c>
      <c r="D1568" s="387"/>
      <c r="E1568" s="387"/>
      <c r="F1568" s="387"/>
      <c r="G1568" s="387"/>
      <c r="H1568" s="387"/>
      <c r="I1568" s="135" t="s">
        <v>27</v>
      </c>
    </row>
    <row r="1569" spans="2:15" ht="6" customHeight="1" thickBot="1" x14ac:dyDescent="0.3">
      <c r="B1569" s="373"/>
      <c r="C1569" s="373"/>
      <c r="D1569" s="373"/>
      <c r="E1569" s="373"/>
      <c r="F1569" s="373"/>
      <c r="G1569" s="373"/>
      <c r="H1569" s="373"/>
      <c r="I1569" s="373"/>
    </row>
    <row r="1570" spans="2:15" x14ac:dyDescent="0.25">
      <c r="B1570" s="380" t="s">
        <v>309</v>
      </c>
      <c r="C1570" s="381"/>
      <c r="D1570" s="381"/>
      <c r="E1570" s="381"/>
      <c r="F1570" s="381"/>
      <c r="G1570" s="381"/>
      <c r="H1570" s="381"/>
      <c r="I1570" s="382"/>
      <c r="K1570" s="182"/>
    </row>
    <row r="1571" spans="2:15" ht="11.25" customHeight="1" x14ac:dyDescent="0.25">
      <c r="B1571" s="377" t="s">
        <v>310</v>
      </c>
      <c r="C1571" s="378"/>
      <c r="D1571" s="379"/>
      <c r="E1571" s="136"/>
      <c r="F1571" s="137" t="s">
        <v>311</v>
      </c>
      <c r="G1571" s="137" t="s">
        <v>312</v>
      </c>
      <c r="H1571" s="137" t="s">
        <v>313</v>
      </c>
      <c r="I1571" s="138" t="s">
        <v>314</v>
      </c>
      <c r="L1571" s="139"/>
      <c r="M1571" s="139"/>
    </row>
    <row r="1572" spans="2:15" ht="11.25" customHeight="1" x14ac:dyDescent="0.25">
      <c r="B1572" s="362" t="s">
        <v>315</v>
      </c>
      <c r="C1572" s="363"/>
      <c r="D1572" s="363"/>
      <c r="E1572" s="160"/>
      <c r="F1572" s="161" t="s">
        <v>316</v>
      </c>
      <c r="G1572" s="160">
        <v>5000</v>
      </c>
      <c r="H1572" s="142">
        <v>1</v>
      </c>
      <c r="I1572" s="143">
        <f>G1572*H1572</f>
        <v>5000</v>
      </c>
    </row>
    <row r="1573" spans="2:15" ht="16.5" customHeight="1" x14ac:dyDescent="0.25">
      <c r="B1573" s="362" t="s">
        <v>355</v>
      </c>
      <c r="C1573" s="363"/>
      <c r="D1573" s="363"/>
      <c r="E1573" s="160"/>
      <c r="F1573" s="161" t="s">
        <v>317</v>
      </c>
      <c r="G1573" s="160">
        <v>90000</v>
      </c>
      <c r="H1573" s="142">
        <v>1</v>
      </c>
      <c r="I1573" s="143">
        <f>G1573*H1573</f>
        <v>90000</v>
      </c>
    </row>
    <row r="1574" spans="2:15" ht="10.5" customHeight="1" thickBot="1" x14ac:dyDescent="0.3">
      <c r="B1574" s="371" t="s">
        <v>318</v>
      </c>
      <c r="C1574" s="372"/>
      <c r="D1574" s="372"/>
      <c r="E1574" s="372"/>
      <c r="F1574" s="372"/>
      <c r="G1574" s="372"/>
      <c r="H1574" s="372"/>
      <c r="I1574" s="144">
        <f>SUM(I1572:I1573)</f>
        <v>95000</v>
      </c>
      <c r="N1574" s="150"/>
    </row>
    <row r="1575" spans="2:15" ht="6" customHeight="1" thickBot="1" x14ac:dyDescent="0.3">
      <c r="B1575" s="373"/>
      <c r="C1575" s="373"/>
      <c r="D1575" s="373"/>
      <c r="E1575" s="373"/>
      <c r="F1575" s="373"/>
      <c r="G1575" s="373"/>
      <c r="H1575" s="373"/>
      <c r="I1575" s="373"/>
    </row>
    <row r="1576" spans="2:15" s="145" customFormat="1" x14ac:dyDescent="0.25">
      <c r="B1576" s="380" t="s">
        <v>319</v>
      </c>
      <c r="C1576" s="381"/>
      <c r="D1576" s="381"/>
      <c r="E1576" s="381"/>
      <c r="F1576" s="381"/>
      <c r="G1576" s="381"/>
      <c r="H1576" s="381"/>
      <c r="I1576" s="382"/>
    </row>
    <row r="1577" spans="2:15" s="145" customFormat="1" ht="15.75" customHeight="1" x14ac:dyDescent="0.25">
      <c r="B1577" s="377" t="s">
        <v>310</v>
      </c>
      <c r="C1577" s="378"/>
      <c r="D1577" s="379"/>
      <c r="E1577" s="137"/>
      <c r="F1577" s="137" t="s">
        <v>320</v>
      </c>
      <c r="G1577" s="137" t="s">
        <v>321</v>
      </c>
      <c r="H1577" s="137" t="s">
        <v>322</v>
      </c>
      <c r="I1577" s="138" t="s">
        <v>314</v>
      </c>
    </row>
    <row r="1578" spans="2:15" ht="74.25" customHeight="1" x14ac:dyDescent="0.25">
      <c r="B1578" s="436" t="s">
        <v>579</v>
      </c>
      <c r="C1578" s="437"/>
      <c r="D1578" s="438"/>
      <c r="E1578" s="163"/>
      <c r="F1578" s="161" t="s">
        <v>27</v>
      </c>
      <c r="G1578" s="160">
        <f>4608265-2844588+1+2363017-2281275+6608683-4824123+540000+2212920-4802908+1</f>
        <v>1579993</v>
      </c>
      <c r="H1578" s="142">
        <v>1</v>
      </c>
      <c r="I1578" s="143">
        <f>G1578*H1578</f>
        <v>1579993</v>
      </c>
      <c r="M1578">
        <v>4608265</v>
      </c>
    </row>
    <row r="1579" spans="2:15" ht="18" customHeight="1" thickBot="1" x14ac:dyDescent="0.3">
      <c r="B1579" s="371" t="s">
        <v>318</v>
      </c>
      <c r="C1579" s="372"/>
      <c r="D1579" s="372"/>
      <c r="E1579" s="372"/>
      <c r="F1579" s="372"/>
      <c r="G1579" s="372"/>
      <c r="H1579" s="372"/>
      <c r="I1579" s="144">
        <f>SUM(I1578:I1578)</f>
        <v>1579993</v>
      </c>
      <c r="N1579" s="150"/>
    </row>
    <row r="1580" spans="2:15" ht="6" customHeight="1" thickBot="1" x14ac:dyDescent="0.3">
      <c r="B1580" s="373"/>
      <c r="C1580" s="373"/>
      <c r="D1580" s="373"/>
      <c r="E1580" s="373"/>
      <c r="F1580" s="373"/>
      <c r="G1580" s="373"/>
      <c r="H1580" s="373"/>
      <c r="I1580" s="373"/>
    </row>
    <row r="1581" spans="2:15" s="145" customFormat="1" x14ac:dyDescent="0.25">
      <c r="B1581" s="380" t="s">
        <v>323</v>
      </c>
      <c r="C1581" s="381"/>
      <c r="D1581" s="381"/>
      <c r="E1581" s="381"/>
      <c r="F1581" s="381"/>
      <c r="G1581" s="381"/>
      <c r="H1581" s="381"/>
      <c r="I1581" s="382"/>
      <c r="L1581" s="146"/>
      <c r="M1581" s="146"/>
    </row>
    <row r="1582" spans="2:15" s="145" customFormat="1" x14ac:dyDescent="0.25">
      <c r="B1582" s="377" t="s">
        <v>324</v>
      </c>
      <c r="C1582" s="378"/>
      <c r="D1582" s="379"/>
      <c r="E1582" s="137" t="s">
        <v>325</v>
      </c>
      <c r="F1582" s="137" t="s">
        <v>326</v>
      </c>
      <c r="G1582" s="137" t="s">
        <v>130</v>
      </c>
      <c r="H1582" s="137" t="s">
        <v>327</v>
      </c>
      <c r="I1582" s="138" t="s">
        <v>314</v>
      </c>
      <c r="K1582" s="260"/>
      <c r="N1582" s="183"/>
      <c r="O1582" s="148"/>
    </row>
    <row r="1583" spans="2:15" ht="11.25" customHeight="1" x14ac:dyDescent="0.25">
      <c r="B1583" s="362" t="s">
        <v>711</v>
      </c>
      <c r="C1583" s="363"/>
      <c r="D1583" s="363"/>
      <c r="E1583" s="170">
        <v>1</v>
      </c>
      <c r="F1583" s="164"/>
      <c r="G1583" s="161"/>
      <c r="H1583" s="162">
        <v>20000</v>
      </c>
      <c r="I1583" s="143">
        <f>H1583*E1583</f>
        <v>20000</v>
      </c>
      <c r="K1583" s="281">
        <f>+K1586-I1593</f>
        <v>-0.5</v>
      </c>
    </row>
    <row r="1584" spans="2:15" ht="10.5" customHeight="1" thickBot="1" x14ac:dyDescent="0.3">
      <c r="B1584" s="371" t="s">
        <v>318</v>
      </c>
      <c r="C1584" s="372"/>
      <c r="D1584" s="372"/>
      <c r="E1584" s="372"/>
      <c r="F1584" s="372"/>
      <c r="G1584" s="372"/>
      <c r="H1584" s="372"/>
      <c r="I1584" s="144">
        <f>SUM(I1583:I1583)</f>
        <v>20000</v>
      </c>
      <c r="N1584" s="150"/>
    </row>
    <row r="1585" spans="2:15" ht="6" customHeight="1" thickBot="1" x14ac:dyDescent="0.3">
      <c r="B1585" s="373"/>
      <c r="C1585" s="373"/>
      <c r="D1585" s="373"/>
      <c r="E1585" s="373"/>
      <c r="F1585" s="373"/>
      <c r="G1585" s="373"/>
      <c r="H1585" s="373"/>
      <c r="I1585" s="373"/>
    </row>
    <row r="1586" spans="2:15" s="145" customFormat="1" ht="20.100000000000001" customHeight="1" x14ac:dyDescent="0.25">
      <c r="B1586" s="380" t="s">
        <v>328</v>
      </c>
      <c r="C1586" s="381"/>
      <c r="D1586" s="381"/>
      <c r="E1586" s="381"/>
      <c r="F1586" s="381"/>
      <c r="G1586" s="381"/>
      <c r="H1586" s="381"/>
      <c r="I1586" s="382"/>
      <c r="K1586" s="147">
        <v>1892992.5</v>
      </c>
      <c r="N1586" s="148"/>
      <c r="O1586" s="149"/>
    </row>
    <row r="1587" spans="2:15" s="145" customFormat="1" ht="20.100000000000001" customHeight="1" x14ac:dyDescent="0.25">
      <c r="B1587" s="377" t="s">
        <v>329</v>
      </c>
      <c r="C1587" s="379"/>
      <c r="D1587" s="137" t="s">
        <v>322</v>
      </c>
      <c r="E1587" s="137" t="s">
        <v>330</v>
      </c>
      <c r="F1587" s="137" t="s">
        <v>331</v>
      </c>
      <c r="G1587" s="137" t="s">
        <v>332</v>
      </c>
      <c r="H1587" s="137" t="s">
        <v>313</v>
      </c>
      <c r="I1587" s="138" t="s">
        <v>314</v>
      </c>
      <c r="K1587" s="147"/>
      <c r="O1587" s="179"/>
    </row>
    <row r="1588" spans="2:15" s="151" customFormat="1" ht="9.75" customHeight="1" x14ac:dyDescent="0.25">
      <c r="B1588" s="367" t="s">
        <v>356</v>
      </c>
      <c r="C1588" s="368"/>
      <c r="D1588" s="180">
        <v>1</v>
      </c>
      <c r="E1588" s="141">
        <v>140000</v>
      </c>
      <c r="F1588" s="141">
        <f>+E1588*0.8</f>
        <v>112000</v>
      </c>
      <c r="G1588" s="178">
        <f>D1588*E1588+F1588*D1588</f>
        <v>252000</v>
      </c>
      <c r="H1588" s="184">
        <v>3</v>
      </c>
      <c r="I1588" s="143">
        <f>+G1588/H1588</f>
        <v>84000</v>
      </c>
      <c r="J1588" s="145"/>
      <c r="K1588" s="147"/>
    </row>
    <row r="1589" spans="2:15" s="151" customFormat="1" ht="11.25" customHeight="1" x14ac:dyDescent="0.25">
      <c r="B1589" s="367" t="s">
        <v>374</v>
      </c>
      <c r="C1589" s="368"/>
      <c r="D1589" s="180">
        <v>1</v>
      </c>
      <c r="E1589" s="141">
        <v>80000</v>
      </c>
      <c r="F1589" s="141">
        <f>+E1589*0.8</f>
        <v>64000</v>
      </c>
      <c r="G1589" s="178">
        <f>D1589*E1589+F1589*D1589</f>
        <v>144000</v>
      </c>
      <c r="H1589" s="184">
        <f>+H1588</f>
        <v>3</v>
      </c>
      <c r="I1589" s="143">
        <f>+G1589/H1589</f>
        <v>48000</v>
      </c>
      <c r="J1589" s="145"/>
      <c r="K1589" s="147"/>
      <c r="L1589" s="179"/>
      <c r="M1589" s="179"/>
    </row>
    <row r="1590" spans="2:15" s="145" customFormat="1" ht="10.5" customHeight="1" x14ac:dyDescent="0.25">
      <c r="B1590" s="367" t="s">
        <v>333</v>
      </c>
      <c r="C1590" s="368"/>
      <c r="D1590" s="180">
        <v>2</v>
      </c>
      <c r="E1590" s="141">
        <v>55000</v>
      </c>
      <c r="F1590" s="141">
        <f>+E1590*0.8</f>
        <v>44000</v>
      </c>
      <c r="G1590" s="178">
        <f>D1590*E1590+F1590*D1590</f>
        <v>198000</v>
      </c>
      <c r="H1590" s="184">
        <f>+H1588</f>
        <v>3</v>
      </c>
      <c r="I1590" s="143">
        <f>+G1590/H1590</f>
        <v>66000</v>
      </c>
      <c r="K1590" s="147"/>
    </row>
    <row r="1591" spans="2:15" ht="10.5" customHeight="1" thickBot="1" x14ac:dyDescent="0.3">
      <c r="B1591" s="371" t="s">
        <v>318</v>
      </c>
      <c r="C1591" s="372"/>
      <c r="D1591" s="372"/>
      <c r="E1591" s="372"/>
      <c r="F1591" s="372"/>
      <c r="G1591" s="372"/>
      <c r="H1591" s="372"/>
      <c r="I1591" s="144">
        <f>SUM(I1588:I1590)</f>
        <v>198000</v>
      </c>
      <c r="K1591" s="281"/>
      <c r="N1591" s="150"/>
    </row>
    <row r="1592" spans="2:15" ht="6" customHeight="1" thickBot="1" x14ac:dyDescent="0.3">
      <c r="B1592" s="373"/>
      <c r="C1592" s="373"/>
      <c r="D1592" s="373"/>
      <c r="E1592" s="373"/>
      <c r="F1592" s="373"/>
      <c r="G1592" s="373"/>
      <c r="H1592" s="373"/>
      <c r="I1592" s="373"/>
    </row>
    <row r="1593" spans="2:15" ht="10.5" customHeight="1" thickBot="1" x14ac:dyDescent="0.3">
      <c r="B1593" s="374" t="s">
        <v>334</v>
      </c>
      <c r="C1593" s="375"/>
      <c r="D1593" s="375"/>
      <c r="E1593" s="375"/>
      <c r="F1593" s="375"/>
      <c r="G1593" s="375"/>
      <c r="H1593" s="376"/>
      <c r="I1593" s="152">
        <f>ROUND(+I1574+I1579+I1584+I1591,0)</f>
        <v>1892993</v>
      </c>
      <c r="J1593" s="281"/>
      <c r="K1593" s="169"/>
      <c r="L1593" s="181"/>
      <c r="M1593" s="181"/>
      <c r="N1593" s="153"/>
    </row>
    <row r="1594" spans="2:15" ht="6" customHeight="1" thickBot="1" x14ac:dyDescent="0.3">
      <c r="B1594" s="373"/>
      <c r="C1594" s="373"/>
      <c r="D1594" s="373"/>
      <c r="E1594" s="373"/>
      <c r="F1594" s="373"/>
      <c r="G1594" s="373"/>
      <c r="H1594" s="373"/>
      <c r="I1594" s="373"/>
    </row>
    <row r="1595" spans="2:15" ht="8.25" customHeight="1" x14ac:dyDescent="0.25">
      <c r="B1595" s="433" t="s">
        <v>335</v>
      </c>
      <c r="C1595" s="417"/>
      <c r="D1595" s="418"/>
      <c r="E1595" s="418"/>
      <c r="F1595" s="419"/>
      <c r="G1595" s="369" t="s">
        <v>336</v>
      </c>
      <c r="H1595" s="370"/>
      <c r="I1595" s="370"/>
    </row>
    <row r="1596" spans="2:15" ht="33.75" customHeight="1" x14ac:dyDescent="0.25">
      <c r="B1596" s="434"/>
      <c r="C1596" s="420"/>
      <c r="D1596" s="421"/>
      <c r="E1596" s="421"/>
      <c r="F1596" s="422"/>
      <c r="G1596" s="430" t="s">
        <v>337</v>
      </c>
      <c r="H1596" s="431"/>
      <c r="I1596" s="431"/>
      <c r="L1596" s="181"/>
      <c r="M1596" s="181"/>
      <c r="N1596" s="179"/>
    </row>
    <row r="1597" spans="2:15" ht="13.5" customHeight="1" x14ac:dyDescent="0.25">
      <c r="B1597" s="434"/>
      <c r="C1597" s="420"/>
      <c r="D1597" s="421"/>
      <c r="E1597" s="421"/>
      <c r="F1597" s="422"/>
      <c r="G1597" s="154" t="s">
        <v>92</v>
      </c>
      <c r="H1597" s="432" t="s">
        <v>93</v>
      </c>
      <c r="I1597" s="432"/>
    </row>
    <row r="1598" spans="2:15" ht="16.5" customHeight="1" x14ac:dyDescent="0.25">
      <c r="B1598" s="435"/>
      <c r="C1598" s="420"/>
      <c r="D1598" s="421"/>
      <c r="E1598" s="421"/>
      <c r="F1598" s="422"/>
      <c r="G1598" s="155" t="s">
        <v>94</v>
      </c>
      <c r="H1598" s="156" t="s">
        <v>95</v>
      </c>
      <c r="I1598" s="157" t="s">
        <v>96</v>
      </c>
    </row>
    <row r="1599" spans="2:15" x14ac:dyDescent="0.25">
      <c r="B1599" s="268" t="s">
        <v>18</v>
      </c>
      <c r="C1599" s="427"/>
      <c r="D1599" s="428"/>
      <c r="E1599" s="428"/>
      <c r="F1599" s="429"/>
      <c r="G1599" s="155" t="s">
        <v>98</v>
      </c>
      <c r="H1599" s="157" t="s">
        <v>99</v>
      </c>
      <c r="I1599" s="157" t="s">
        <v>100</v>
      </c>
    </row>
    <row r="1600" spans="2:15" x14ac:dyDescent="0.25">
      <c r="B1600" s="269" t="s">
        <v>97</v>
      </c>
      <c r="C1600" s="427"/>
      <c r="D1600" s="428"/>
      <c r="E1600" s="428"/>
      <c r="F1600" s="429"/>
      <c r="G1600" s="154" t="s">
        <v>338</v>
      </c>
      <c r="H1600" s="426"/>
      <c r="I1600" s="426"/>
    </row>
    <row r="1601" spans="2:13" ht="15.75" thickBot="1" x14ac:dyDescent="0.3">
      <c r="B1601" s="270" t="s">
        <v>101</v>
      </c>
      <c r="C1601" s="423"/>
      <c r="D1601" s="439"/>
      <c r="E1601" s="439"/>
      <c r="F1601" s="440"/>
      <c r="G1601" s="154" t="s">
        <v>102</v>
      </c>
      <c r="H1601" s="441" t="s">
        <v>103</v>
      </c>
      <c r="I1601" s="442"/>
    </row>
    <row r="1602" spans="2:13" ht="45" customHeight="1" thickBot="1" x14ac:dyDescent="0.3">
      <c r="B1602" s="401"/>
      <c r="C1602" s="402"/>
      <c r="D1602" s="402"/>
      <c r="E1602" s="402"/>
      <c r="F1602" s="403" t="s">
        <v>0</v>
      </c>
      <c r="G1602" s="403"/>
      <c r="H1602" s="403"/>
      <c r="I1602" s="404"/>
    </row>
    <row r="1603" spans="2:13" ht="6" customHeight="1" thickBot="1" x14ac:dyDescent="0.3">
      <c r="B1603" s="373"/>
      <c r="C1603" s="373"/>
      <c r="D1603" s="373"/>
      <c r="E1603" s="373"/>
      <c r="F1603" s="373"/>
      <c r="G1603" s="373"/>
      <c r="H1603" s="373"/>
      <c r="I1603" s="373"/>
    </row>
    <row r="1604" spans="2:13" ht="10.5" customHeight="1" x14ac:dyDescent="0.25">
      <c r="B1604" s="405" t="s">
        <v>294</v>
      </c>
      <c r="C1604" s="406"/>
      <c r="D1604" s="407" t="s">
        <v>295</v>
      </c>
      <c r="E1604" s="409" t="s">
        <v>296</v>
      </c>
      <c r="F1604" s="410"/>
      <c r="G1604" s="410"/>
      <c r="H1604" s="410"/>
      <c r="I1604" s="411"/>
    </row>
    <row r="1605" spans="2:13" ht="9" customHeight="1" thickBot="1" x14ac:dyDescent="0.3">
      <c r="B1605" s="415"/>
      <c r="C1605" s="416"/>
      <c r="D1605" s="408"/>
      <c r="E1605" s="412"/>
      <c r="F1605" s="413"/>
      <c r="G1605" s="413"/>
      <c r="H1605" s="413"/>
      <c r="I1605" s="414"/>
    </row>
    <row r="1606" spans="2:13" ht="6" customHeight="1" thickBot="1" x14ac:dyDescent="0.3">
      <c r="B1606" s="373"/>
      <c r="C1606" s="373"/>
      <c r="D1606" s="373"/>
      <c r="E1606" s="373"/>
      <c r="F1606" s="373"/>
      <c r="G1606" s="373"/>
      <c r="H1606" s="373"/>
      <c r="I1606" s="373"/>
    </row>
    <row r="1607" spans="2:13" ht="17.25" customHeight="1" thickBot="1" x14ac:dyDescent="0.3">
      <c r="B1607" s="390" t="s">
        <v>297</v>
      </c>
      <c r="C1607" s="391"/>
      <c r="D1607" s="392"/>
      <c r="E1607" s="393"/>
      <c r="F1607" s="393"/>
      <c r="G1607" s="394"/>
      <c r="H1607" s="127" t="s">
        <v>298</v>
      </c>
      <c r="I1607" s="128"/>
    </row>
    <row r="1608" spans="2:13" ht="6" customHeight="1" thickBot="1" x14ac:dyDescent="0.3">
      <c r="B1608" s="373"/>
      <c r="C1608" s="373"/>
      <c r="D1608" s="373"/>
      <c r="E1608" s="373"/>
      <c r="F1608" s="373"/>
      <c r="G1608" s="373"/>
      <c r="H1608" s="373"/>
      <c r="I1608" s="373"/>
    </row>
    <row r="1609" spans="2:13" ht="19.5" customHeight="1" x14ac:dyDescent="0.25">
      <c r="B1609" s="261" t="s">
        <v>299</v>
      </c>
      <c r="C1609" s="129" t="s">
        <v>300</v>
      </c>
      <c r="D1609" s="130" t="s">
        <v>301</v>
      </c>
      <c r="E1609" s="130" t="s">
        <v>302</v>
      </c>
      <c r="F1609" s="398" t="s">
        <v>303</v>
      </c>
      <c r="G1609" s="399"/>
      <c r="H1609" s="400"/>
      <c r="I1609" s="131" t="s">
        <v>304</v>
      </c>
    </row>
    <row r="1610" spans="2:13" ht="11.25" customHeight="1" x14ac:dyDescent="0.25">
      <c r="B1610" s="262"/>
      <c r="C1610" s="132"/>
      <c r="D1610" s="132" t="s">
        <v>305</v>
      </c>
      <c r="E1610" s="132" t="s">
        <v>306</v>
      </c>
      <c r="F1610" s="395" t="s">
        <v>339</v>
      </c>
      <c r="G1610" s="396"/>
      <c r="H1610" s="397"/>
      <c r="I1610" s="133"/>
    </row>
    <row r="1611" spans="2:13" ht="28.5" customHeight="1" x14ac:dyDescent="0.25">
      <c r="B1611" s="263" t="s">
        <v>307</v>
      </c>
      <c r="C1611" s="383" t="s">
        <v>414</v>
      </c>
      <c r="D1611" s="384"/>
      <c r="E1611" s="384"/>
      <c r="F1611" s="384"/>
      <c r="G1611" s="384"/>
      <c r="H1611" s="384"/>
      <c r="I1611" s="385"/>
    </row>
    <row r="1612" spans="2:13" ht="10.5" customHeight="1" x14ac:dyDescent="0.25">
      <c r="B1612" s="264" t="s">
        <v>129</v>
      </c>
      <c r="C1612" s="388" t="s">
        <v>308</v>
      </c>
      <c r="D1612" s="389"/>
      <c r="E1612" s="389"/>
      <c r="F1612" s="389"/>
      <c r="G1612" s="389"/>
      <c r="H1612" s="389"/>
      <c r="I1612" s="134" t="s">
        <v>130</v>
      </c>
    </row>
    <row r="1613" spans="2:13" ht="50.25" customHeight="1" thickBot="1" x14ac:dyDescent="0.3">
      <c r="B1613" s="265">
        <v>6.2299999999999951</v>
      </c>
      <c r="C1613" s="386" t="s">
        <v>580</v>
      </c>
      <c r="D1613" s="387"/>
      <c r="E1613" s="387"/>
      <c r="F1613" s="387"/>
      <c r="G1613" s="387"/>
      <c r="H1613" s="387"/>
      <c r="I1613" s="135" t="s">
        <v>27</v>
      </c>
    </row>
    <row r="1614" spans="2:13" ht="6" customHeight="1" thickBot="1" x14ac:dyDescent="0.3">
      <c r="B1614" s="373"/>
      <c r="C1614" s="373"/>
      <c r="D1614" s="373"/>
      <c r="E1614" s="373"/>
      <c r="F1614" s="373"/>
      <c r="G1614" s="373"/>
      <c r="H1614" s="373"/>
      <c r="I1614" s="373"/>
    </row>
    <row r="1615" spans="2:13" x14ac:dyDescent="0.25">
      <c r="B1615" s="380" t="s">
        <v>309</v>
      </c>
      <c r="C1615" s="381"/>
      <c r="D1615" s="381"/>
      <c r="E1615" s="381"/>
      <c r="F1615" s="381"/>
      <c r="G1615" s="381"/>
      <c r="H1615" s="381"/>
      <c r="I1615" s="382"/>
      <c r="K1615" s="182"/>
    </row>
    <row r="1616" spans="2:13" ht="11.25" customHeight="1" x14ac:dyDescent="0.25">
      <c r="B1616" s="377" t="s">
        <v>310</v>
      </c>
      <c r="C1616" s="378"/>
      <c r="D1616" s="379"/>
      <c r="E1616" s="136"/>
      <c r="F1616" s="137" t="s">
        <v>311</v>
      </c>
      <c r="G1616" s="137" t="s">
        <v>312</v>
      </c>
      <c r="H1616" s="137" t="s">
        <v>313</v>
      </c>
      <c r="I1616" s="138" t="s">
        <v>314</v>
      </c>
      <c r="L1616" s="139"/>
      <c r="M1616" s="139"/>
    </row>
    <row r="1617" spans="2:15" ht="11.25" customHeight="1" x14ac:dyDescent="0.25">
      <c r="B1617" s="362" t="s">
        <v>315</v>
      </c>
      <c r="C1617" s="363"/>
      <c r="D1617" s="363"/>
      <c r="E1617" s="160"/>
      <c r="F1617" s="161" t="s">
        <v>316</v>
      </c>
      <c r="G1617" s="160">
        <v>5000</v>
      </c>
      <c r="H1617" s="142">
        <v>1.2</v>
      </c>
      <c r="I1617" s="143">
        <f>G1617*H1617</f>
        <v>6000</v>
      </c>
    </row>
    <row r="1618" spans="2:15" ht="16.5" customHeight="1" x14ac:dyDescent="0.25">
      <c r="B1618" s="362" t="s">
        <v>355</v>
      </c>
      <c r="C1618" s="363"/>
      <c r="D1618" s="363"/>
      <c r="E1618" s="160"/>
      <c r="F1618" s="161" t="s">
        <v>317</v>
      </c>
      <c r="G1618" s="160">
        <v>90000</v>
      </c>
      <c r="H1618" s="142">
        <v>1.2</v>
      </c>
      <c r="I1618" s="143">
        <f>G1618*H1618</f>
        <v>108000</v>
      </c>
    </row>
    <row r="1619" spans="2:15" ht="10.5" customHeight="1" thickBot="1" x14ac:dyDescent="0.3">
      <c r="B1619" s="371" t="s">
        <v>318</v>
      </c>
      <c r="C1619" s="372"/>
      <c r="D1619" s="372"/>
      <c r="E1619" s="372"/>
      <c r="F1619" s="372"/>
      <c r="G1619" s="372"/>
      <c r="H1619" s="372"/>
      <c r="I1619" s="144">
        <f>SUM(I1617:I1618)</f>
        <v>114000</v>
      </c>
      <c r="N1619" s="150"/>
    </row>
    <row r="1620" spans="2:15" ht="6" customHeight="1" thickBot="1" x14ac:dyDescent="0.3">
      <c r="B1620" s="373"/>
      <c r="C1620" s="373"/>
      <c r="D1620" s="373"/>
      <c r="E1620" s="373"/>
      <c r="F1620" s="373"/>
      <c r="G1620" s="373"/>
      <c r="H1620" s="373"/>
      <c r="I1620" s="373"/>
    </row>
    <row r="1621" spans="2:15" s="145" customFormat="1" x14ac:dyDescent="0.25">
      <c r="B1621" s="380" t="s">
        <v>319</v>
      </c>
      <c r="C1621" s="381"/>
      <c r="D1621" s="381"/>
      <c r="E1621" s="381"/>
      <c r="F1621" s="381"/>
      <c r="G1621" s="381"/>
      <c r="H1621" s="381"/>
      <c r="I1621" s="382"/>
    </row>
    <row r="1622" spans="2:15" s="145" customFormat="1" ht="15.75" customHeight="1" x14ac:dyDescent="0.25">
      <c r="B1622" s="377" t="s">
        <v>310</v>
      </c>
      <c r="C1622" s="378"/>
      <c r="D1622" s="379"/>
      <c r="E1622" s="137"/>
      <c r="F1622" s="137" t="s">
        <v>320</v>
      </c>
      <c r="G1622" s="137" t="s">
        <v>321</v>
      </c>
      <c r="H1622" s="137" t="s">
        <v>322</v>
      </c>
      <c r="I1622" s="138" t="s">
        <v>314</v>
      </c>
    </row>
    <row r="1623" spans="2:15" ht="74.25" customHeight="1" x14ac:dyDescent="0.25">
      <c r="B1623" s="436" t="s">
        <v>580</v>
      </c>
      <c r="C1623" s="437"/>
      <c r="D1623" s="438"/>
      <c r="E1623" s="163"/>
      <c r="F1623" s="161" t="s">
        <v>27</v>
      </c>
      <c r="G1623" s="160">
        <f>4608265-2844588+1+2363017-2281275+6608683-4824123+540000+2212920-4802908+1+837825</f>
        <v>2417818</v>
      </c>
      <c r="H1623" s="142">
        <v>1</v>
      </c>
      <c r="I1623" s="143">
        <f>G1623*H1623</f>
        <v>2417818</v>
      </c>
      <c r="M1623">
        <v>4608265</v>
      </c>
    </row>
    <row r="1624" spans="2:15" ht="18" customHeight="1" thickBot="1" x14ac:dyDescent="0.3">
      <c r="B1624" s="371" t="s">
        <v>318</v>
      </c>
      <c r="C1624" s="372"/>
      <c r="D1624" s="372"/>
      <c r="E1624" s="372"/>
      <c r="F1624" s="372"/>
      <c r="G1624" s="372"/>
      <c r="H1624" s="372"/>
      <c r="I1624" s="144">
        <f>SUM(I1623:I1623)</f>
        <v>2417818</v>
      </c>
      <c r="N1624" s="150"/>
    </row>
    <row r="1625" spans="2:15" ht="6" customHeight="1" thickBot="1" x14ac:dyDescent="0.3">
      <c r="B1625" s="373"/>
      <c r="C1625" s="373"/>
      <c r="D1625" s="373"/>
      <c r="E1625" s="373"/>
      <c r="F1625" s="373"/>
      <c r="G1625" s="373"/>
      <c r="H1625" s="373"/>
      <c r="I1625" s="373"/>
    </row>
    <row r="1626" spans="2:15" s="145" customFormat="1" x14ac:dyDescent="0.25">
      <c r="B1626" s="380" t="s">
        <v>323</v>
      </c>
      <c r="C1626" s="381"/>
      <c r="D1626" s="381"/>
      <c r="E1626" s="381"/>
      <c r="F1626" s="381"/>
      <c r="G1626" s="381"/>
      <c r="H1626" s="381"/>
      <c r="I1626" s="382"/>
      <c r="L1626" s="146"/>
      <c r="M1626" s="146"/>
    </row>
    <row r="1627" spans="2:15" s="145" customFormat="1" x14ac:dyDescent="0.25">
      <c r="B1627" s="377" t="s">
        <v>324</v>
      </c>
      <c r="C1627" s="378"/>
      <c r="D1627" s="379"/>
      <c r="E1627" s="137" t="s">
        <v>325</v>
      </c>
      <c r="F1627" s="137" t="s">
        <v>326</v>
      </c>
      <c r="G1627" s="137" t="s">
        <v>130</v>
      </c>
      <c r="H1627" s="137" t="s">
        <v>327</v>
      </c>
      <c r="I1627" s="138" t="s">
        <v>314</v>
      </c>
      <c r="K1627" s="260"/>
      <c r="N1627" s="183"/>
      <c r="O1627" s="148"/>
    </row>
    <row r="1628" spans="2:15" ht="11.25" customHeight="1" x14ac:dyDescent="0.25">
      <c r="B1628" s="362" t="s">
        <v>711</v>
      </c>
      <c r="C1628" s="363"/>
      <c r="D1628" s="363"/>
      <c r="E1628" s="170">
        <v>1</v>
      </c>
      <c r="F1628" s="164"/>
      <c r="G1628" s="161"/>
      <c r="H1628" s="162">
        <v>25000</v>
      </c>
      <c r="I1628" s="143">
        <f>H1628*E1628</f>
        <v>25000</v>
      </c>
      <c r="K1628" s="281"/>
    </row>
    <row r="1629" spans="2:15" ht="10.5" customHeight="1" thickBot="1" x14ac:dyDescent="0.3">
      <c r="B1629" s="371" t="s">
        <v>318</v>
      </c>
      <c r="C1629" s="372"/>
      <c r="D1629" s="372"/>
      <c r="E1629" s="372"/>
      <c r="F1629" s="372"/>
      <c r="G1629" s="372"/>
      <c r="H1629" s="372"/>
      <c r="I1629" s="144">
        <f>SUM(I1628:I1628)</f>
        <v>25000</v>
      </c>
      <c r="N1629" s="150"/>
    </row>
    <row r="1630" spans="2:15" ht="6" customHeight="1" thickBot="1" x14ac:dyDescent="0.3">
      <c r="B1630" s="373"/>
      <c r="C1630" s="373"/>
      <c r="D1630" s="373"/>
      <c r="E1630" s="373"/>
      <c r="F1630" s="373"/>
      <c r="G1630" s="373"/>
      <c r="H1630" s="373"/>
      <c r="I1630" s="373"/>
    </row>
    <row r="1631" spans="2:15" s="145" customFormat="1" ht="20.100000000000001" customHeight="1" x14ac:dyDescent="0.25">
      <c r="B1631" s="380" t="s">
        <v>328</v>
      </c>
      <c r="C1631" s="381"/>
      <c r="D1631" s="381"/>
      <c r="E1631" s="381"/>
      <c r="F1631" s="381"/>
      <c r="G1631" s="381"/>
      <c r="H1631" s="381"/>
      <c r="I1631" s="382"/>
      <c r="K1631" s="147"/>
      <c r="N1631" s="148"/>
      <c r="O1631" s="149"/>
    </row>
    <row r="1632" spans="2:15" s="145" customFormat="1" ht="20.100000000000001" customHeight="1" x14ac:dyDescent="0.25">
      <c r="B1632" s="377" t="s">
        <v>329</v>
      </c>
      <c r="C1632" s="379"/>
      <c r="D1632" s="137" t="s">
        <v>322</v>
      </c>
      <c r="E1632" s="137" t="s">
        <v>330</v>
      </c>
      <c r="F1632" s="137" t="s">
        <v>331</v>
      </c>
      <c r="G1632" s="137" t="s">
        <v>332</v>
      </c>
      <c r="H1632" s="137" t="s">
        <v>313</v>
      </c>
      <c r="I1632" s="138" t="s">
        <v>314</v>
      </c>
      <c r="K1632" s="147"/>
      <c r="O1632" s="179"/>
    </row>
    <row r="1633" spans="2:14" s="151" customFormat="1" ht="9.75" customHeight="1" x14ac:dyDescent="0.25">
      <c r="B1633" s="367" t="s">
        <v>356</v>
      </c>
      <c r="C1633" s="368"/>
      <c r="D1633" s="180">
        <v>1</v>
      </c>
      <c r="E1633" s="141">
        <v>140000</v>
      </c>
      <c r="F1633" s="141">
        <f>+E1633*0.8</f>
        <v>112000</v>
      </c>
      <c r="G1633" s="178">
        <f>D1633*E1633+F1633*D1633</f>
        <v>252000</v>
      </c>
      <c r="H1633" s="184">
        <v>2.5</v>
      </c>
      <c r="I1633" s="143">
        <f>+G1633/H1633</f>
        <v>100800</v>
      </c>
      <c r="J1633" s="145"/>
      <c r="K1633" s="147"/>
    </row>
    <row r="1634" spans="2:14" s="151" customFormat="1" ht="11.25" customHeight="1" x14ac:dyDescent="0.25">
      <c r="B1634" s="367" t="s">
        <v>374</v>
      </c>
      <c r="C1634" s="368"/>
      <c r="D1634" s="180">
        <v>1</v>
      </c>
      <c r="E1634" s="141">
        <v>80000</v>
      </c>
      <c r="F1634" s="141">
        <f>+E1634*0.8</f>
        <v>64000</v>
      </c>
      <c r="G1634" s="178">
        <f>D1634*E1634+F1634*D1634</f>
        <v>144000</v>
      </c>
      <c r="H1634" s="184">
        <f>+H1633</f>
        <v>2.5</v>
      </c>
      <c r="I1634" s="143">
        <f>+G1634/H1634</f>
        <v>57600</v>
      </c>
      <c r="J1634" s="145"/>
      <c r="K1634" s="147"/>
      <c r="L1634" s="179"/>
      <c r="M1634" s="179"/>
    </row>
    <row r="1635" spans="2:14" s="145" customFormat="1" ht="10.5" customHeight="1" x14ac:dyDescent="0.25">
      <c r="B1635" s="367" t="s">
        <v>333</v>
      </c>
      <c r="C1635" s="368"/>
      <c r="D1635" s="180">
        <v>2</v>
      </c>
      <c r="E1635" s="141">
        <v>55000</v>
      </c>
      <c r="F1635" s="141">
        <f>+E1635*0.8</f>
        <v>44000</v>
      </c>
      <c r="G1635" s="178">
        <f>D1635*E1635+F1635*D1635</f>
        <v>198000</v>
      </c>
      <c r="H1635" s="184">
        <f>+H1633</f>
        <v>2.5</v>
      </c>
      <c r="I1635" s="143">
        <f>+G1635/H1635</f>
        <v>79200</v>
      </c>
      <c r="K1635" s="147"/>
    </row>
    <row r="1636" spans="2:14" ht="10.5" customHeight="1" thickBot="1" x14ac:dyDescent="0.3">
      <c r="B1636" s="371" t="s">
        <v>318</v>
      </c>
      <c r="C1636" s="372"/>
      <c r="D1636" s="372"/>
      <c r="E1636" s="372"/>
      <c r="F1636" s="372"/>
      <c r="G1636" s="372"/>
      <c r="H1636" s="372"/>
      <c r="I1636" s="144">
        <f>SUM(I1633:I1635)</f>
        <v>237600</v>
      </c>
      <c r="K1636" s="281"/>
      <c r="N1636" s="150"/>
    </row>
    <row r="1637" spans="2:14" ht="6" customHeight="1" thickBot="1" x14ac:dyDescent="0.3">
      <c r="B1637" s="373"/>
      <c r="C1637" s="373"/>
      <c r="D1637" s="373"/>
      <c r="E1637" s="373"/>
      <c r="F1637" s="373"/>
      <c r="G1637" s="373"/>
      <c r="H1637" s="373"/>
      <c r="I1637" s="373"/>
    </row>
    <row r="1638" spans="2:14" ht="10.5" customHeight="1" thickBot="1" x14ac:dyDescent="0.3">
      <c r="B1638" s="374" t="s">
        <v>334</v>
      </c>
      <c r="C1638" s="375"/>
      <c r="D1638" s="375"/>
      <c r="E1638" s="375"/>
      <c r="F1638" s="375"/>
      <c r="G1638" s="375"/>
      <c r="H1638" s="376"/>
      <c r="I1638" s="152">
        <f>ROUND(+I1619+I1624+I1629+I1636,0)</f>
        <v>2794418</v>
      </c>
      <c r="J1638" s="281"/>
      <c r="K1638" s="169"/>
      <c r="L1638" s="181"/>
      <c r="M1638" s="181"/>
      <c r="N1638" s="153"/>
    </row>
    <row r="1639" spans="2:14" ht="6" customHeight="1" thickBot="1" x14ac:dyDescent="0.3">
      <c r="B1639" s="373"/>
      <c r="C1639" s="373"/>
      <c r="D1639" s="373"/>
      <c r="E1639" s="373"/>
      <c r="F1639" s="373"/>
      <c r="G1639" s="373"/>
      <c r="H1639" s="373"/>
      <c r="I1639" s="373"/>
    </row>
    <row r="1640" spans="2:14" ht="8.25" customHeight="1" x14ac:dyDescent="0.25">
      <c r="B1640" s="433" t="s">
        <v>335</v>
      </c>
      <c r="C1640" s="417"/>
      <c r="D1640" s="418"/>
      <c r="E1640" s="418"/>
      <c r="F1640" s="419"/>
      <c r="G1640" s="369" t="s">
        <v>336</v>
      </c>
      <c r="H1640" s="370"/>
      <c r="I1640" s="370"/>
    </row>
    <row r="1641" spans="2:14" ht="33.75" customHeight="1" x14ac:dyDescent="0.25">
      <c r="B1641" s="434"/>
      <c r="C1641" s="420"/>
      <c r="D1641" s="421"/>
      <c r="E1641" s="421"/>
      <c r="F1641" s="422"/>
      <c r="G1641" s="430" t="s">
        <v>337</v>
      </c>
      <c r="H1641" s="431"/>
      <c r="I1641" s="431"/>
      <c r="L1641" s="181"/>
      <c r="M1641" s="181"/>
      <c r="N1641" s="179"/>
    </row>
    <row r="1642" spans="2:14" ht="13.5" customHeight="1" x14ac:dyDescent="0.25">
      <c r="B1642" s="434"/>
      <c r="C1642" s="420"/>
      <c r="D1642" s="421"/>
      <c r="E1642" s="421"/>
      <c r="F1642" s="422"/>
      <c r="G1642" s="154" t="s">
        <v>92</v>
      </c>
      <c r="H1642" s="432" t="s">
        <v>93</v>
      </c>
      <c r="I1642" s="432"/>
    </row>
    <row r="1643" spans="2:14" ht="16.5" customHeight="1" x14ac:dyDescent="0.25">
      <c r="B1643" s="435"/>
      <c r="C1643" s="420"/>
      <c r="D1643" s="421"/>
      <c r="E1643" s="421"/>
      <c r="F1643" s="422"/>
      <c r="G1643" s="155" t="s">
        <v>94</v>
      </c>
      <c r="H1643" s="156" t="s">
        <v>95</v>
      </c>
      <c r="I1643" s="157" t="s">
        <v>96</v>
      </c>
    </row>
    <row r="1644" spans="2:14" x14ac:dyDescent="0.25">
      <c r="B1644" s="268" t="s">
        <v>18</v>
      </c>
      <c r="C1644" s="427"/>
      <c r="D1644" s="428"/>
      <c r="E1644" s="428"/>
      <c r="F1644" s="429"/>
      <c r="G1644" s="155" t="s">
        <v>98</v>
      </c>
      <c r="H1644" s="157" t="s">
        <v>99</v>
      </c>
      <c r="I1644" s="157" t="s">
        <v>100</v>
      </c>
    </row>
    <row r="1645" spans="2:14" x14ac:dyDescent="0.25">
      <c r="B1645" s="269" t="s">
        <v>97</v>
      </c>
      <c r="C1645" s="427"/>
      <c r="D1645" s="428"/>
      <c r="E1645" s="428"/>
      <c r="F1645" s="429"/>
      <c r="G1645" s="154" t="s">
        <v>338</v>
      </c>
      <c r="H1645" s="426"/>
      <c r="I1645" s="426"/>
    </row>
    <row r="1646" spans="2:14" ht="15.75" thickBot="1" x14ac:dyDescent="0.3">
      <c r="B1646" s="270" t="s">
        <v>101</v>
      </c>
      <c r="C1646" s="423"/>
      <c r="D1646" s="424"/>
      <c r="E1646" s="424"/>
      <c r="F1646" s="425"/>
      <c r="G1646" s="154" t="s">
        <v>102</v>
      </c>
      <c r="H1646" s="426" t="s">
        <v>103</v>
      </c>
      <c r="I1646" s="426"/>
    </row>
    <row r="1647" spans="2:14" ht="45" customHeight="1" thickBot="1" x14ac:dyDescent="0.3">
      <c r="B1647" s="401"/>
      <c r="C1647" s="402"/>
      <c r="D1647" s="402"/>
      <c r="E1647" s="402"/>
      <c r="F1647" s="403" t="s">
        <v>0</v>
      </c>
      <c r="G1647" s="403"/>
      <c r="H1647" s="403"/>
      <c r="I1647" s="404"/>
    </row>
    <row r="1648" spans="2:14" ht="6" customHeight="1" thickBot="1" x14ac:dyDescent="0.3">
      <c r="B1648" s="373"/>
      <c r="C1648" s="373"/>
      <c r="D1648" s="373"/>
      <c r="E1648" s="373"/>
      <c r="F1648" s="373"/>
      <c r="G1648" s="373"/>
      <c r="H1648" s="373"/>
      <c r="I1648" s="373"/>
    </row>
    <row r="1649" spans="2:14" ht="10.5" customHeight="1" x14ac:dyDescent="0.25">
      <c r="B1649" s="405" t="s">
        <v>294</v>
      </c>
      <c r="C1649" s="406"/>
      <c r="D1649" s="407" t="s">
        <v>295</v>
      </c>
      <c r="E1649" s="409" t="s">
        <v>296</v>
      </c>
      <c r="F1649" s="410"/>
      <c r="G1649" s="410"/>
      <c r="H1649" s="410"/>
      <c r="I1649" s="411"/>
    </row>
    <row r="1650" spans="2:14" ht="9" customHeight="1" thickBot="1" x14ac:dyDescent="0.3">
      <c r="B1650" s="415"/>
      <c r="C1650" s="416"/>
      <c r="D1650" s="408"/>
      <c r="E1650" s="412"/>
      <c r="F1650" s="413"/>
      <c r="G1650" s="413"/>
      <c r="H1650" s="413"/>
      <c r="I1650" s="414"/>
    </row>
    <row r="1651" spans="2:14" ht="6" customHeight="1" thickBot="1" x14ac:dyDescent="0.3">
      <c r="B1651" s="373"/>
      <c r="C1651" s="373"/>
      <c r="D1651" s="373"/>
      <c r="E1651" s="373"/>
      <c r="F1651" s="373"/>
      <c r="G1651" s="373"/>
      <c r="H1651" s="373"/>
      <c r="I1651" s="373"/>
    </row>
    <row r="1652" spans="2:14" ht="17.25" customHeight="1" thickBot="1" x14ac:dyDescent="0.3">
      <c r="B1652" s="390" t="s">
        <v>297</v>
      </c>
      <c r="C1652" s="391"/>
      <c r="D1652" s="392"/>
      <c r="E1652" s="393"/>
      <c r="F1652" s="393"/>
      <c r="G1652" s="394"/>
      <c r="H1652" s="127" t="s">
        <v>298</v>
      </c>
      <c r="I1652" s="128"/>
    </row>
    <row r="1653" spans="2:14" ht="6" customHeight="1" thickBot="1" x14ac:dyDescent="0.3">
      <c r="B1653" s="373"/>
      <c r="C1653" s="373"/>
      <c r="D1653" s="373"/>
      <c r="E1653" s="373"/>
      <c r="F1653" s="373"/>
      <c r="G1653" s="373"/>
      <c r="H1653" s="373"/>
      <c r="I1653" s="373"/>
    </row>
    <row r="1654" spans="2:14" ht="19.5" customHeight="1" x14ac:dyDescent="0.25">
      <c r="B1654" s="261" t="s">
        <v>299</v>
      </c>
      <c r="C1654" s="129" t="s">
        <v>300</v>
      </c>
      <c r="D1654" s="130" t="s">
        <v>301</v>
      </c>
      <c r="E1654" s="130" t="s">
        <v>302</v>
      </c>
      <c r="F1654" s="398" t="s">
        <v>303</v>
      </c>
      <c r="G1654" s="399"/>
      <c r="H1654" s="400"/>
      <c r="I1654" s="131" t="s">
        <v>304</v>
      </c>
    </row>
    <row r="1655" spans="2:14" ht="11.25" customHeight="1" x14ac:dyDescent="0.25">
      <c r="B1655" s="262"/>
      <c r="C1655" s="132"/>
      <c r="D1655" s="132" t="s">
        <v>305</v>
      </c>
      <c r="E1655" s="132" t="s">
        <v>306</v>
      </c>
      <c r="F1655" s="395" t="s">
        <v>339</v>
      </c>
      <c r="G1655" s="396"/>
      <c r="H1655" s="397"/>
      <c r="I1655" s="133"/>
    </row>
    <row r="1656" spans="2:14" ht="28.5" customHeight="1" x14ac:dyDescent="0.25">
      <c r="B1656" s="263" t="s">
        <v>307</v>
      </c>
      <c r="C1656" s="383" t="s">
        <v>414</v>
      </c>
      <c r="D1656" s="384"/>
      <c r="E1656" s="384"/>
      <c r="F1656" s="384"/>
      <c r="G1656" s="384"/>
      <c r="H1656" s="384"/>
      <c r="I1656" s="385"/>
    </row>
    <row r="1657" spans="2:14" ht="10.5" customHeight="1" x14ac:dyDescent="0.25">
      <c r="B1657" s="264" t="s">
        <v>129</v>
      </c>
      <c r="C1657" s="388" t="s">
        <v>308</v>
      </c>
      <c r="D1657" s="389"/>
      <c r="E1657" s="389"/>
      <c r="F1657" s="389"/>
      <c r="G1657" s="389"/>
      <c r="H1657" s="389"/>
      <c r="I1657" s="134" t="s">
        <v>130</v>
      </c>
    </row>
    <row r="1658" spans="2:14" ht="50.25" customHeight="1" thickBot="1" x14ac:dyDescent="0.3">
      <c r="B1658" s="265">
        <v>6.2399999999999949</v>
      </c>
      <c r="C1658" s="386" t="s">
        <v>581</v>
      </c>
      <c r="D1658" s="387"/>
      <c r="E1658" s="387"/>
      <c r="F1658" s="387"/>
      <c r="G1658" s="387"/>
      <c r="H1658" s="387"/>
      <c r="I1658" s="135" t="s">
        <v>27</v>
      </c>
    </row>
    <row r="1659" spans="2:14" ht="6" customHeight="1" thickBot="1" x14ac:dyDescent="0.3">
      <c r="B1659" s="373"/>
      <c r="C1659" s="373"/>
      <c r="D1659" s="373"/>
      <c r="E1659" s="373"/>
      <c r="F1659" s="373"/>
      <c r="G1659" s="373"/>
      <c r="H1659" s="373"/>
      <c r="I1659" s="373"/>
    </row>
    <row r="1660" spans="2:14" x14ac:dyDescent="0.25">
      <c r="B1660" s="380" t="s">
        <v>309</v>
      </c>
      <c r="C1660" s="381"/>
      <c r="D1660" s="381"/>
      <c r="E1660" s="381"/>
      <c r="F1660" s="381"/>
      <c r="G1660" s="381"/>
      <c r="H1660" s="381"/>
      <c r="I1660" s="382"/>
      <c r="K1660" s="182"/>
    </row>
    <row r="1661" spans="2:14" ht="11.25" customHeight="1" x14ac:dyDescent="0.25">
      <c r="B1661" s="377" t="s">
        <v>310</v>
      </c>
      <c r="C1661" s="378"/>
      <c r="D1661" s="379"/>
      <c r="E1661" s="136"/>
      <c r="F1661" s="137" t="s">
        <v>311</v>
      </c>
      <c r="G1661" s="137" t="s">
        <v>312</v>
      </c>
      <c r="H1661" s="137" t="s">
        <v>313</v>
      </c>
      <c r="I1661" s="138" t="s">
        <v>314</v>
      </c>
      <c r="L1661" s="139"/>
      <c r="M1661" s="139"/>
    </row>
    <row r="1662" spans="2:14" ht="11.25" customHeight="1" x14ac:dyDescent="0.25">
      <c r="B1662" s="362" t="s">
        <v>315</v>
      </c>
      <c r="C1662" s="363"/>
      <c r="D1662" s="363"/>
      <c r="E1662" s="160"/>
      <c r="F1662" s="161" t="s">
        <v>316</v>
      </c>
      <c r="G1662" s="160">
        <v>5000</v>
      </c>
      <c r="H1662" s="142">
        <v>1.3</v>
      </c>
      <c r="I1662" s="143">
        <f>G1662*H1662</f>
        <v>6500</v>
      </c>
    </row>
    <row r="1663" spans="2:14" ht="16.5" customHeight="1" x14ac:dyDescent="0.25">
      <c r="B1663" s="362" t="s">
        <v>355</v>
      </c>
      <c r="C1663" s="363"/>
      <c r="D1663" s="363"/>
      <c r="E1663" s="160"/>
      <c r="F1663" s="161" t="s">
        <v>317</v>
      </c>
      <c r="G1663" s="160">
        <v>90000</v>
      </c>
      <c r="H1663" s="142">
        <v>1.3</v>
      </c>
      <c r="I1663" s="143">
        <f>G1663*H1663</f>
        <v>117000</v>
      </c>
    </row>
    <row r="1664" spans="2:14" ht="10.5" customHeight="1" thickBot="1" x14ac:dyDescent="0.3">
      <c r="B1664" s="371" t="s">
        <v>318</v>
      </c>
      <c r="C1664" s="372"/>
      <c r="D1664" s="372"/>
      <c r="E1664" s="372"/>
      <c r="F1664" s="372"/>
      <c r="G1664" s="372"/>
      <c r="H1664" s="372"/>
      <c r="I1664" s="144">
        <f>SUM(I1662:I1663)</f>
        <v>123500</v>
      </c>
      <c r="N1664" s="150"/>
    </row>
    <row r="1665" spans="2:15" ht="6" customHeight="1" thickBot="1" x14ac:dyDescent="0.3">
      <c r="B1665" s="373"/>
      <c r="C1665" s="373"/>
      <c r="D1665" s="373"/>
      <c r="E1665" s="373"/>
      <c r="F1665" s="373"/>
      <c r="G1665" s="373"/>
      <c r="H1665" s="373"/>
      <c r="I1665" s="373"/>
    </row>
    <row r="1666" spans="2:15" s="145" customFormat="1" x14ac:dyDescent="0.25">
      <c r="B1666" s="380" t="s">
        <v>319</v>
      </c>
      <c r="C1666" s="381"/>
      <c r="D1666" s="381"/>
      <c r="E1666" s="381"/>
      <c r="F1666" s="381"/>
      <c r="G1666" s="381"/>
      <c r="H1666" s="381"/>
      <c r="I1666" s="382"/>
    </row>
    <row r="1667" spans="2:15" s="145" customFormat="1" ht="15.75" customHeight="1" x14ac:dyDescent="0.25">
      <c r="B1667" s="377" t="s">
        <v>310</v>
      </c>
      <c r="C1667" s="378"/>
      <c r="D1667" s="379"/>
      <c r="E1667" s="137"/>
      <c r="F1667" s="137" t="s">
        <v>320</v>
      </c>
      <c r="G1667" s="137" t="s">
        <v>321</v>
      </c>
      <c r="H1667" s="137" t="s">
        <v>322</v>
      </c>
      <c r="I1667" s="138" t="s">
        <v>314</v>
      </c>
    </row>
    <row r="1668" spans="2:15" ht="74.25" customHeight="1" x14ac:dyDescent="0.25">
      <c r="B1668" s="436" t="s">
        <v>581</v>
      </c>
      <c r="C1668" s="437"/>
      <c r="D1668" s="438"/>
      <c r="E1668" s="163"/>
      <c r="F1668" s="161" t="s">
        <v>27</v>
      </c>
      <c r="G1668" s="160">
        <f>4608265-2844588+1+2363017-2281275+6608683-4824123+540000+2212920-4802908+1+837825+2995429</f>
        <v>5413247</v>
      </c>
      <c r="H1668" s="142">
        <v>1</v>
      </c>
      <c r="I1668" s="143">
        <f>G1668*H1668</f>
        <v>5413247</v>
      </c>
      <c r="M1668">
        <v>4608265</v>
      </c>
    </row>
    <row r="1669" spans="2:15" ht="18" customHeight="1" thickBot="1" x14ac:dyDescent="0.3">
      <c r="B1669" s="371" t="s">
        <v>318</v>
      </c>
      <c r="C1669" s="372"/>
      <c r="D1669" s="372"/>
      <c r="E1669" s="372"/>
      <c r="F1669" s="372"/>
      <c r="G1669" s="372"/>
      <c r="H1669" s="372"/>
      <c r="I1669" s="144">
        <f>SUM(I1668:I1668)</f>
        <v>5413247</v>
      </c>
      <c r="N1669" s="150"/>
    </row>
    <row r="1670" spans="2:15" ht="6" customHeight="1" thickBot="1" x14ac:dyDescent="0.3">
      <c r="B1670" s="373"/>
      <c r="C1670" s="373"/>
      <c r="D1670" s="373"/>
      <c r="E1670" s="373"/>
      <c r="F1670" s="373"/>
      <c r="G1670" s="373"/>
      <c r="H1670" s="373"/>
      <c r="I1670" s="373"/>
    </row>
    <row r="1671" spans="2:15" s="145" customFormat="1" x14ac:dyDescent="0.25">
      <c r="B1671" s="380" t="s">
        <v>323</v>
      </c>
      <c r="C1671" s="381"/>
      <c r="D1671" s="381"/>
      <c r="E1671" s="381"/>
      <c r="F1671" s="381"/>
      <c r="G1671" s="381"/>
      <c r="H1671" s="381"/>
      <c r="I1671" s="382"/>
      <c r="L1671" s="146"/>
      <c r="M1671" s="146"/>
    </row>
    <row r="1672" spans="2:15" s="145" customFormat="1" x14ac:dyDescent="0.25">
      <c r="B1672" s="377" t="s">
        <v>324</v>
      </c>
      <c r="C1672" s="378"/>
      <c r="D1672" s="379"/>
      <c r="E1672" s="137" t="s">
        <v>325</v>
      </c>
      <c r="F1672" s="137" t="s">
        <v>326</v>
      </c>
      <c r="G1672" s="137" t="s">
        <v>130</v>
      </c>
      <c r="H1672" s="137" t="s">
        <v>327</v>
      </c>
      <c r="I1672" s="138" t="s">
        <v>314</v>
      </c>
      <c r="K1672" s="260"/>
      <c r="N1672" s="183"/>
      <c r="O1672" s="148"/>
    </row>
    <row r="1673" spans="2:15" ht="11.25" customHeight="1" x14ac:dyDescent="0.25">
      <c r="B1673" s="362" t="s">
        <v>711</v>
      </c>
      <c r="C1673" s="363"/>
      <c r="D1673" s="363"/>
      <c r="E1673" s="170">
        <v>1</v>
      </c>
      <c r="F1673" s="164"/>
      <c r="G1673" s="161"/>
      <c r="H1673" s="162">
        <v>35000</v>
      </c>
      <c r="I1673" s="143">
        <f>H1673*E1673</f>
        <v>35000</v>
      </c>
      <c r="K1673" s="281"/>
    </row>
    <row r="1674" spans="2:15" ht="10.5" customHeight="1" thickBot="1" x14ac:dyDescent="0.3">
      <c r="B1674" s="371" t="s">
        <v>318</v>
      </c>
      <c r="C1674" s="372"/>
      <c r="D1674" s="372"/>
      <c r="E1674" s="372"/>
      <c r="F1674" s="372"/>
      <c r="G1674" s="372"/>
      <c r="H1674" s="372"/>
      <c r="I1674" s="144">
        <f>SUM(I1673:I1673)</f>
        <v>35000</v>
      </c>
      <c r="N1674" s="150"/>
    </row>
    <row r="1675" spans="2:15" ht="6" customHeight="1" thickBot="1" x14ac:dyDescent="0.3">
      <c r="B1675" s="373"/>
      <c r="C1675" s="373"/>
      <c r="D1675" s="373"/>
      <c r="E1675" s="373"/>
      <c r="F1675" s="373"/>
      <c r="G1675" s="373"/>
      <c r="H1675" s="373"/>
      <c r="I1675" s="373"/>
    </row>
    <row r="1676" spans="2:15" s="145" customFormat="1" ht="20.100000000000001" customHeight="1" x14ac:dyDescent="0.25">
      <c r="B1676" s="380" t="s">
        <v>328</v>
      </c>
      <c r="C1676" s="381"/>
      <c r="D1676" s="381"/>
      <c r="E1676" s="381"/>
      <c r="F1676" s="381"/>
      <c r="G1676" s="381"/>
      <c r="H1676" s="381"/>
      <c r="I1676" s="382"/>
      <c r="K1676" s="147">
        <f>+K1677-I1683</f>
        <v>0</v>
      </c>
      <c r="N1676" s="148"/>
      <c r="O1676" s="149"/>
    </row>
    <row r="1677" spans="2:15" s="145" customFormat="1" ht="20.100000000000001" customHeight="1" x14ac:dyDescent="0.25">
      <c r="B1677" s="377" t="s">
        <v>329</v>
      </c>
      <c r="C1677" s="379"/>
      <c r="D1677" s="137" t="s">
        <v>322</v>
      </c>
      <c r="E1677" s="137" t="s">
        <v>330</v>
      </c>
      <c r="F1677" s="137" t="s">
        <v>331</v>
      </c>
      <c r="G1677" s="137" t="s">
        <v>332</v>
      </c>
      <c r="H1677" s="137" t="s">
        <v>313</v>
      </c>
      <c r="I1677" s="138" t="s">
        <v>314</v>
      </c>
      <c r="K1677" s="147">
        <v>6165747</v>
      </c>
      <c r="O1677" s="179"/>
    </row>
    <row r="1678" spans="2:15" s="151" customFormat="1" ht="9.75" customHeight="1" x14ac:dyDescent="0.25">
      <c r="B1678" s="367" t="s">
        <v>356</v>
      </c>
      <c r="C1678" s="368"/>
      <c r="D1678" s="180">
        <v>1</v>
      </c>
      <c r="E1678" s="141">
        <v>140000</v>
      </c>
      <c r="F1678" s="141">
        <f>+E1678*0.8</f>
        <v>112000</v>
      </c>
      <c r="G1678" s="178">
        <f>D1678*E1678+F1678*D1678</f>
        <v>252000</v>
      </c>
      <c r="H1678" s="184">
        <v>1</v>
      </c>
      <c r="I1678" s="143">
        <f>+G1678/H1678</f>
        <v>252000</v>
      </c>
      <c r="J1678" s="145"/>
      <c r="K1678" s="147"/>
    </row>
    <row r="1679" spans="2:15" s="151" customFormat="1" ht="11.25" customHeight="1" x14ac:dyDescent="0.25">
      <c r="B1679" s="367" t="s">
        <v>374</v>
      </c>
      <c r="C1679" s="368"/>
      <c r="D1679" s="180">
        <v>1</v>
      </c>
      <c r="E1679" s="141">
        <v>80000</v>
      </c>
      <c r="F1679" s="141">
        <f>+E1679*0.8</f>
        <v>64000</v>
      </c>
      <c r="G1679" s="178">
        <f>D1679*E1679+F1679*D1679</f>
        <v>144000</v>
      </c>
      <c r="H1679" s="184">
        <v>1</v>
      </c>
      <c r="I1679" s="143">
        <f>+G1679/H1679</f>
        <v>144000</v>
      </c>
      <c r="J1679" s="145"/>
      <c r="K1679" s="147"/>
      <c r="L1679" s="179"/>
      <c r="M1679" s="179"/>
    </row>
    <row r="1680" spans="2:15" s="145" customFormat="1" ht="10.5" customHeight="1" x14ac:dyDescent="0.25">
      <c r="B1680" s="367" t="s">
        <v>333</v>
      </c>
      <c r="C1680" s="368"/>
      <c r="D1680" s="180">
        <v>2</v>
      </c>
      <c r="E1680" s="141">
        <v>55000</v>
      </c>
      <c r="F1680" s="141">
        <f>+E1680*0.8</f>
        <v>44000</v>
      </c>
      <c r="G1680" s="178">
        <f>D1680*E1680+F1680*D1680</f>
        <v>198000</v>
      </c>
      <c r="H1680" s="184">
        <f>+H1678</f>
        <v>1</v>
      </c>
      <c r="I1680" s="143">
        <f>+G1680/H1680</f>
        <v>198000</v>
      </c>
      <c r="K1680" s="147"/>
    </row>
    <row r="1681" spans="2:14" ht="10.5" customHeight="1" thickBot="1" x14ac:dyDescent="0.3">
      <c r="B1681" s="371" t="s">
        <v>318</v>
      </c>
      <c r="C1681" s="372"/>
      <c r="D1681" s="372"/>
      <c r="E1681" s="372"/>
      <c r="F1681" s="372"/>
      <c r="G1681" s="372"/>
      <c r="H1681" s="372"/>
      <c r="I1681" s="144">
        <f>SUM(I1678:I1680)</f>
        <v>594000</v>
      </c>
      <c r="K1681" s="281"/>
      <c r="N1681" s="150"/>
    </row>
    <row r="1682" spans="2:14" ht="6" customHeight="1" thickBot="1" x14ac:dyDescent="0.3">
      <c r="B1682" s="373"/>
      <c r="C1682" s="373"/>
      <c r="D1682" s="373"/>
      <c r="E1682" s="373"/>
      <c r="F1682" s="373"/>
      <c r="G1682" s="373"/>
      <c r="H1682" s="373"/>
      <c r="I1682" s="373"/>
    </row>
    <row r="1683" spans="2:14" ht="10.5" customHeight="1" thickBot="1" x14ac:dyDescent="0.3">
      <c r="B1683" s="374" t="s">
        <v>334</v>
      </c>
      <c r="C1683" s="375"/>
      <c r="D1683" s="375"/>
      <c r="E1683" s="375"/>
      <c r="F1683" s="375"/>
      <c r="G1683" s="375"/>
      <c r="H1683" s="376"/>
      <c r="I1683" s="152">
        <f>ROUND(+I1664+I1669+I1674+I1681,0)</f>
        <v>6165747</v>
      </c>
      <c r="J1683" s="281"/>
      <c r="K1683" s="169"/>
      <c r="L1683" s="181"/>
      <c r="M1683" s="181"/>
      <c r="N1683" s="153"/>
    </row>
    <row r="1684" spans="2:14" ht="6" customHeight="1" thickBot="1" x14ac:dyDescent="0.3">
      <c r="B1684" s="373"/>
      <c r="C1684" s="373"/>
      <c r="D1684" s="373"/>
      <c r="E1684" s="373"/>
      <c r="F1684" s="373"/>
      <c r="G1684" s="373"/>
      <c r="H1684" s="373"/>
      <c r="I1684" s="373"/>
    </row>
    <row r="1685" spans="2:14" ht="8.25" customHeight="1" x14ac:dyDescent="0.25">
      <c r="B1685" s="433" t="s">
        <v>335</v>
      </c>
      <c r="C1685" s="417"/>
      <c r="D1685" s="418"/>
      <c r="E1685" s="418"/>
      <c r="F1685" s="419"/>
      <c r="G1685" s="369" t="s">
        <v>336</v>
      </c>
      <c r="H1685" s="370"/>
      <c r="I1685" s="370"/>
    </row>
    <row r="1686" spans="2:14" ht="33.75" customHeight="1" x14ac:dyDescent="0.25">
      <c r="B1686" s="434"/>
      <c r="C1686" s="420"/>
      <c r="D1686" s="421"/>
      <c r="E1686" s="421"/>
      <c r="F1686" s="422"/>
      <c r="G1686" s="430" t="s">
        <v>337</v>
      </c>
      <c r="H1686" s="431"/>
      <c r="I1686" s="431"/>
      <c r="L1686" s="181"/>
      <c r="M1686" s="181"/>
      <c r="N1686" s="179"/>
    </row>
    <row r="1687" spans="2:14" ht="13.5" customHeight="1" x14ac:dyDescent="0.25">
      <c r="B1687" s="434"/>
      <c r="C1687" s="420"/>
      <c r="D1687" s="421"/>
      <c r="E1687" s="421"/>
      <c r="F1687" s="422"/>
      <c r="G1687" s="154" t="s">
        <v>92</v>
      </c>
      <c r="H1687" s="432" t="s">
        <v>93</v>
      </c>
      <c r="I1687" s="432"/>
    </row>
    <row r="1688" spans="2:14" ht="16.5" customHeight="1" x14ac:dyDescent="0.25">
      <c r="B1688" s="435"/>
      <c r="C1688" s="420"/>
      <c r="D1688" s="421"/>
      <c r="E1688" s="421"/>
      <c r="F1688" s="422"/>
      <c r="G1688" s="155" t="s">
        <v>94</v>
      </c>
      <c r="H1688" s="156" t="s">
        <v>95</v>
      </c>
      <c r="I1688" s="157" t="s">
        <v>96</v>
      </c>
    </row>
    <row r="1689" spans="2:14" x14ac:dyDescent="0.25">
      <c r="B1689" s="268" t="s">
        <v>18</v>
      </c>
      <c r="C1689" s="427"/>
      <c r="D1689" s="428"/>
      <c r="E1689" s="428"/>
      <c r="F1689" s="429"/>
      <c r="G1689" s="155" t="s">
        <v>98</v>
      </c>
      <c r="H1689" s="157" t="s">
        <v>99</v>
      </c>
      <c r="I1689" s="157" t="s">
        <v>100</v>
      </c>
    </row>
    <row r="1690" spans="2:14" x14ac:dyDescent="0.25">
      <c r="B1690" s="269" t="s">
        <v>97</v>
      </c>
      <c r="C1690" s="427"/>
      <c r="D1690" s="428"/>
      <c r="E1690" s="428"/>
      <c r="F1690" s="429"/>
      <c r="G1690" s="154" t="s">
        <v>338</v>
      </c>
      <c r="H1690" s="426"/>
      <c r="I1690" s="426"/>
    </row>
    <row r="1691" spans="2:14" ht="15.75" thickBot="1" x14ac:dyDescent="0.3">
      <c r="B1691" s="270" t="s">
        <v>101</v>
      </c>
      <c r="C1691" s="423"/>
      <c r="D1691" s="424"/>
      <c r="E1691" s="424"/>
      <c r="F1691" s="425"/>
      <c r="G1691" s="154" t="s">
        <v>102</v>
      </c>
      <c r="H1691" s="426" t="s">
        <v>103</v>
      </c>
      <c r="I1691" s="426"/>
    </row>
    <row r="1692" spans="2:14" ht="45" customHeight="1" thickBot="1" x14ac:dyDescent="0.3">
      <c r="B1692" s="401"/>
      <c r="C1692" s="402"/>
      <c r="D1692" s="402"/>
      <c r="E1692" s="402"/>
      <c r="F1692" s="403" t="s">
        <v>0</v>
      </c>
      <c r="G1692" s="403"/>
      <c r="H1692" s="403"/>
      <c r="I1692" s="404"/>
    </row>
    <row r="1693" spans="2:14" ht="6" customHeight="1" thickBot="1" x14ac:dyDescent="0.3">
      <c r="B1693" s="373"/>
      <c r="C1693" s="373"/>
      <c r="D1693" s="373"/>
      <c r="E1693" s="373"/>
      <c r="F1693" s="373"/>
      <c r="G1693" s="373"/>
      <c r="H1693" s="373"/>
      <c r="I1693" s="373"/>
    </row>
    <row r="1694" spans="2:14" ht="10.5" customHeight="1" x14ac:dyDescent="0.25">
      <c r="B1694" s="405" t="s">
        <v>294</v>
      </c>
      <c r="C1694" s="406"/>
      <c r="D1694" s="407" t="s">
        <v>295</v>
      </c>
      <c r="E1694" s="409" t="s">
        <v>296</v>
      </c>
      <c r="F1694" s="410"/>
      <c r="G1694" s="410"/>
      <c r="H1694" s="410"/>
      <c r="I1694" s="411"/>
    </row>
    <row r="1695" spans="2:14" ht="9" customHeight="1" thickBot="1" x14ac:dyDescent="0.3">
      <c r="B1695" s="415"/>
      <c r="C1695" s="416"/>
      <c r="D1695" s="408"/>
      <c r="E1695" s="412"/>
      <c r="F1695" s="413"/>
      <c r="G1695" s="413"/>
      <c r="H1695" s="413"/>
      <c r="I1695" s="414"/>
    </row>
    <row r="1696" spans="2:14" ht="6" customHeight="1" thickBot="1" x14ac:dyDescent="0.3">
      <c r="B1696" s="373"/>
      <c r="C1696" s="373"/>
      <c r="D1696" s="373"/>
      <c r="E1696" s="373"/>
      <c r="F1696" s="373"/>
      <c r="G1696" s="373"/>
      <c r="H1696" s="373"/>
      <c r="I1696" s="373"/>
    </row>
    <row r="1697" spans="2:14" ht="17.25" customHeight="1" thickBot="1" x14ac:dyDescent="0.3">
      <c r="B1697" s="390" t="s">
        <v>297</v>
      </c>
      <c r="C1697" s="391"/>
      <c r="D1697" s="392"/>
      <c r="E1697" s="393"/>
      <c r="F1697" s="393"/>
      <c r="G1697" s="394"/>
      <c r="H1697" s="127" t="s">
        <v>298</v>
      </c>
      <c r="I1697" s="128"/>
    </row>
    <row r="1698" spans="2:14" ht="6" customHeight="1" thickBot="1" x14ac:dyDescent="0.3">
      <c r="B1698" s="373"/>
      <c r="C1698" s="373"/>
      <c r="D1698" s="373"/>
      <c r="E1698" s="373"/>
      <c r="F1698" s="373"/>
      <c r="G1698" s="373"/>
      <c r="H1698" s="373"/>
      <c r="I1698" s="373"/>
    </row>
    <row r="1699" spans="2:14" ht="19.5" customHeight="1" x14ac:dyDescent="0.25">
      <c r="B1699" s="261" t="s">
        <v>299</v>
      </c>
      <c r="C1699" s="129" t="s">
        <v>300</v>
      </c>
      <c r="D1699" s="130" t="s">
        <v>301</v>
      </c>
      <c r="E1699" s="130" t="s">
        <v>302</v>
      </c>
      <c r="F1699" s="398" t="s">
        <v>303</v>
      </c>
      <c r="G1699" s="399"/>
      <c r="H1699" s="400"/>
      <c r="I1699" s="131" t="s">
        <v>304</v>
      </c>
    </row>
    <row r="1700" spans="2:14" ht="11.25" customHeight="1" x14ac:dyDescent="0.25">
      <c r="B1700" s="262"/>
      <c r="C1700" s="132"/>
      <c r="D1700" s="132" t="s">
        <v>305</v>
      </c>
      <c r="E1700" s="132" t="s">
        <v>306</v>
      </c>
      <c r="F1700" s="395" t="s">
        <v>339</v>
      </c>
      <c r="G1700" s="396"/>
      <c r="H1700" s="397"/>
      <c r="I1700" s="133"/>
    </row>
    <row r="1701" spans="2:14" ht="28.5" customHeight="1" x14ac:dyDescent="0.25">
      <c r="B1701" s="263" t="s">
        <v>307</v>
      </c>
      <c r="C1701" s="383" t="s">
        <v>414</v>
      </c>
      <c r="D1701" s="384"/>
      <c r="E1701" s="384"/>
      <c r="F1701" s="384"/>
      <c r="G1701" s="384"/>
      <c r="H1701" s="384"/>
      <c r="I1701" s="385"/>
    </row>
    <row r="1702" spans="2:14" ht="10.5" customHeight="1" x14ac:dyDescent="0.25">
      <c r="B1702" s="264" t="s">
        <v>129</v>
      </c>
      <c r="C1702" s="388" t="s">
        <v>308</v>
      </c>
      <c r="D1702" s="389"/>
      <c r="E1702" s="389"/>
      <c r="F1702" s="389"/>
      <c r="G1702" s="389"/>
      <c r="H1702" s="389"/>
      <c r="I1702" s="134" t="s">
        <v>130</v>
      </c>
    </row>
    <row r="1703" spans="2:14" ht="50.25" customHeight="1" thickBot="1" x14ac:dyDescent="0.3">
      <c r="B1703" s="265">
        <v>6.2499999999999947</v>
      </c>
      <c r="C1703" s="386" t="s">
        <v>582</v>
      </c>
      <c r="D1703" s="387"/>
      <c r="E1703" s="387"/>
      <c r="F1703" s="387"/>
      <c r="G1703" s="387"/>
      <c r="H1703" s="387"/>
      <c r="I1703" s="135" t="s">
        <v>27</v>
      </c>
    </row>
    <row r="1704" spans="2:14" ht="6" customHeight="1" thickBot="1" x14ac:dyDescent="0.3">
      <c r="B1704" s="373"/>
      <c r="C1704" s="373"/>
      <c r="D1704" s="373"/>
      <c r="E1704" s="373"/>
      <c r="F1704" s="373"/>
      <c r="G1704" s="373"/>
      <c r="H1704" s="373"/>
      <c r="I1704" s="373"/>
    </row>
    <row r="1705" spans="2:14" x14ac:dyDescent="0.25">
      <c r="B1705" s="380" t="s">
        <v>309</v>
      </c>
      <c r="C1705" s="381"/>
      <c r="D1705" s="381"/>
      <c r="E1705" s="381"/>
      <c r="F1705" s="381"/>
      <c r="G1705" s="381"/>
      <c r="H1705" s="381"/>
      <c r="I1705" s="382"/>
      <c r="K1705" s="182"/>
    </row>
    <row r="1706" spans="2:14" ht="11.25" customHeight="1" x14ac:dyDescent="0.25">
      <c r="B1706" s="377" t="s">
        <v>310</v>
      </c>
      <c r="C1706" s="378"/>
      <c r="D1706" s="379"/>
      <c r="E1706" s="136"/>
      <c r="F1706" s="137" t="s">
        <v>311</v>
      </c>
      <c r="G1706" s="137" t="s">
        <v>312</v>
      </c>
      <c r="H1706" s="137" t="s">
        <v>313</v>
      </c>
      <c r="I1706" s="138" t="s">
        <v>314</v>
      </c>
      <c r="L1706" s="139"/>
      <c r="M1706" s="139"/>
    </row>
    <row r="1707" spans="2:14" ht="11.25" customHeight="1" x14ac:dyDescent="0.25">
      <c r="B1707" s="362" t="s">
        <v>315</v>
      </c>
      <c r="C1707" s="363"/>
      <c r="D1707" s="363"/>
      <c r="E1707" s="160"/>
      <c r="F1707" s="161" t="s">
        <v>316</v>
      </c>
      <c r="G1707" s="160">
        <v>5000</v>
      </c>
      <c r="H1707" s="142">
        <v>0.5</v>
      </c>
      <c r="I1707" s="143">
        <f>G1707*H1707</f>
        <v>2500</v>
      </c>
    </row>
    <row r="1708" spans="2:14" ht="16.5" customHeight="1" x14ac:dyDescent="0.25">
      <c r="B1708" s="362" t="s">
        <v>355</v>
      </c>
      <c r="C1708" s="363"/>
      <c r="D1708" s="363"/>
      <c r="E1708" s="160"/>
      <c r="F1708" s="161" t="s">
        <v>317</v>
      </c>
      <c r="G1708" s="160">
        <v>90000</v>
      </c>
      <c r="H1708" s="142">
        <v>0.5</v>
      </c>
      <c r="I1708" s="143">
        <f>G1708*H1708</f>
        <v>45000</v>
      </c>
    </row>
    <row r="1709" spans="2:14" ht="10.5" customHeight="1" thickBot="1" x14ac:dyDescent="0.3">
      <c r="B1709" s="371" t="s">
        <v>318</v>
      </c>
      <c r="C1709" s="372"/>
      <c r="D1709" s="372"/>
      <c r="E1709" s="372"/>
      <c r="F1709" s="372"/>
      <c r="G1709" s="372"/>
      <c r="H1709" s="372"/>
      <c r="I1709" s="144">
        <f>SUM(I1707:I1708)</f>
        <v>47500</v>
      </c>
      <c r="N1709" s="150"/>
    </row>
    <row r="1710" spans="2:14" ht="6" customHeight="1" thickBot="1" x14ac:dyDescent="0.3">
      <c r="B1710" s="373"/>
      <c r="C1710" s="373"/>
      <c r="D1710" s="373"/>
      <c r="E1710" s="373"/>
      <c r="F1710" s="373"/>
      <c r="G1710" s="373"/>
      <c r="H1710" s="373"/>
      <c r="I1710" s="373"/>
    </row>
    <row r="1711" spans="2:14" s="145" customFormat="1" x14ac:dyDescent="0.25">
      <c r="B1711" s="380" t="s">
        <v>319</v>
      </c>
      <c r="C1711" s="381"/>
      <c r="D1711" s="381"/>
      <c r="E1711" s="381"/>
      <c r="F1711" s="381"/>
      <c r="G1711" s="381"/>
      <c r="H1711" s="381"/>
      <c r="I1711" s="382"/>
    </row>
    <row r="1712" spans="2:14" s="145" customFormat="1" ht="15.75" customHeight="1" x14ac:dyDescent="0.25">
      <c r="B1712" s="377" t="s">
        <v>310</v>
      </c>
      <c r="C1712" s="378"/>
      <c r="D1712" s="379"/>
      <c r="E1712" s="137"/>
      <c r="F1712" s="137" t="s">
        <v>320</v>
      </c>
      <c r="G1712" s="137" t="s">
        <v>321</v>
      </c>
      <c r="H1712" s="137" t="s">
        <v>322</v>
      </c>
      <c r="I1712" s="138" t="s">
        <v>314</v>
      </c>
    </row>
    <row r="1713" spans="2:15" ht="54" customHeight="1" x14ac:dyDescent="0.25">
      <c r="B1713" s="436" t="s">
        <v>582</v>
      </c>
      <c r="C1713" s="437"/>
      <c r="D1713" s="438"/>
      <c r="E1713" s="163"/>
      <c r="F1713" s="161" t="s">
        <v>27</v>
      </c>
      <c r="G1713" s="160">
        <f>4608265-2844588+1+2363017-2281275+6608683-4824123+540000+2212920-4802908+1+837825+2995429-4478609+1</f>
        <v>934639</v>
      </c>
      <c r="H1713" s="142">
        <v>1</v>
      </c>
      <c r="I1713" s="143">
        <f>G1713*H1713</f>
        <v>934639</v>
      </c>
      <c r="M1713">
        <v>4608265</v>
      </c>
    </row>
    <row r="1714" spans="2:15" ht="18" customHeight="1" thickBot="1" x14ac:dyDescent="0.3">
      <c r="B1714" s="371" t="s">
        <v>318</v>
      </c>
      <c r="C1714" s="372"/>
      <c r="D1714" s="372"/>
      <c r="E1714" s="372"/>
      <c r="F1714" s="372"/>
      <c r="G1714" s="372"/>
      <c r="H1714" s="372"/>
      <c r="I1714" s="144">
        <f>SUM(I1713:I1713)</f>
        <v>934639</v>
      </c>
      <c r="N1714" s="150"/>
    </row>
    <row r="1715" spans="2:15" ht="6" customHeight="1" thickBot="1" x14ac:dyDescent="0.3">
      <c r="B1715" s="373"/>
      <c r="C1715" s="373"/>
      <c r="D1715" s="373"/>
      <c r="E1715" s="373"/>
      <c r="F1715" s="373"/>
      <c r="G1715" s="373"/>
      <c r="H1715" s="373"/>
      <c r="I1715" s="373"/>
    </row>
    <row r="1716" spans="2:15" s="145" customFormat="1" x14ac:dyDescent="0.25">
      <c r="B1716" s="380" t="s">
        <v>323</v>
      </c>
      <c r="C1716" s="381"/>
      <c r="D1716" s="381"/>
      <c r="E1716" s="381"/>
      <c r="F1716" s="381"/>
      <c r="G1716" s="381"/>
      <c r="H1716" s="381"/>
      <c r="I1716" s="382"/>
      <c r="L1716" s="146"/>
      <c r="M1716" s="146"/>
    </row>
    <row r="1717" spans="2:15" s="145" customFormat="1" x14ac:dyDescent="0.25">
      <c r="B1717" s="377" t="s">
        <v>324</v>
      </c>
      <c r="C1717" s="378"/>
      <c r="D1717" s="379"/>
      <c r="E1717" s="137" t="s">
        <v>325</v>
      </c>
      <c r="F1717" s="137" t="s">
        <v>326</v>
      </c>
      <c r="G1717" s="137" t="s">
        <v>130</v>
      </c>
      <c r="H1717" s="137" t="s">
        <v>327</v>
      </c>
      <c r="I1717" s="138" t="s">
        <v>314</v>
      </c>
      <c r="K1717" s="260"/>
      <c r="N1717" s="183"/>
      <c r="O1717" s="148"/>
    </row>
    <row r="1718" spans="2:15" ht="11.25" customHeight="1" x14ac:dyDescent="0.25">
      <c r="B1718" s="362" t="s">
        <v>711</v>
      </c>
      <c r="C1718" s="363"/>
      <c r="D1718" s="363"/>
      <c r="E1718" s="170">
        <v>1</v>
      </c>
      <c r="F1718" s="164"/>
      <c r="G1718" s="161"/>
      <c r="H1718" s="162">
        <v>20000</v>
      </c>
      <c r="I1718" s="143">
        <f>H1718*E1718</f>
        <v>20000</v>
      </c>
      <c r="K1718" s="281"/>
    </row>
    <row r="1719" spans="2:15" ht="10.5" customHeight="1" thickBot="1" x14ac:dyDescent="0.3">
      <c r="B1719" s="371" t="s">
        <v>318</v>
      </c>
      <c r="C1719" s="372"/>
      <c r="D1719" s="372"/>
      <c r="E1719" s="372"/>
      <c r="F1719" s="372"/>
      <c r="G1719" s="372"/>
      <c r="H1719" s="372"/>
      <c r="I1719" s="144">
        <f>SUM(I1718:I1718)</f>
        <v>20000</v>
      </c>
      <c r="N1719" s="150"/>
    </row>
    <row r="1720" spans="2:15" ht="6" customHeight="1" thickBot="1" x14ac:dyDescent="0.3">
      <c r="B1720" s="373"/>
      <c r="C1720" s="373"/>
      <c r="D1720" s="373"/>
      <c r="E1720" s="373"/>
      <c r="F1720" s="373"/>
      <c r="G1720" s="373"/>
      <c r="H1720" s="373"/>
      <c r="I1720" s="373"/>
    </row>
    <row r="1721" spans="2:15" s="145" customFormat="1" ht="20.100000000000001" customHeight="1" x14ac:dyDescent="0.25">
      <c r="B1721" s="380" t="s">
        <v>328</v>
      </c>
      <c r="C1721" s="381"/>
      <c r="D1721" s="381"/>
      <c r="E1721" s="381"/>
      <c r="F1721" s="381"/>
      <c r="G1721" s="381"/>
      <c r="H1721" s="381"/>
      <c r="I1721" s="382"/>
      <c r="K1721" s="147">
        <f>+K1722-I1728</f>
        <v>-0.5</v>
      </c>
      <c r="N1721" s="148"/>
      <c r="O1721" s="149"/>
    </row>
    <row r="1722" spans="2:15" s="145" customFormat="1" ht="20.100000000000001" customHeight="1" x14ac:dyDescent="0.25">
      <c r="B1722" s="377" t="s">
        <v>329</v>
      </c>
      <c r="C1722" s="379"/>
      <c r="D1722" s="137" t="s">
        <v>322</v>
      </c>
      <c r="E1722" s="137" t="s">
        <v>330</v>
      </c>
      <c r="F1722" s="137" t="s">
        <v>331</v>
      </c>
      <c r="G1722" s="137" t="s">
        <v>332</v>
      </c>
      <c r="H1722" s="137" t="s">
        <v>313</v>
      </c>
      <c r="I1722" s="138" t="s">
        <v>314</v>
      </c>
      <c r="K1722" s="147">
        <v>1171852.5</v>
      </c>
      <c r="O1722" s="179"/>
    </row>
    <row r="1723" spans="2:15" s="151" customFormat="1" ht="9.75" customHeight="1" x14ac:dyDescent="0.25">
      <c r="B1723" s="367" t="s">
        <v>356</v>
      </c>
      <c r="C1723" s="368"/>
      <c r="D1723" s="180">
        <v>1</v>
      </c>
      <c r="E1723" s="141">
        <v>140000</v>
      </c>
      <c r="F1723" s="141">
        <f>+E1723*0.8</f>
        <v>112000</v>
      </c>
      <c r="G1723" s="178">
        <f>D1723*E1723+F1723*D1723</f>
        <v>252000</v>
      </c>
      <c r="H1723" s="184">
        <v>3.5</v>
      </c>
      <c r="I1723" s="143">
        <f>+G1723/H1723</f>
        <v>72000</v>
      </c>
      <c r="J1723" s="145"/>
      <c r="K1723" s="147"/>
    </row>
    <row r="1724" spans="2:15" s="151" customFormat="1" ht="11.25" customHeight="1" x14ac:dyDescent="0.25">
      <c r="B1724" s="367" t="s">
        <v>374</v>
      </c>
      <c r="C1724" s="368"/>
      <c r="D1724" s="180">
        <v>1</v>
      </c>
      <c r="E1724" s="141">
        <v>80000</v>
      </c>
      <c r="F1724" s="141">
        <f>+E1724*0.8</f>
        <v>64000</v>
      </c>
      <c r="G1724" s="178">
        <f>D1724*E1724+F1724*D1724</f>
        <v>144000</v>
      </c>
      <c r="H1724" s="184">
        <v>3.5</v>
      </c>
      <c r="I1724" s="143">
        <f>+G1724/H1724</f>
        <v>41142.857142857145</v>
      </c>
      <c r="J1724" s="145"/>
      <c r="K1724" s="147"/>
      <c r="L1724" s="179"/>
      <c r="M1724" s="179"/>
    </row>
    <row r="1725" spans="2:15" s="145" customFormat="1" ht="10.5" customHeight="1" x14ac:dyDescent="0.25">
      <c r="B1725" s="367" t="s">
        <v>333</v>
      </c>
      <c r="C1725" s="368"/>
      <c r="D1725" s="180">
        <v>2</v>
      </c>
      <c r="E1725" s="141">
        <v>55000</v>
      </c>
      <c r="F1725" s="141">
        <f>+E1725*0.8</f>
        <v>44000</v>
      </c>
      <c r="G1725" s="178">
        <f>D1725*E1725+F1725*D1725</f>
        <v>198000</v>
      </c>
      <c r="H1725" s="184">
        <f>+H1723</f>
        <v>3.5</v>
      </c>
      <c r="I1725" s="143">
        <f>+G1725/H1725</f>
        <v>56571.428571428572</v>
      </c>
      <c r="K1725" s="147"/>
    </row>
    <row r="1726" spans="2:15" ht="10.5" customHeight="1" thickBot="1" x14ac:dyDescent="0.3">
      <c r="B1726" s="371" t="s">
        <v>318</v>
      </c>
      <c r="C1726" s="372"/>
      <c r="D1726" s="372"/>
      <c r="E1726" s="372"/>
      <c r="F1726" s="372"/>
      <c r="G1726" s="372"/>
      <c r="H1726" s="372"/>
      <c r="I1726" s="144">
        <f>SUM(I1723:I1725)</f>
        <v>169714.28571428571</v>
      </c>
      <c r="K1726" s="281"/>
      <c r="N1726" s="150"/>
    </row>
    <row r="1727" spans="2:15" ht="6" customHeight="1" thickBot="1" x14ac:dyDescent="0.3">
      <c r="B1727" s="373"/>
      <c r="C1727" s="373"/>
      <c r="D1727" s="373"/>
      <c r="E1727" s="373"/>
      <c r="F1727" s="373"/>
      <c r="G1727" s="373"/>
      <c r="H1727" s="373"/>
      <c r="I1727" s="373"/>
    </row>
    <row r="1728" spans="2:15" ht="10.5" customHeight="1" thickBot="1" x14ac:dyDescent="0.3">
      <c r="B1728" s="374" t="s">
        <v>334</v>
      </c>
      <c r="C1728" s="375"/>
      <c r="D1728" s="375"/>
      <c r="E1728" s="375"/>
      <c r="F1728" s="375"/>
      <c r="G1728" s="375"/>
      <c r="H1728" s="376"/>
      <c r="I1728" s="152">
        <f>ROUND(+I1709+I1714+I1719+I1726,0)</f>
        <v>1171853</v>
      </c>
      <c r="J1728" s="281"/>
      <c r="K1728" s="169"/>
      <c r="L1728" s="181"/>
      <c r="M1728" s="181"/>
      <c r="N1728" s="153"/>
    </row>
    <row r="1729" spans="2:14" ht="6" customHeight="1" thickBot="1" x14ac:dyDescent="0.3">
      <c r="B1729" s="373"/>
      <c r="C1729" s="373"/>
      <c r="D1729" s="373"/>
      <c r="E1729" s="373"/>
      <c r="F1729" s="373"/>
      <c r="G1729" s="373"/>
      <c r="H1729" s="373"/>
      <c r="I1729" s="373"/>
    </row>
    <row r="1730" spans="2:14" ht="8.25" customHeight="1" x14ac:dyDescent="0.25">
      <c r="B1730" s="433" t="s">
        <v>335</v>
      </c>
      <c r="C1730" s="417"/>
      <c r="D1730" s="418"/>
      <c r="E1730" s="418"/>
      <c r="F1730" s="419"/>
      <c r="G1730" s="369" t="s">
        <v>336</v>
      </c>
      <c r="H1730" s="370"/>
      <c r="I1730" s="370"/>
    </row>
    <row r="1731" spans="2:14" ht="33.75" customHeight="1" x14ac:dyDescent="0.25">
      <c r="B1731" s="434"/>
      <c r="C1731" s="420"/>
      <c r="D1731" s="421"/>
      <c r="E1731" s="421"/>
      <c r="F1731" s="422"/>
      <c r="G1731" s="430" t="s">
        <v>337</v>
      </c>
      <c r="H1731" s="431"/>
      <c r="I1731" s="431"/>
      <c r="L1731" s="181"/>
      <c r="M1731" s="181"/>
      <c r="N1731" s="179"/>
    </row>
    <row r="1732" spans="2:14" ht="13.5" customHeight="1" x14ac:dyDescent="0.25">
      <c r="B1732" s="434"/>
      <c r="C1732" s="420"/>
      <c r="D1732" s="421"/>
      <c r="E1732" s="421"/>
      <c r="F1732" s="422"/>
      <c r="G1732" s="154" t="s">
        <v>92</v>
      </c>
      <c r="H1732" s="432" t="s">
        <v>93</v>
      </c>
      <c r="I1732" s="432"/>
    </row>
    <row r="1733" spans="2:14" ht="16.5" customHeight="1" x14ac:dyDescent="0.25">
      <c r="B1733" s="435"/>
      <c r="C1733" s="420"/>
      <c r="D1733" s="421"/>
      <c r="E1733" s="421"/>
      <c r="F1733" s="422"/>
      <c r="G1733" s="155" t="s">
        <v>94</v>
      </c>
      <c r="H1733" s="156" t="s">
        <v>95</v>
      </c>
      <c r="I1733" s="157" t="s">
        <v>96</v>
      </c>
    </row>
    <row r="1734" spans="2:14" x14ac:dyDescent="0.25">
      <c r="B1734" s="268" t="s">
        <v>18</v>
      </c>
      <c r="C1734" s="427"/>
      <c r="D1734" s="428"/>
      <c r="E1734" s="428"/>
      <c r="F1734" s="429"/>
      <c r="G1734" s="155" t="s">
        <v>98</v>
      </c>
      <c r="H1734" s="157" t="s">
        <v>99</v>
      </c>
      <c r="I1734" s="157" t="s">
        <v>100</v>
      </c>
    </row>
    <row r="1735" spans="2:14" x14ac:dyDescent="0.25">
      <c r="B1735" s="269" t="s">
        <v>97</v>
      </c>
      <c r="C1735" s="427"/>
      <c r="D1735" s="428"/>
      <c r="E1735" s="428"/>
      <c r="F1735" s="429"/>
      <c r="G1735" s="154" t="s">
        <v>338</v>
      </c>
      <c r="H1735" s="426"/>
      <c r="I1735" s="426"/>
    </row>
    <row r="1736" spans="2:14" ht="15.75" thickBot="1" x14ac:dyDescent="0.3">
      <c r="B1736" s="270" t="s">
        <v>101</v>
      </c>
      <c r="C1736" s="423"/>
      <c r="D1736" s="424"/>
      <c r="E1736" s="424"/>
      <c r="F1736" s="425"/>
      <c r="G1736" s="154" t="s">
        <v>102</v>
      </c>
      <c r="H1736" s="426" t="s">
        <v>103</v>
      </c>
      <c r="I1736" s="426"/>
    </row>
    <row r="1737" spans="2:14" ht="45" customHeight="1" thickBot="1" x14ac:dyDescent="0.3">
      <c r="B1737" s="401"/>
      <c r="C1737" s="402"/>
      <c r="D1737" s="402"/>
      <c r="E1737" s="402"/>
      <c r="F1737" s="403" t="s">
        <v>0</v>
      </c>
      <c r="G1737" s="403"/>
      <c r="H1737" s="403"/>
      <c r="I1737" s="404"/>
    </row>
    <row r="1738" spans="2:14" ht="6" customHeight="1" thickBot="1" x14ac:dyDescent="0.3">
      <c r="B1738" s="373"/>
      <c r="C1738" s="373"/>
      <c r="D1738" s="373"/>
      <c r="E1738" s="373"/>
      <c r="F1738" s="373"/>
      <c r="G1738" s="373"/>
      <c r="H1738" s="373"/>
      <c r="I1738" s="373"/>
    </row>
    <row r="1739" spans="2:14" ht="10.5" customHeight="1" x14ac:dyDescent="0.25">
      <c r="B1739" s="405" t="s">
        <v>294</v>
      </c>
      <c r="C1739" s="406"/>
      <c r="D1739" s="407" t="s">
        <v>295</v>
      </c>
      <c r="E1739" s="409" t="s">
        <v>296</v>
      </c>
      <c r="F1739" s="410"/>
      <c r="G1739" s="410"/>
      <c r="H1739" s="410"/>
      <c r="I1739" s="411"/>
    </row>
    <row r="1740" spans="2:14" ht="9" customHeight="1" thickBot="1" x14ac:dyDescent="0.3">
      <c r="B1740" s="415"/>
      <c r="C1740" s="416"/>
      <c r="D1740" s="408"/>
      <c r="E1740" s="412"/>
      <c r="F1740" s="413"/>
      <c r="G1740" s="413"/>
      <c r="H1740" s="413"/>
      <c r="I1740" s="414"/>
    </row>
    <row r="1741" spans="2:14" ht="6" customHeight="1" thickBot="1" x14ac:dyDescent="0.3">
      <c r="B1741" s="373"/>
      <c r="C1741" s="373"/>
      <c r="D1741" s="373"/>
      <c r="E1741" s="373"/>
      <c r="F1741" s="373"/>
      <c r="G1741" s="373"/>
      <c r="H1741" s="373"/>
      <c r="I1741" s="373"/>
    </row>
    <row r="1742" spans="2:14" ht="17.25" customHeight="1" thickBot="1" x14ac:dyDescent="0.3">
      <c r="B1742" s="390" t="s">
        <v>297</v>
      </c>
      <c r="C1742" s="391"/>
      <c r="D1742" s="392"/>
      <c r="E1742" s="393"/>
      <c r="F1742" s="393"/>
      <c r="G1742" s="394"/>
      <c r="H1742" s="127" t="s">
        <v>298</v>
      </c>
      <c r="I1742" s="128"/>
    </row>
    <row r="1743" spans="2:14" ht="6" customHeight="1" thickBot="1" x14ac:dyDescent="0.3">
      <c r="B1743" s="373"/>
      <c r="C1743" s="373"/>
      <c r="D1743" s="373"/>
      <c r="E1743" s="373"/>
      <c r="F1743" s="373"/>
      <c r="G1743" s="373"/>
      <c r="H1743" s="373"/>
      <c r="I1743" s="373"/>
    </row>
    <row r="1744" spans="2:14" ht="19.5" customHeight="1" x14ac:dyDescent="0.25">
      <c r="B1744" s="261" t="s">
        <v>299</v>
      </c>
      <c r="C1744" s="129" t="s">
        <v>300</v>
      </c>
      <c r="D1744" s="130" t="s">
        <v>301</v>
      </c>
      <c r="E1744" s="130" t="s">
        <v>302</v>
      </c>
      <c r="F1744" s="398" t="s">
        <v>303</v>
      </c>
      <c r="G1744" s="399"/>
      <c r="H1744" s="400"/>
      <c r="I1744" s="131" t="s">
        <v>304</v>
      </c>
    </row>
    <row r="1745" spans="2:14" ht="11.25" customHeight="1" x14ac:dyDescent="0.25">
      <c r="B1745" s="262"/>
      <c r="C1745" s="132"/>
      <c r="D1745" s="132" t="s">
        <v>305</v>
      </c>
      <c r="E1745" s="132" t="s">
        <v>306</v>
      </c>
      <c r="F1745" s="395" t="s">
        <v>339</v>
      </c>
      <c r="G1745" s="396"/>
      <c r="H1745" s="397"/>
      <c r="I1745" s="133"/>
    </row>
    <row r="1746" spans="2:14" ht="28.5" customHeight="1" x14ac:dyDescent="0.25">
      <c r="B1746" s="263" t="s">
        <v>307</v>
      </c>
      <c r="C1746" s="383" t="s">
        <v>414</v>
      </c>
      <c r="D1746" s="384"/>
      <c r="E1746" s="384"/>
      <c r="F1746" s="384"/>
      <c r="G1746" s="384"/>
      <c r="H1746" s="384"/>
      <c r="I1746" s="385"/>
    </row>
    <row r="1747" spans="2:14" ht="10.5" customHeight="1" x14ac:dyDescent="0.25">
      <c r="B1747" s="264" t="s">
        <v>129</v>
      </c>
      <c r="C1747" s="388" t="s">
        <v>308</v>
      </c>
      <c r="D1747" s="389"/>
      <c r="E1747" s="389"/>
      <c r="F1747" s="389"/>
      <c r="G1747" s="389"/>
      <c r="H1747" s="389"/>
      <c r="I1747" s="134" t="s">
        <v>130</v>
      </c>
    </row>
    <row r="1748" spans="2:14" ht="50.25" customHeight="1" thickBot="1" x14ac:dyDescent="0.3">
      <c r="B1748" s="265">
        <v>7.0899999999999981</v>
      </c>
      <c r="C1748" s="386" t="s">
        <v>583</v>
      </c>
      <c r="D1748" s="387"/>
      <c r="E1748" s="387"/>
      <c r="F1748" s="387"/>
      <c r="G1748" s="387"/>
      <c r="H1748" s="387"/>
      <c r="I1748" s="135" t="s">
        <v>27</v>
      </c>
    </row>
    <row r="1749" spans="2:14" ht="6" customHeight="1" thickBot="1" x14ac:dyDescent="0.3">
      <c r="B1749" s="373"/>
      <c r="C1749" s="373"/>
      <c r="D1749" s="373"/>
      <c r="E1749" s="373"/>
      <c r="F1749" s="373"/>
      <c r="G1749" s="373"/>
      <c r="H1749" s="373"/>
      <c r="I1749" s="373"/>
    </row>
    <row r="1750" spans="2:14" x14ac:dyDescent="0.25">
      <c r="B1750" s="380" t="s">
        <v>309</v>
      </c>
      <c r="C1750" s="381"/>
      <c r="D1750" s="381"/>
      <c r="E1750" s="381"/>
      <c r="F1750" s="381"/>
      <c r="G1750" s="381"/>
      <c r="H1750" s="381"/>
      <c r="I1750" s="382"/>
      <c r="K1750" s="182"/>
    </row>
    <row r="1751" spans="2:14" ht="11.25" customHeight="1" x14ac:dyDescent="0.25">
      <c r="B1751" s="377" t="s">
        <v>310</v>
      </c>
      <c r="C1751" s="378"/>
      <c r="D1751" s="379"/>
      <c r="E1751" s="136"/>
      <c r="F1751" s="137" t="s">
        <v>311</v>
      </c>
      <c r="G1751" s="137" t="s">
        <v>312</v>
      </c>
      <c r="H1751" s="137" t="s">
        <v>313</v>
      </c>
      <c r="I1751" s="138" t="s">
        <v>314</v>
      </c>
      <c r="L1751" s="139"/>
      <c r="M1751" s="139"/>
    </row>
    <row r="1752" spans="2:14" ht="11.25" customHeight="1" x14ac:dyDescent="0.25">
      <c r="B1752" s="362" t="s">
        <v>315</v>
      </c>
      <c r="C1752" s="363"/>
      <c r="D1752" s="363"/>
      <c r="E1752" s="160"/>
      <c r="F1752" s="161" t="s">
        <v>316</v>
      </c>
      <c r="G1752" s="160">
        <v>5000</v>
      </c>
      <c r="H1752" s="142">
        <v>0.7</v>
      </c>
      <c r="I1752" s="143">
        <f>G1752*H1752</f>
        <v>3500</v>
      </c>
    </row>
    <row r="1753" spans="2:14" ht="16.5" customHeight="1" x14ac:dyDescent="0.25">
      <c r="B1753" s="362" t="s">
        <v>355</v>
      </c>
      <c r="C1753" s="363"/>
      <c r="D1753" s="363"/>
      <c r="E1753" s="160"/>
      <c r="F1753" s="161" t="s">
        <v>317</v>
      </c>
      <c r="G1753" s="160">
        <v>90000</v>
      </c>
      <c r="H1753" s="142">
        <v>0.7</v>
      </c>
      <c r="I1753" s="143">
        <f>G1753*H1753</f>
        <v>62999.999999999993</v>
      </c>
    </row>
    <row r="1754" spans="2:14" ht="10.5" customHeight="1" thickBot="1" x14ac:dyDescent="0.3">
      <c r="B1754" s="371" t="s">
        <v>318</v>
      </c>
      <c r="C1754" s="372"/>
      <c r="D1754" s="372"/>
      <c r="E1754" s="372"/>
      <c r="F1754" s="372"/>
      <c r="G1754" s="372"/>
      <c r="H1754" s="372"/>
      <c r="I1754" s="144">
        <f>SUM(I1752:I1753)</f>
        <v>66500</v>
      </c>
      <c r="N1754" s="150"/>
    </row>
    <row r="1755" spans="2:14" ht="6" customHeight="1" thickBot="1" x14ac:dyDescent="0.3">
      <c r="B1755" s="373"/>
      <c r="C1755" s="373"/>
      <c r="D1755" s="373"/>
      <c r="E1755" s="373"/>
      <c r="F1755" s="373"/>
      <c r="G1755" s="373"/>
      <c r="H1755" s="373"/>
      <c r="I1755" s="373"/>
    </row>
    <row r="1756" spans="2:14" s="145" customFormat="1" x14ac:dyDescent="0.25">
      <c r="B1756" s="380" t="s">
        <v>319</v>
      </c>
      <c r="C1756" s="381"/>
      <c r="D1756" s="381"/>
      <c r="E1756" s="381"/>
      <c r="F1756" s="381"/>
      <c r="G1756" s="381"/>
      <c r="H1756" s="381"/>
      <c r="I1756" s="382"/>
    </row>
    <row r="1757" spans="2:14" s="145" customFormat="1" ht="15.75" customHeight="1" x14ac:dyDescent="0.25">
      <c r="B1757" s="377" t="s">
        <v>310</v>
      </c>
      <c r="C1757" s="378"/>
      <c r="D1757" s="379"/>
      <c r="E1757" s="137"/>
      <c r="F1757" s="137" t="s">
        <v>320</v>
      </c>
      <c r="G1757" s="137" t="s">
        <v>321</v>
      </c>
      <c r="H1757" s="137" t="s">
        <v>322</v>
      </c>
      <c r="I1757" s="138" t="s">
        <v>314</v>
      </c>
    </row>
    <row r="1758" spans="2:14" ht="66.75" customHeight="1" x14ac:dyDescent="0.25">
      <c r="B1758" s="436" t="s">
        <v>583</v>
      </c>
      <c r="C1758" s="437"/>
      <c r="D1758" s="438"/>
      <c r="E1758" s="163"/>
      <c r="F1758" s="161" t="s">
        <v>27</v>
      </c>
      <c r="G1758" s="160">
        <f>4608265-2844588+1+2363017-2281275+6608683-4824123+540000+2212920-4802908+1+837825+2995429-4478609+1+772396-50000</f>
        <v>1657035</v>
      </c>
      <c r="H1758" s="142">
        <v>1</v>
      </c>
      <c r="I1758" s="143">
        <f>G1758*H1758</f>
        <v>1657035</v>
      </c>
      <c r="M1758">
        <v>4608265</v>
      </c>
    </row>
    <row r="1759" spans="2:14" ht="18" customHeight="1" thickBot="1" x14ac:dyDescent="0.3">
      <c r="B1759" s="371" t="s">
        <v>318</v>
      </c>
      <c r="C1759" s="372"/>
      <c r="D1759" s="372"/>
      <c r="E1759" s="372"/>
      <c r="F1759" s="372"/>
      <c r="G1759" s="372"/>
      <c r="H1759" s="372"/>
      <c r="I1759" s="144">
        <f>SUM(I1758:I1758)</f>
        <v>1657035</v>
      </c>
      <c r="N1759" s="150"/>
    </row>
    <row r="1760" spans="2:14" ht="6" customHeight="1" thickBot="1" x14ac:dyDescent="0.3">
      <c r="B1760" s="373"/>
      <c r="C1760" s="373"/>
      <c r="D1760" s="373"/>
      <c r="E1760" s="373"/>
      <c r="F1760" s="373"/>
      <c r="G1760" s="373"/>
      <c r="H1760" s="373"/>
      <c r="I1760" s="373"/>
    </row>
    <row r="1761" spans="2:15" s="145" customFormat="1" x14ac:dyDescent="0.25">
      <c r="B1761" s="380" t="s">
        <v>323</v>
      </c>
      <c r="C1761" s="381"/>
      <c r="D1761" s="381"/>
      <c r="E1761" s="381"/>
      <c r="F1761" s="381"/>
      <c r="G1761" s="381"/>
      <c r="H1761" s="381"/>
      <c r="I1761" s="382"/>
      <c r="L1761" s="146"/>
      <c r="M1761" s="146"/>
    </row>
    <row r="1762" spans="2:15" s="145" customFormat="1" x14ac:dyDescent="0.25">
      <c r="B1762" s="377" t="s">
        <v>324</v>
      </c>
      <c r="C1762" s="378"/>
      <c r="D1762" s="379"/>
      <c r="E1762" s="137" t="s">
        <v>325</v>
      </c>
      <c r="F1762" s="137" t="s">
        <v>326</v>
      </c>
      <c r="G1762" s="137" t="s">
        <v>130</v>
      </c>
      <c r="H1762" s="137" t="s">
        <v>327</v>
      </c>
      <c r="I1762" s="138" t="s">
        <v>314</v>
      </c>
      <c r="K1762" s="260"/>
      <c r="N1762" s="183"/>
      <c r="O1762" s="148"/>
    </row>
    <row r="1763" spans="2:15" ht="11.25" customHeight="1" x14ac:dyDescent="0.25">
      <c r="B1763" s="362" t="s">
        <v>711</v>
      </c>
      <c r="C1763" s="363"/>
      <c r="D1763" s="363"/>
      <c r="E1763" s="170">
        <v>1</v>
      </c>
      <c r="F1763" s="164"/>
      <c r="G1763" s="161"/>
      <c r="H1763" s="162">
        <v>22000</v>
      </c>
      <c r="I1763" s="143">
        <f>H1763*E1763</f>
        <v>22000</v>
      </c>
      <c r="K1763" s="281"/>
    </row>
    <row r="1764" spans="2:15" ht="10.5" customHeight="1" thickBot="1" x14ac:dyDescent="0.3">
      <c r="B1764" s="371" t="s">
        <v>318</v>
      </c>
      <c r="C1764" s="372"/>
      <c r="D1764" s="372"/>
      <c r="E1764" s="372"/>
      <c r="F1764" s="372"/>
      <c r="G1764" s="372"/>
      <c r="H1764" s="372"/>
      <c r="I1764" s="144">
        <f>SUM(I1763:I1763)</f>
        <v>22000</v>
      </c>
      <c r="K1764" s="281">
        <f>+K1767-K1766</f>
        <v>0</v>
      </c>
      <c r="N1764" s="150"/>
    </row>
    <row r="1765" spans="2:15" ht="6" customHeight="1" thickBot="1" x14ac:dyDescent="0.3">
      <c r="B1765" s="373"/>
      <c r="C1765" s="373"/>
      <c r="D1765" s="373"/>
      <c r="E1765" s="373"/>
      <c r="F1765" s="373"/>
      <c r="G1765" s="373"/>
      <c r="H1765" s="373"/>
      <c r="I1765" s="373"/>
    </row>
    <row r="1766" spans="2:15" s="145" customFormat="1" ht="20.100000000000001" customHeight="1" x14ac:dyDescent="0.25">
      <c r="B1766" s="380" t="s">
        <v>328</v>
      </c>
      <c r="C1766" s="381"/>
      <c r="D1766" s="381"/>
      <c r="E1766" s="381"/>
      <c r="F1766" s="381"/>
      <c r="G1766" s="381"/>
      <c r="H1766" s="381"/>
      <c r="I1766" s="382"/>
      <c r="K1766" s="147">
        <f>+I1773</f>
        <v>1983135</v>
      </c>
      <c r="N1766" s="148"/>
      <c r="O1766" s="149"/>
    </row>
    <row r="1767" spans="2:15" s="145" customFormat="1" ht="20.100000000000001" customHeight="1" x14ac:dyDescent="0.25">
      <c r="B1767" s="377" t="s">
        <v>329</v>
      </c>
      <c r="C1767" s="379"/>
      <c r="D1767" s="137" t="s">
        <v>322</v>
      </c>
      <c r="E1767" s="137" t="s">
        <v>330</v>
      </c>
      <c r="F1767" s="137" t="s">
        <v>331</v>
      </c>
      <c r="G1767" s="137" t="s">
        <v>332</v>
      </c>
      <c r="H1767" s="137" t="s">
        <v>313</v>
      </c>
      <c r="I1767" s="138" t="s">
        <v>314</v>
      </c>
      <c r="K1767" s="147">
        <v>1983135</v>
      </c>
      <c r="O1767" s="179"/>
    </row>
    <row r="1768" spans="2:15" s="151" customFormat="1" ht="9.75" customHeight="1" x14ac:dyDescent="0.25">
      <c r="B1768" s="367" t="s">
        <v>356</v>
      </c>
      <c r="C1768" s="368"/>
      <c r="D1768" s="180">
        <v>1</v>
      </c>
      <c r="E1768" s="141">
        <v>140000</v>
      </c>
      <c r="F1768" s="141">
        <f>+E1768*0.8</f>
        <v>112000</v>
      </c>
      <c r="G1768" s="178">
        <f>D1768*E1768+F1768*D1768</f>
        <v>252000</v>
      </c>
      <c r="H1768" s="184">
        <v>2.5</v>
      </c>
      <c r="I1768" s="143">
        <f>+G1768/H1768</f>
        <v>100800</v>
      </c>
      <c r="J1768" s="145"/>
      <c r="K1768" s="147"/>
    </row>
    <row r="1769" spans="2:15" s="151" customFormat="1" ht="11.25" customHeight="1" x14ac:dyDescent="0.25">
      <c r="B1769" s="367" t="s">
        <v>374</v>
      </c>
      <c r="C1769" s="368"/>
      <c r="D1769" s="180">
        <v>1</v>
      </c>
      <c r="E1769" s="141">
        <v>80000</v>
      </c>
      <c r="F1769" s="141">
        <f>+E1769*0.8</f>
        <v>64000</v>
      </c>
      <c r="G1769" s="178">
        <f>D1769*E1769+F1769*D1769</f>
        <v>144000</v>
      </c>
      <c r="H1769" s="184">
        <f>+H1768</f>
        <v>2.5</v>
      </c>
      <c r="I1769" s="143">
        <f>+G1769/H1769</f>
        <v>57600</v>
      </c>
      <c r="J1769" s="145"/>
      <c r="K1769" s="147"/>
      <c r="L1769" s="179"/>
      <c r="M1769" s="179"/>
    </row>
    <row r="1770" spans="2:15" s="145" customFormat="1" ht="10.5" customHeight="1" x14ac:dyDescent="0.25">
      <c r="B1770" s="367" t="s">
        <v>333</v>
      </c>
      <c r="C1770" s="368"/>
      <c r="D1770" s="180">
        <v>2</v>
      </c>
      <c r="E1770" s="141">
        <v>55000</v>
      </c>
      <c r="F1770" s="141">
        <f>+E1770*0.8</f>
        <v>44000</v>
      </c>
      <c r="G1770" s="178">
        <f>D1770*E1770+F1770*D1770</f>
        <v>198000</v>
      </c>
      <c r="H1770" s="184">
        <f>+H1769</f>
        <v>2.5</v>
      </c>
      <c r="I1770" s="143">
        <f>+G1770/H1770</f>
        <v>79200</v>
      </c>
      <c r="K1770" s="147"/>
    </row>
    <row r="1771" spans="2:15" ht="10.5" customHeight="1" thickBot="1" x14ac:dyDescent="0.3">
      <c r="B1771" s="371" t="s">
        <v>318</v>
      </c>
      <c r="C1771" s="372"/>
      <c r="D1771" s="372"/>
      <c r="E1771" s="372"/>
      <c r="F1771" s="372"/>
      <c r="G1771" s="372"/>
      <c r="H1771" s="372"/>
      <c r="I1771" s="144">
        <f>SUM(I1768:I1770)</f>
        <v>237600</v>
      </c>
      <c r="K1771" s="281"/>
      <c r="N1771" s="150"/>
    </row>
    <row r="1772" spans="2:15" ht="6" customHeight="1" thickBot="1" x14ac:dyDescent="0.3">
      <c r="B1772" s="373"/>
      <c r="C1772" s="373"/>
      <c r="D1772" s="373"/>
      <c r="E1772" s="373"/>
      <c r="F1772" s="373"/>
      <c r="G1772" s="373"/>
      <c r="H1772" s="373"/>
      <c r="I1772" s="373"/>
    </row>
    <row r="1773" spans="2:15" ht="10.5" customHeight="1" thickBot="1" x14ac:dyDescent="0.3">
      <c r="B1773" s="374" t="s">
        <v>334</v>
      </c>
      <c r="C1773" s="375"/>
      <c r="D1773" s="375"/>
      <c r="E1773" s="375"/>
      <c r="F1773" s="375"/>
      <c r="G1773" s="375"/>
      <c r="H1773" s="376"/>
      <c r="I1773" s="152">
        <f>ROUND(+I1754+I1759+I1764+I1771,0)</f>
        <v>1983135</v>
      </c>
      <c r="J1773" s="281"/>
      <c r="K1773" s="169"/>
      <c r="L1773" s="181"/>
      <c r="M1773" s="181"/>
      <c r="N1773" s="153"/>
    </row>
    <row r="1774" spans="2:15" ht="6" customHeight="1" thickBot="1" x14ac:dyDescent="0.3">
      <c r="B1774" s="373"/>
      <c r="C1774" s="373"/>
      <c r="D1774" s="373"/>
      <c r="E1774" s="373"/>
      <c r="F1774" s="373"/>
      <c r="G1774" s="373"/>
      <c r="H1774" s="373"/>
      <c r="I1774" s="373"/>
    </row>
    <row r="1775" spans="2:15" ht="8.25" customHeight="1" x14ac:dyDescent="0.25">
      <c r="B1775" s="433" t="s">
        <v>335</v>
      </c>
      <c r="C1775" s="417"/>
      <c r="D1775" s="418"/>
      <c r="E1775" s="418"/>
      <c r="F1775" s="419"/>
      <c r="G1775" s="369" t="s">
        <v>336</v>
      </c>
      <c r="H1775" s="370"/>
      <c r="I1775" s="370"/>
    </row>
    <row r="1776" spans="2:15" ht="33.75" customHeight="1" x14ac:dyDescent="0.25">
      <c r="B1776" s="434"/>
      <c r="C1776" s="420"/>
      <c r="D1776" s="421"/>
      <c r="E1776" s="421"/>
      <c r="F1776" s="422"/>
      <c r="G1776" s="430" t="s">
        <v>337</v>
      </c>
      <c r="H1776" s="431"/>
      <c r="I1776" s="431"/>
      <c r="L1776" s="181"/>
      <c r="M1776" s="181"/>
      <c r="N1776" s="179"/>
    </row>
    <row r="1777" spans="2:9" ht="13.5" customHeight="1" x14ac:dyDescent="0.25">
      <c r="B1777" s="434"/>
      <c r="C1777" s="420"/>
      <c r="D1777" s="421"/>
      <c r="E1777" s="421"/>
      <c r="F1777" s="422"/>
      <c r="G1777" s="154" t="s">
        <v>92</v>
      </c>
      <c r="H1777" s="432" t="s">
        <v>93</v>
      </c>
      <c r="I1777" s="432"/>
    </row>
    <row r="1778" spans="2:9" ht="16.5" customHeight="1" x14ac:dyDescent="0.25">
      <c r="B1778" s="435"/>
      <c r="C1778" s="420"/>
      <c r="D1778" s="421"/>
      <c r="E1778" s="421"/>
      <c r="F1778" s="422"/>
      <c r="G1778" s="155" t="s">
        <v>94</v>
      </c>
      <c r="H1778" s="156" t="s">
        <v>95</v>
      </c>
      <c r="I1778" s="157" t="s">
        <v>96</v>
      </c>
    </row>
    <row r="1779" spans="2:9" x14ac:dyDescent="0.25">
      <c r="B1779" s="268" t="s">
        <v>18</v>
      </c>
      <c r="C1779" s="427"/>
      <c r="D1779" s="428"/>
      <c r="E1779" s="428"/>
      <c r="F1779" s="429"/>
      <c r="G1779" s="155" t="s">
        <v>98</v>
      </c>
      <c r="H1779" s="157" t="s">
        <v>99</v>
      </c>
      <c r="I1779" s="157" t="s">
        <v>100</v>
      </c>
    </row>
    <row r="1780" spans="2:9" x14ac:dyDescent="0.25">
      <c r="B1780" s="269" t="s">
        <v>97</v>
      </c>
      <c r="C1780" s="427"/>
      <c r="D1780" s="428"/>
      <c r="E1780" s="428"/>
      <c r="F1780" s="429"/>
      <c r="G1780" s="154" t="s">
        <v>338</v>
      </c>
      <c r="H1780" s="426"/>
      <c r="I1780" s="426"/>
    </row>
    <row r="1781" spans="2:9" ht="15.75" thickBot="1" x14ac:dyDescent="0.3">
      <c r="B1781" s="270" t="s">
        <v>101</v>
      </c>
      <c r="C1781" s="423"/>
      <c r="D1781" s="424"/>
      <c r="E1781" s="424"/>
      <c r="F1781" s="425"/>
      <c r="G1781" s="154" t="s">
        <v>102</v>
      </c>
      <c r="H1781" s="426" t="s">
        <v>103</v>
      </c>
      <c r="I1781" s="426"/>
    </row>
    <row r="1782" spans="2:9" ht="45" customHeight="1" thickBot="1" x14ac:dyDescent="0.3">
      <c r="B1782" s="401"/>
      <c r="C1782" s="402"/>
      <c r="D1782" s="402"/>
      <c r="E1782" s="402"/>
      <c r="F1782" s="403" t="s">
        <v>0</v>
      </c>
      <c r="G1782" s="403"/>
      <c r="H1782" s="403"/>
      <c r="I1782" s="404"/>
    </row>
    <row r="1783" spans="2:9" ht="6" customHeight="1" thickBot="1" x14ac:dyDescent="0.3">
      <c r="B1783" s="373"/>
      <c r="C1783" s="373"/>
      <c r="D1783" s="373"/>
      <c r="E1783" s="373"/>
      <c r="F1783" s="373"/>
      <c r="G1783" s="373"/>
      <c r="H1783" s="373"/>
      <c r="I1783" s="373"/>
    </row>
    <row r="1784" spans="2:9" ht="10.5" customHeight="1" x14ac:dyDescent="0.25">
      <c r="B1784" s="405" t="s">
        <v>294</v>
      </c>
      <c r="C1784" s="406"/>
      <c r="D1784" s="407" t="s">
        <v>295</v>
      </c>
      <c r="E1784" s="409" t="s">
        <v>296</v>
      </c>
      <c r="F1784" s="410"/>
      <c r="G1784" s="410"/>
      <c r="H1784" s="410"/>
      <c r="I1784" s="411"/>
    </row>
    <row r="1785" spans="2:9" ht="9" customHeight="1" thickBot="1" x14ac:dyDescent="0.3">
      <c r="B1785" s="415"/>
      <c r="C1785" s="416"/>
      <c r="D1785" s="408"/>
      <c r="E1785" s="412"/>
      <c r="F1785" s="413"/>
      <c r="G1785" s="413"/>
      <c r="H1785" s="413"/>
      <c r="I1785" s="414"/>
    </row>
    <row r="1786" spans="2:9" ht="6" customHeight="1" thickBot="1" x14ac:dyDescent="0.3">
      <c r="B1786" s="373"/>
      <c r="C1786" s="373"/>
      <c r="D1786" s="373"/>
      <c r="E1786" s="373"/>
      <c r="F1786" s="373"/>
      <c r="G1786" s="373"/>
      <c r="H1786" s="373"/>
      <c r="I1786" s="373"/>
    </row>
    <row r="1787" spans="2:9" ht="17.25" customHeight="1" thickBot="1" x14ac:dyDescent="0.3">
      <c r="B1787" s="390" t="s">
        <v>297</v>
      </c>
      <c r="C1787" s="391"/>
      <c r="D1787" s="392"/>
      <c r="E1787" s="393"/>
      <c r="F1787" s="393"/>
      <c r="G1787" s="394"/>
      <c r="H1787" s="127" t="s">
        <v>298</v>
      </c>
      <c r="I1787" s="128"/>
    </row>
    <row r="1788" spans="2:9" ht="6" customHeight="1" thickBot="1" x14ac:dyDescent="0.3">
      <c r="B1788" s="373"/>
      <c r="C1788" s="373"/>
      <c r="D1788" s="373"/>
      <c r="E1788" s="373"/>
      <c r="F1788" s="373"/>
      <c r="G1788" s="373"/>
      <c r="H1788" s="373"/>
      <c r="I1788" s="373"/>
    </row>
    <row r="1789" spans="2:9" ht="19.5" customHeight="1" x14ac:dyDescent="0.25">
      <c r="B1789" s="261" t="s">
        <v>299</v>
      </c>
      <c r="C1789" s="129" t="s">
        <v>300</v>
      </c>
      <c r="D1789" s="130" t="s">
        <v>301</v>
      </c>
      <c r="E1789" s="130" t="s">
        <v>302</v>
      </c>
      <c r="F1789" s="398" t="s">
        <v>303</v>
      </c>
      <c r="G1789" s="399"/>
      <c r="H1789" s="400"/>
      <c r="I1789" s="131" t="s">
        <v>304</v>
      </c>
    </row>
    <row r="1790" spans="2:9" ht="11.25" customHeight="1" x14ac:dyDescent="0.25">
      <c r="B1790" s="262"/>
      <c r="C1790" s="132"/>
      <c r="D1790" s="132" t="s">
        <v>305</v>
      </c>
      <c r="E1790" s="132" t="s">
        <v>306</v>
      </c>
      <c r="F1790" s="395" t="s">
        <v>339</v>
      </c>
      <c r="G1790" s="396"/>
      <c r="H1790" s="397"/>
      <c r="I1790" s="133"/>
    </row>
    <row r="1791" spans="2:9" ht="28.5" customHeight="1" x14ac:dyDescent="0.25">
      <c r="B1791" s="263" t="s">
        <v>307</v>
      </c>
      <c r="C1791" s="383" t="s">
        <v>414</v>
      </c>
      <c r="D1791" s="384"/>
      <c r="E1791" s="384"/>
      <c r="F1791" s="384"/>
      <c r="G1791" s="384"/>
      <c r="H1791" s="384"/>
      <c r="I1791" s="385"/>
    </row>
    <row r="1792" spans="2:9" ht="10.5" customHeight="1" x14ac:dyDescent="0.25">
      <c r="B1792" s="264" t="s">
        <v>129</v>
      </c>
      <c r="C1792" s="388" t="s">
        <v>308</v>
      </c>
      <c r="D1792" s="389"/>
      <c r="E1792" s="389"/>
      <c r="F1792" s="389"/>
      <c r="G1792" s="389"/>
      <c r="H1792" s="389"/>
      <c r="I1792" s="134" t="s">
        <v>130</v>
      </c>
    </row>
    <row r="1793" spans="2:15" ht="50.25" customHeight="1" thickBot="1" x14ac:dyDescent="0.3">
      <c r="B1793" s="265">
        <v>7.0999999999999979</v>
      </c>
      <c r="C1793" s="386" t="s">
        <v>584</v>
      </c>
      <c r="D1793" s="387"/>
      <c r="E1793" s="387"/>
      <c r="F1793" s="387"/>
      <c r="G1793" s="387"/>
      <c r="H1793" s="387"/>
      <c r="I1793" s="135" t="s">
        <v>27</v>
      </c>
    </row>
    <row r="1794" spans="2:15" ht="6" customHeight="1" thickBot="1" x14ac:dyDescent="0.3">
      <c r="B1794" s="373"/>
      <c r="C1794" s="373"/>
      <c r="D1794" s="373"/>
      <c r="E1794" s="373"/>
      <c r="F1794" s="373"/>
      <c r="G1794" s="373"/>
      <c r="H1794" s="373"/>
      <c r="I1794" s="373"/>
    </row>
    <row r="1795" spans="2:15" x14ac:dyDescent="0.25">
      <c r="B1795" s="380" t="s">
        <v>309</v>
      </c>
      <c r="C1795" s="381"/>
      <c r="D1795" s="381"/>
      <c r="E1795" s="381"/>
      <c r="F1795" s="381"/>
      <c r="G1795" s="381"/>
      <c r="H1795" s="381"/>
      <c r="I1795" s="382"/>
      <c r="K1795" s="182"/>
    </row>
    <row r="1796" spans="2:15" ht="11.25" customHeight="1" x14ac:dyDescent="0.25">
      <c r="B1796" s="377" t="s">
        <v>310</v>
      </c>
      <c r="C1796" s="378"/>
      <c r="D1796" s="379"/>
      <c r="E1796" s="136"/>
      <c r="F1796" s="137" t="s">
        <v>311</v>
      </c>
      <c r="G1796" s="137" t="s">
        <v>312</v>
      </c>
      <c r="H1796" s="137" t="s">
        <v>313</v>
      </c>
      <c r="I1796" s="138" t="s">
        <v>314</v>
      </c>
      <c r="L1796" s="139"/>
      <c r="M1796" s="139"/>
    </row>
    <row r="1797" spans="2:15" ht="11.25" customHeight="1" x14ac:dyDescent="0.25">
      <c r="B1797" s="362" t="s">
        <v>315</v>
      </c>
      <c r="C1797" s="363"/>
      <c r="D1797" s="363"/>
      <c r="E1797" s="160"/>
      <c r="F1797" s="161" t="s">
        <v>316</v>
      </c>
      <c r="G1797" s="160">
        <v>5000</v>
      </c>
      <c r="H1797" s="142">
        <v>0.9</v>
      </c>
      <c r="I1797" s="143">
        <f>G1797*H1797</f>
        <v>4500</v>
      </c>
    </row>
    <row r="1798" spans="2:15" ht="16.5" customHeight="1" x14ac:dyDescent="0.25">
      <c r="B1798" s="362" t="s">
        <v>355</v>
      </c>
      <c r="C1798" s="363"/>
      <c r="D1798" s="363"/>
      <c r="E1798" s="160"/>
      <c r="F1798" s="161" t="s">
        <v>317</v>
      </c>
      <c r="G1798" s="160">
        <v>90000</v>
      </c>
      <c r="H1798" s="142">
        <f>+H1797</f>
        <v>0.9</v>
      </c>
      <c r="I1798" s="143">
        <f>G1798*H1798</f>
        <v>81000</v>
      </c>
    </row>
    <row r="1799" spans="2:15" ht="10.5" customHeight="1" thickBot="1" x14ac:dyDescent="0.3">
      <c r="B1799" s="371" t="s">
        <v>318</v>
      </c>
      <c r="C1799" s="372"/>
      <c r="D1799" s="372"/>
      <c r="E1799" s="372"/>
      <c r="F1799" s="372"/>
      <c r="G1799" s="372"/>
      <c r="H1799" s="372"/>
      <c r="I1799" s="144">
        <f>SUM(I1797:I1798)</f>
        <v>85500</v>
      </c>
      <c r="N1799" s="150"/>
    </row>
    <row r="1800" spans="2:15" ht="6" customHeight="1" thickBot="1" x14ac:dyDescent="0.3">
      <c r="B1800" s="373"/>
      <c r="C1800" s="373"/>
      <c r="D1800" s="373"/>
      <c r="E1800" s="373"/>
      <c r="F1800" s="373"/>
      <c r="G1800" s="373"/>
      <c r="H1800" s="373"/>
      <c r="I1800" s="373"/>
    </row>
    <row r="1801" spans="2:15" s="145" customFormat="1" x14ac:dyDescent="0.25">
      <c r="B1801" s="380" t="s">
        <v>319</v>
      </c>
      <c r="C1801" s="381"/>
      <c r="D1801" s="381"/>
      <c r="E1801" s="381"/>
      <c r="F1801" s="381"/>
      <c r="G1801" s="381"/>
      <c r="H1801" s="381"/>
      <c r="I1801" s="382"/>
    </row>
    <row r="1802" spans="2:15" s="145" customFormat="1" ht="15.75" customHeight="1" x14ac:dyDescent="0.25">
      <c r="B1802" s="377" t="s">
        <v>310</v>
      </c>
      <c r="C1802" s="378"/>
      <c r="D1802" s="379"/>
      <c r="E1802" s="137"/>
      <c r="F1802" s="137" t="s">
        <v>320</v>
      </c>
      <c r="G1802" s="137" t="s">
        <v>321</v>
      </c>
      <c r="H1802" s="137" t="s">
        <v>322</v>
      </c>
      <c r="I1802" s="138" t="s">
        <v>314</v>
      </c>
    </row>
    <row r="1803" spans="2:15" ht="46.5" customHeight="1" x14ac:dyDescent="0.25">
      <c r="B1803" s="436" t="s">
        <v>584</v>
      </c>
      <c r="C1803" s="437"/>
      <c r="D1803" s="438"/>
      <c r="E1803" s="163"/>
      <c r="F1803" s="161" t="s">
        <v>27</v>
      </c>
      <c r="G1803" s="160">
        <f>4608265-2844588+1+2363017-2281275+6608683-4824123+540000+2212920-4802908+1+837825+2995429-4478609+1+772396-50000+2002240</f>
        <v>3659275</v>
      </c>
      <c r="H1803" s="142">
        <v>1</v>
      </c>
      <c r="I1803" s="143">
        <f>G1803*H1803</f>
        <v>3659275</v>
      </c>
      <c r="M1803">
        <v>4608265</v>
      </c>
    </row>
    <row r="1804" spans="2:15" ht="18" customHeight="1" thickBot="1" x14ac:dyDescent="0.3">
      <c r="B1804" s="371" t="s">
        <v>318</v>
      </c>
      <c r="C1804" s="372"/>
      <c r="D1804" s="372"/>
      <c r="E1804" s="372"/>
      <c r="F1804" s="372"/>
      <c r="G1804" s="372"/>
      <c r="H1804" s="372"/>
      <c r="I1804" s="144">
        <f>SUM(I1803:I1803)</f>
        <v>3659275</v>
      </c>
      <c r="N1804" s="150"/>
    </row>
    <row r="1805" spans="2:15" ht="6" customHeight="1" thickBot="1" x14ac:dyDescent="0.3">
      <c r="B1805" s="373"/>
      <c r="C1805" s="373"/>
      <c r="D1805" s="373"/>
      <c r="E1805" s="373"/>
      <c r="F1805" s="373"/>
      <c r="G1805" s="373"/>
      <c r="H1805" s="373"/>
      <c r="I1805" s="373"/>
    </row>
    <row r="1806" spans="2:15" s="145" customFormat="1" x14ac:dyDescent="0.25">
      <c r="B1806" s="380" t="s">
        <v>323</v>
      </c>
      <c r="C1806" s="381"/>
      <c r="D1806" s="381"/>
      <c r="E1806" s="381"/>
      <c r="F1806" s="381"/>
      <c r="G1806" s="381"/>
      <c r="H1806" s="381"/>
      <c r="I1806" s="382"/>
      <c r="L1806" s="146"/>
      <c r="M1806" s="146"/>
    </row>
    <row r="1807" spans="2:15" s="145" customFormat="1" x14ac:dyDescent="0.25">
      <c r="B1807" s="377" t="s">
        <v>324</v>
      </c>
      <c r="C1807" s="378"/>
      <c r="D1807" s="379"/>
      <c r="E1807" s="137" t="s">
        <v>325</v>
      </c>
      <c r="F1807" s="137" t="s">
        <v>326</v>
      </c>
      <c r="G1807" s="137" t="s">
        <v>130</v>
      </c>
      <c r="H1807" s="137" t="s">
        <v>327</v>
      </c>
      <c r="I1807" s="138" t="s">
        <v>314</v>
      </c>
      <c r="K1807" s="260"/>
      <c r="N1807" s="183"/>
      <c r="O1807" s="148"/>
    </row>
    <row r="1808" spans="2:15" ht="11.25" customHeight="1" x14ac:dyDescent="0.25">
      <c r="B1808" s="362" t="s">
        <v>711</v>
      </c>
      <c r="C1808" s="363"/>
      <c r="D1808" s="363"/>
      <c r="E1808" s="170">
        <v>1</v>
      </c>
      <c r="F1808" s="164"/>
      <c r="G1808" s="161"/>
      <c r="H1808" s="162">
        <v>35000</v>
      </c>
      <c r="I1808" s="143">
        <f>H1808*E1808</f>
        <v>35000</v>
      </c>
      <c r="K1808" s="281">
        <v>4236697.5</v>
      </c>
    </row>
    <row r="1809" spans="2:15" ht="10.5" customHeight="1" thickBot="1" x14ac:dyDescent="0.3">
      <c r="B1809" s="371" t="s">
        <v>318</v>
      </c>
      <c r="C1809" s="372"/>
      <c r="D1809" s="372"/>
      <c r="E1809" s="372"/>
      <c r="F1809" s="372"/>
      <c r="G1809" s="372"/>
      <c r="H1809" s="372"/>
      <c r="I1809" s="144">
        <f>SUM(I1808:I1808)</f>
        <v>35000</v>
      </c>
      <c r="K1809" s="281"/>
      <c r="N1809" s="150"/>
    </row>
    <row r="1810" spans="2:15" ht="6" customHeight="1" thickBot="1" x14ac:dyDescent="0.3">
      <c r="B1810" s="373"/>
      <c r="C1810" s="373"/>
      <c r="D1810" s="373"/>
      <c r="E1810" s="373"/>
      <c r="F1810" s="373"/>
      <c r="G1810" s="373"/>
      <c r="H1810" s="373"/>
      <c r="I1810" s="373"/>
    </row>
    <row r="1811" spans="2:15" s="145" customFormat="1" ht="20.100000000000001" customHeight="1" x14ac:dyDescent="0.25">
      <c r="B1811" s="380" t="s">
        <v>328</v>
      </c>
      <c r="C1811" s="381"/>
      <c r="D1811" s="381"/>
      <c r="E1811" s="381"/>
      <c r="F1811" s="381"/>
      <c r="G1811" s="381"/>
      <c r="H1811" s="381"/>
      <c r="I1811" s="382"/>
      <c r="K1811" s="147">
        <f>+K1808-I1818</f>
        <v>-0.5</v>
      </c>
      <c r="N1811" s="148"/>
      <c r="O1811" s="149"/>
    </row>
    <row r="1812" spans="2:15" s="145" customFormat="1" ht="20.100000000000001" customHeight="1" x14ac:dyDescent="0.25">
      <c r="B1812" s="377" t="s">
        <v>329</v>
      </c>
      <c r="C1812" s="379"/>
      <c r="D1812" s="137" t="s">
        <v>322</v>
      </c>
      <c r="E1812" s="137" t="s">
        <v>330</v>
      </c>
      <c r="F1812" s="137" t="s">
        <v>331</v>
      </c>
      <c r="G1812" s="137" t="s">
        <v>332</v>
      </c>
      <c r="H1812" s="137" t="s">
        <v>313</v>
      </c>
      <c r="I1812" s="138" t="s">
        <v>314</v>
      </c>
      <c r="K1812" s="147"/>
      <c r="O1812" s="179"/>
    </row>
    <row r="1813" spans="2:15" s="151" customFormat="1" ht="9.75" customHeight="1" x14ac:dyDescent="0.25">
      <c r="B1813" s="367" t="s">
        <v>356</v>
      </c>
      <c r="C1813" s="368"/>
      <c r="D1813" s="180">
        <v>1</v>
      </c>
      <c r="E1813" s="141">
        <v>140000</v>
      </c>
      <c r="F1813" s="141">
        <f>+E1813*0.8</f>
        <v>112000</v>
      </c>
      <c r="G1813" s="178">
        <f>D1813*E1813+F1813*D1813</f>
        <v>252000</v>
      </c>
      <c r="H1813" s="184">
        <v>1.3</v>
      </c>
      <c r="I1813" s="143">
        <f>+G1813/H1813</f>
        <v>193846.15384615384</v>
      </c>
      <c r="J1813" s="145"/>
      <c r="K1813" s="147"/>
    </row>
    <row r="1814" spans="2:15" s="151" customFormat="1" ht="11.25" customHeight="1" x14ac:dyDescent="0.25">
      <c r="B1814" s="367" t="s">
        <v>374</v>
      </c>
      <c r="C1814" s="368"/>
      <c r="D1814" s="180">
        <v>1</v>
      </c>
      <c r="E1814" s="141">
        <v>80000</v>
      </c>
      <c r="F1814" s="141">
        <f>+E1814*0.8</f>
        <v>64000</v>
      </c>
      <c r="G1814" s="178">
        <f>D1814*E1814+F1814*D1814</f>
        <v>144000</v>
      </c>
      <c r="H1814" s="184">
        <f>+H1813</f>
        <v>1.3</v>
      </c>
      <c r="I1814" s="143">
        <f>+G1814/H1814</f>
        <v>110769.23076923077</v>
      </c>
      <c r="J1814" s="145"/>
      <c r="K1814" s="147"/>
      <c r="L1814" s="179"/>
      <c r="M1814" s="179"/>
    </row>
    <row r="1815" spans="2:15" s="145" customFormat="1" ht="10.5" customHeight="1" x14ac:dyDescent="0.25">
      <c r="B1815" s="367" t="s">
        <v>333</v>
      </c>
      <c r="C1815" s="368"/>
      <c r="D1815" s="180">
        <v>2</v>
      </c>
      <c r="E1815" s="141">
        <v>55000</v>
      </c>
      <c r="F1815" s="141">
        <f>+E1815*0.8</f>
        <v>44000</v>
      </c>
      <c r="G1815" s="178">
        <f>D1815*E1815+F1815*D1815</f>
        <v>198000</v>
      </c>
      <c r="H1815" s="184">
        <f>+H1814</f>
        <v>1.3</v>
      </c>
      <c r="I1815" s="143">
        <f>+G1815/H1815</f>
        <v>152307.69230769231</v>
      </c>
      <c r="K1815" s="147"/>
    </row>
    <row r="1816" spans="2:15" ht="10.5" customHeight="1" thickBot="1" x14ac:dyDescent="0.3">
      <c r="B1816" s="371" t="s">
        <v>318</v>
      </c>
      <c r="C1816" s="372"/>
      <c r="D1816" s="372"/>
      <c r="E1816" s="372"/>
      <c r="F1816" s="372"/>
      <c r="G1816" s="372"/>
      <c r="H1816" s="372"/>
      <c r="I1816" s="144">
        <f>SUM(I1813:I1815)</f>
        <v>456923.07692307694</v>
      </c>
      <c r="K1816" s="281"/>
      <c r="N1816" s="150"/>
    </row>
    <row r="1817" spans="2:15" ht="6" customHeight="1" thickBot="1" x14ac:dyDescent="0.3">
      <c r="B1817" s="373"/>
      <c r="C1817" s="373"/>
      <c r="D1817" s="373"/>
      <c r="E1817" s="373"/>
      <c r="F1817" s="373"/>
      <c r="G1817" s="373"/>
      <c r="H1817" s="373"/>
      <c r="I1817" s="373"/>
    </row>
    <row r="1818" spans="2:15" ht="10.5" customHeight="1" thickBot="1" x14ac:dyDescent="0.3">
      <c r="B1818" s="374" t="s">
        <v>334</v>
      </c>
      <c r="C1818" s="375"/>
      <c r="D1818" s="375"/>
      <c r="E1818" s="375"/>
      <c r="F1818" s="375"/>
      <c r="G1818" s="375"/>
      <c r="H1818" s="376"/>
      <c r="I1818" s="152">
        <f>ROUND(+I1799+I1804+I1809+I1816,0)</f>
        <v>4236698</v>
      </c>
      <c r="J1818" s="281"/>
      <c r="K1818" s="169"/>
      <c r="L1818" s="181"/>
      <c r="M1818" s="181"/>
      <c r="N1818" s="153"/>
    </row>
    <row r="1819" spans="2:15" ht="6" customHeight="1" thickBot="1" x14ac:dyDescent="0.3">
      <c r="B1819" s="373"/>
      <c r="C1819" s="373"/>
      <c r="D1819" s="373"/>
      <c r="E1819" s="373"/>
      <c r="F1819" s="373"/>
      <c r="G1819" s="373"/>
      <c r="H1819" s="373"/>
      <c r="I1819" s="373"/>
    </row>
    <row r="1820" spans="2:15" ht="8.25" customHeight="1" x14ac:dyDescent="0.25">
      <c r="B1820" s="433" t="s">
        <v>335</v>
      </c>
      <c r="C1820" s="417"/>
      <c r="D1820" s="418"/>
      <c r="E1820" s="418"/>
      <c r="F1820" s="419"/>
      <c r="G1820" s="369" t="s">
        <v>336</v>
      </c>
      <c r="H1820" s="370"/>
      <c r="I1820" s="370"/>
    </row>
    <row r="1821" spans="2:15" ht="33.75" customHeight="1" x14ac:dyDescent="0.25">
      <c r="B1821" s="434"/>
      <c r="C1821" s="420"/>
      <c r="D1821" s="421"/>
      <c r="E1821" s="421"/>
      <c r="F1821" s="422"/>
      <c r="G1821" s="430" t="s">
        <v>337</v>
      </c>
      <c r="H1821" s="431"/>
      <c r="I1821" s="431"/>
      <c r="L1821" s="181"/>
      <c r="M1821" s="181"/>
      <c r="N1821" s="179"/>
    </row>
    <row r="1822" spans="2:15" ht="13.5" customHeight="1" x14ac:dyDescent="0.25">
      <c r="B1822" s="434"/>
      <c r="C1822" s="420"/>
      <c r="D1822" s="421"/>
      <c r="E1822" s="421"/>
      <c r="F1822" s="422"/>
      <c r="G1822" s="154" t="s">
        <v>92</v>
      </c>
      <c r="H1822" s="432" t="s">
        <v>93</v>
      </c>
      <c r="I1822" s="432"/>
    </row>
    <row r="1823" spans="2:15" ht="16.5" customHeight="1" x14ac:dyDescent="0.25">
      <c r="B1823" s="435"/>
      <c r="C1823" s="420"/>
      <c r="D1823" s="421"/>
      <c r="E1823" s="421"/>
      <c r="F1823" s="422"/>
      <c r="G1823" s="155" t="s">
        <v>94</v>
      </c>
      <c r="H1823" s="156" t="s">
        <v>95</v>
      </c>
      <c r="I1823" s="157" t="s">
        <v>96</v>
      </c>
    </row>
    <row r="1824" spans="2:15" x14ac:dyDescent="0.25">
      <c r="B1824" s="268" t="s">
        <v>18</v>
      </c>
      <c r="C1824" s="427"/>
      <c r="D1824" s="428"/>
      <c r="E1824" s="428"/>
      <c r="F1824" s="429"/>
      <c r="G1824" s="155" t="s">
        <v>98</v>
      </c>
      <c r="H1824" s="157" t="s">
        <v>99</v>
      </c>
      <c r="I1824" s="157" t="s">
        <v>100</v>
      </c>
    </row>
    <row r="1825" spans="2:11" x14ac:dyDescent="0.25">
      <c r="B1825" s="269" t="s">
        <v>97</v>
      </c>
      <c r="C1825" s="427"/>
      <c r="D1825" s="428"/>
      <c r="E1825" s="428"/>
      <c r="F1825" s="429"/>
      <c r="G1825" s="154" t="s">
        <v>338</v>
      </c>
      <c r="H1825" s="426"/>
      <c r="I1825" s="426"/>
    </row>
    <row r="1826" spans="2:11" ht="15.75" thickBot="1" x14ac:dyDescent="0.3">
      <c r="B1826" s="270" t="s">
        <v>101</v>
      </c>
      <c r="C1826" s="423"/>
      <c r="D1826" s="424"/>
      <c r="E1826" s="424"/>
      <c r="F1826" s="425"/>
      <c r="G1826" s="154" t="s">
        <v>102</v>
      </c>
      <c r="H1826" s="426" t="s">
        <v>103</v>
      </c>
      <c r="I1826" s="426"/>
    </row>
    <row r="1827" spans="2:11" ht="45" customHeight="1" thickBot="1" x14ac:dyDescent="0.3">
      <c r="B1827" s="401"/>
      <c r="C1827" s="402"/>
      <c r="D1827" s="402"/>
      <c r="E1827" s="402"/>
      <c r="F1827" s="403" t="s">
        <v>0</v>
      </c>
      <c r="G1827" s="403"/>
      <c r="H1827" s="403"/>
      <c r="I1827" s="404"/>
    </row>
    <row r="1828" spans="2:11" ht="6" customHeight="1" thickBot="1" x14ac:dyDescent="0.3">
      <c r="B1828" s="373"/>
      <c r="C1828" s="373"/>
      <c r="D1828" s="373"/>
      <c r="E1828" s="373"/>
      <c r="F1828" s="373"/>
      <c r="G1828" s="373"/>
      <c r="H1828" s="373"/>
      <c r="I1828" s="373"/>
    </row>
    <row r="1829" spans="2:11" ht="10.5" customHeight="1" x14ac:dyDescent="0.25">
      <c r="B1829" s="405" t="s">
        <v>294</v>
      </c>
      <c r="C1829" s="406"/>
      <c r="D1829" s="407" t="s">
        <v>295</v>
      </c>
      <c r="E1829" s="409" t="s">
        <v>296</v>
      </c>
      <c r="F1829" s="410"/>
      <c r="G1829" s="410"/>
      <c r="H1829" s="410"/>
      <c r="I1829" s="411"/>
    </row>
    <row r="1830" spans="2:11" ht="9" customHeight="1" thickBot="1" x14ac:dyDescent="0.3">
      <c r="B1830" s="415"/>
      <c r="C1830" s="416"/>
      <c r="D1830" s="408"/>
      <c r="E1830" s="412"/>
      <c r="F1830" s="413"/>
      <c r="G1830" s="413"/>
      <c r="H1830" s="413"/>
      <c r="I1830" s="414"/>
    </row>
    <row r="1831" spans="2:11" ht="6" customHeight="1" thickBot="1" x14ac:dyDescent="0.3">
      <c r="B1831" s="373"/>
      <c r="C1831" s="373"/>
      <c r="D1831" s="373"/>
      <c r="E1831" s="373"/>
      <c r="F1831" s="373"/>
      <c r="G1831" s="373"/>
      <c r="H1831" s="373"/>
      <c r="I1831" s="373"/>
    </row>
    <row r="1832" spans="2:11" ht="17.25" customHeight="1" thickBot="1" x14ac:dyDescent="0.3">
      <c r="B1832" s="390" t="s">
        <v>297</v>
      </c>
      <c r="C1832" s="391"/>
      <c r="D1832" s="392"/>
      <c r="E1832" s="393"/>
      <c r="F1832" s="393"/>
      <c r="G1832" s="394"/>
      <c r="H1832" s="127" t="s">
        <v>298</v>
      </c>
      <c r="I1832" s="128"/>
    </row>
    <row r="1833" spans="2:11" ht="6" customHeight="1" thickBot="1" x14ac:dyDescent="0.3">
      <c r="B1833" s="373"/>
      <c r="C1833" s="373"/>
      <c r="D1833" s="373"/>
      <c r="E1833" s="373"/>
      <c r="F1833" s="373"/>
      <c r="G1833" s="373"/>
      <c r="H1833" s="373"/>
      <c r="I1833" s="373"/>
    </row>
    <row r="1834" spans="2:11" ht="19.5" customHeight="1" x14ac:dyDescent="0.25">
      <c r="B1834" s="261" t="s">
        <v>299</v>
      </c>
      <c r="C1834" s="129" t="s">
        <v>300</v>
      </c>
      <c r="D1834" s="130" t="s">
        <v>301</v>
      </c>
      <c r="E1834" s="130" t="s">
        <v>302</v>
      </c>
      <c r="F1834" s="398" t="s">
        <v>303</v>
      </c>
      <c r="G1834" s="399"/>
      <c r="H1834" s="400"/>
      <c r="I1834" s="131" t="s">
        <v>304</v>
      </c>
    </row>
    <row r="1835" spans="2:11" ht="11.25" customHeight="1" x14ac:dyDescent="0.25">
      <c r="B1835" s="262"/>
      <c r="C1835" s="132"/>
      <c r="D1835" s="132" t="s">
        <v>305</v>
      </c>
      <c r="E1835" s="132" t="s">
        <v>306</v>
      </c>
      <c r="F1835" s="395" t="s">
        <v>339</v>
      </c>
      <c r="G1835" s="396"/>
      <c r="H1835" s="397"/>
      <c r="I1835" s="133"/>
    </row>
    <row r="1836" spans="2:11" ht="28.5" customHeight="1" x14ac:dyDescent="0.25">
      <c r="B1836" s="263" t="s">
        <v>307</v>
      </c>
      <c r="C1836" s="383" t="s">
        <v>414</v>
      </c>
      <c r="D1836" s="384"/>
      <c r="E1836" s="384"/>
      <c r="F1836" s="384"/>
      <c r="G1836" s="384"/>
      <c r="H1836" s="384"/>
      <c r="I1836" s="385"/>
    </row>
    <row r="1837" spans="2:11" ht="10.5" customHeight="1" x14ac:dyDescent="0.25">
      <c r="B1837" s="264" t="s">
        <v>129</v>
      </c>
      <c r="C1837" s="388" t="s">
        <v>308</v>
      </c>
      <c r="D1837" s="389"/>
      <c r="E1837" s="389"/>
      <c r="F1837" s="389"/>
      <c r="G1837" s="389"/>
      <c r="H1837" s="389"/>
      <c r="I1837" s="134" t="s">
        <v>130</v>
      </c>
    </row>
    <row r="1838" spans="2:11" ht="50.25" customHeight="1" thickBot="1" x14ac:dyDescent="0.3">
      <c r="B1838" s="265">
        <v>7.1099999999999977</v>
      </c>
      <c r="C1838" s="386" t="s">
        <v>585</v>
      </c>
      <c r="D1838" s="387"/>
      <c r="E1838" s="387"/>
      <c r="F1838" s="387"/>
      <c r="G1838" s="387"/>
      <c r="H1838" s="387"/>
      <c r="I1838" s="135" t="s">
        <v>27</v>
      </c>
    </row>
    <row r="1839" spans="2:11" ht="6" customHeight="1" thickBot="1" x14ac:dyDescent="0.3">
      <c r="B1839" s="373"/>
      <c r="C1839" s="373"/>
      <c r="D1839" s="373"/>
      <c r="E1839" s="373"/>
      <c r="F1839" s="373"/>
      <c r="G1839" s="373"/>
      <c r="H1839" s="373"/>
      <c r="I1839" s="373"/>
    </row>
    <row r="1840" spans="2:11" x14ac:dyDescent="0.25">
      <c r="B1840" s="380" t="s">
        <v>309</v>
      </c>
      <c r="C1840" s="381"/>
      <c r="D1840" s="381"/>
      <c r="E1840" s="381"/>
      <c r="F1840" s="381"/>
      <c r="G1840" s="381"/>
      <c r="H1840" s="381"/>
      <c r="I1840" s="382"/>
      <c r="K1840" s="182"/>
    </row>
    <row r="1841" spans="2:15" ht="11.25" customHeight="1" x14ac:dyDescent="0.25">
      <c r="B1841" s="377" t="s">
        <v>310</v>
      </c>
      <c r="C1841" s="378"/>
      <c r="D1841" s="379"/>
      <c r="E1841" s="136"/>
      <c r="F1841" s="137" t="s">
        <v>311</v>
      </c>
      <c r="G1841" s="137" t="s">
        <v>312</v>
      </c>
      <c r="H1841" s="137" t="s">
        <v>313</v>
      </c>
      <c r="I1841" s="138" t="s">
        <v>314</v>
      </c>
      <c r="L1841" s="139"/>
      <c r="M1841" s="139"/>
    </row>
    <row r="1842" spans="2:15" ht="11.25" customHeight="1" x14ac:dyDescent="0.25">
      <c r="B1842" s="362" t="s">
        <v>315</v>
      </c>
      <c r="C1842" s="363"/>
      <c r="D1842" s="363"/>
      <c r="E1842" s="160"/>
      <c r="F1842" s="161" t="s">
        <v>316</v>
      </c>
      <c r="G1842" s="160">
        <v>5000</v>
      </c>
      <c r="H1842" s="142">
        <v>0.9</v>
      </c>
      <c r="I1842" s="143">
        <f>G1842*H1842</f>
        <v>4500</v>
      </c>
    </row>
    <row r="1843" spans="2:15" ht="16.5" customHeight="1" x14ac:dyDescent="0.25">
      <c r="B1843" s="362" t="s">
        <v>355</v>
      </c>
      <c r="C1843" s="363"/>
      <c r="D1843" s="363"/>
      <c r="E1843" s="160"/>
      <c r="F1843" s="161" t="s">
        <v>317</v>
      </c>
      <c r="G1843" s="160">
        <v>90000</v>
      </c>
      <c r="H1843" s="142">
        <f>+H1842</f>
        <v>0.9</v>
      </c>
      <c r="I1843" s="143">
        <f>G1843*H1843</f>
        <v>81000</v>
      </c>
    </row>
    <row r="1844" spans="2:15" ht="10.5" customHeight="1" thickBot="1" x14ac:dyDescent="0.3">
      <c r="B1844" s="371" t="s">
        <v>318</v>
      </c>
      <c r="C1844" s="372"/>
      <c r="D1844" s="372"/>
      <c r="E1844" s="372"/>
      <c r="F1844" s="372"/>
      <c r="G1844" s="372"/>
      <c r="H1844" s="372"/>
      <c r="I1844" s="144">
        <f>SUM(I1842:I1843)</f>
        <v>85500</v>
      </c>
      <c r="N1844" s="150"/>
    </row>
    <row r="1845" spans="2:15" ht="6" customHeight="1" thickBot="1" x14ac:dyDescent="0.3">
      <c r="B1845" s="373"/>
      <c r="C1845" s="373"/>
      <c r="D1845" s="373"/>
      <c r="E1845" s="373"/>
      <c r="F1845" s="373"/>
      <c r="G1845" s="373"/>
      <c r="H1845" s="373"/>
      <c r="I1845" s="373"/>
    </row>
    <row r="1846" spans="2:15" s="145" customFormat="1" x14ac:dyDescent="0.25">
      <c r="B1846" s="380" t="s">
        <v>319</v>
      </c>
      <c r="C1846" s="381"/>
      <c r="D1846" s="381"/>
      <c r="E1846" s="381"/>
      <c r="F1846" s="381"/>
      <c r="G1846" s="381"/>
      <c r="H1846" s="381"/>
      <c r="I1846" s="382"/>
    </row>
    <row r="1847" spans="2:15" s="145" customFormat="1" ht="15.75" customHeight="1" x14ac:dyDescent="0.25">
      <c r="B1847" s="377" t="s">
        <v>310</v>
      </c>
      <c r="C1847" s="378"/>
      <c r="D1847" s="379"/>
      <c r="E1847" s="137"/>
      <c r="F1847" s="137" t="s">
        <v>320</v>
      </c>
      <c r="G1847" s="137" t="s">
        <v>321</v>
      </c>
      <c r="H1847" s="137" t="s">
        <v>322</v>
      </c>
      <c r="I1847" s="138" t="s">
        <v>314</v>
      </c>
    </row>
    <row r="1848" spans="2:15" ht="78.75" customHeight="1" x14ac:dyDescent="0.25">
      <c r="B1848" s="436" t="s">
        <v>585</v>
      </c>
      <c r="C1848" s="437"/>
      <c r="D1848" s="438"/>
      <c r="E1848" s="163"/>
      <c r="F1848" s="161" t="s">
        <v>27</v>
      </c>
      <c r="G1848" s="160">
        <f>4608265-2844588+1+2363017-2281275+6608683-4824123+540000+2212920-4802908+1+837825+2995429-4478609+1+772396-50000+2002240+502778</f>
        <v>4162053</v>
      </c>
      <c r="H1848" s="142">
        <v>1</v>
      </c>
      <c r="I1848" s="143">
        <f>G1848*H1848</f>
        <v>4162053</v>
      </c>
      <c r="M1848">
        <v>4608265</v>
      </c>
    </row>
    <row r="1849" spans="2:15" ht="18" customHeight="1" thickBot="1" x14ac:dyDescent="0.3">
      <c r="B1849" s="371" t="s">
        <v>318</v>
      </c>
      <c r="C1849" s="372"/>
      <c r="D1849" s="372"/>
      <c r="E1849" s="372"/>
      <c r="F1849" s="372"/>
      <c r="G1849" s="372"/>
      <c r="H1849" s="372"/>
      <c r="I1849" s="144">
        <f>SUM(I1848:I1848)</f>
        <v>4162053</v>
      </c>
      <c r="N1849" s="150"/>
    </row>
    <row r="1850" spans="2:15" ht="6" customHeight="1" thickBot="1" x14ac:dyDescent="0.3">
      <c r="B1850" s="373"/>
      <c r="C1850" s="373"/>
      <c r="D1850" s="373"/>
      <c r="E1850" s="373"/>
      <c r="F1850" s="373"/>
      <c r="G1850" s="373"/>
      <c r="H1850" s="373"/>
      <c r="I1850" s="373"/>
    </row>
    <row r="1851" spans="2:15" s="145" customFormat="1" x14ac:dyDescent="0.25">
      <c r="B1851" s="380" t="s">
        <v>323</v>
      </c>
      <c r="C1851" s="381"/>
      <c r="D1851" s="381"/>
      <c r="E1851" s="381"/>
      <c r="F1851" s="381"/>
      <c r="G1851" s="381"/>
      <c r="H1851" s="381"/>
      <c r="I1851" s="382"/>
      <c r="L1851" s="146"/>
      <c r="M1851" s="146"/>
    </row>
    <row r="1852" spans="2:15" s="145" customFormat="1" x14ac:dyDescent="0.25">
      <c r="B1852" s="377" t="s">
        <v>324</v>
      </c>
      <c r="C1852" s="378"/>
      <c r="D1852" s="379"/>
      <c r="E1852" s="137" t="s">
        <v>325</v>
      </c>
      <c r="F1852" s="137" t="s">
        <v>326</v>
      </c>
      <c r="G1852" s="137" t="s">
        <v>130</v>
      </c>
      <c r="H1852" s="137" t="s">
        <v>327</v>
      </c>
      <c r="I1852" s="138" t="s">
        <v>314</v>
      </c>
      <c r="K1852" s="260"/>
      <c r="N1852" s="183"/>
      <c r="O1852" s="148"/>
    </row>
    <row r="1853" spans="2:15" ht="11.25" customHeight="1" x14ac:dyDescent="0.25">
      <c r="B1853" s="362" t="s">
        <v>711</v>
      </c>
      <c r="C1853" s="363"/>
      <c r="D1853" s="363"/>
      <c r="E1853" s="170">
        <v>1</v>
      </c>
      <c r="F1853" s="164"/>
      <c r="G1853" s="161"/>
      <c r="H1853" s="162">
        <v>35000</v>
      </c>
      <c r="I1853" s="143">
        <f>H1853*E1853</f>
        <v>35000</v>
      </c>
      <c r="K1853" s="281"/>
    </row>
    <row r="1854" spans="2:15" ht="10.5" customHeight="1" thickBot="1" x14ac:dyDescent="0.3">
      <c r="B1854" s="371" t="s">
        <v>318</v>
      </c>
      <c r="C1854" s="372"/>
      <c r="D1854" s="372"/>
      <c r="E1854" s="372"/>
      <c r="F1854" s="372"/>
      <c r="G1854" s="372"/>
      <c r="H1854" s="372"/>
      <c r="I1854" s="144">
        <f>SUM(I1853:I1853)</f>
        <v>35000</v>
      </c>
      <c r="K1854" s="281"/>
      <c r="N1854" s="150"/>
    </row>
    <row r="1855" spans="2:15" ht="6" customHeight="1" thickBot="1" x14ac:dyDescent="0.3">
      <c r="B1855" s="373"/>
      <c r="C1855" s="373"/>
      <c r="D1855" s="373"/>
      <c r="E1855" s="373"/>
      <c r="F1855" s="373"/>
      <c r="G1855" s="373"/>
      <c r="H1855" s="373"/>
      <c r="I1855" s="373"/>
    </row>
    <row r="1856" spans="2:15" s="145" customFormat="1" ht="20.100000000000001" customHeight="1" x14ac:dyDescent="0.25">
      <c r="B1856" s="380" t="s">
        <v>328</v>
      </c>
      <c r="C1856" s="381"/>
      <c r="D1856" s="381"/>
      <c r="E1856" s="381"/>
      <c r="F1856" s="381"/>
      <c r="G1856" s="381"/>
      <c r="H1856" s="381"/>
      <c r="I1856" s="382"/>
      <c r="K1856" s="147">
        <v>4777552.5</v>
      </c>
      <c r="N1856" s="148"/>
      <c r="O1856" s="149"/>
    </row>
    <row r="1857" spans="2:15" s="145" customFormat="1" ht="20.100000000000001" customHeight="1" x14ac:dyDescent="0.25">
      <c r="B1857" s="377" t="s">
        <v>329</v>
      </c>
      <c r="C1857" s="379"/>
      <c r="D1857" s="137" t="s">
        <v>322</v>
      </c>
      <c r="E1857" s="137" t="s">
        <v>330</v>
      </c>
      <c r="F1857" s="137" t="s">
        <v>331</v>
      </c>
      <c r="G1857" s="137" t="s">
        <v>332</v>
      </c>
      <c r="H1857" s="137" t="s">
        <v>313</v>
      </c>
      <c r="I1857" s="138" t="s">
        <v>314</v>
      </c>
      <c r="K1857" s="147"/>
      <c r="O1857" s="179"/>
    </row>
    <row r="1858" spans="2:15" s="151" customFormat="1" ht="9.75" customHeight="1" x14ac:dyDescent="0.25">
      <c r="B1858" s="367" t="s">
        <v>356</v>
      </c>
      <c r="C1858" s="368"/>
      <c r="D1858" s="180">
        <v>1</v>
      </c>
      <c r="E1858" s="141">
        <v>140000</v>
      </c>
      <c r="F1858" s="141">
        <f>+E1858*0.8</f>
        <v>112000</v>
      </c>
      <c r="G1858" s="178">
        <f>D1858*E1858+F1858*D1858</f>
        <v>252000</v>
      </c>
      <c r="H1858" s="184">
        <v>1.2</v>
      </c>
      <c r="I1858" s="143">
        <f>+G1858/H1858</f>
        <v>210000</v>
      </c>
      <c r="J1858" s="145"/>
      <c r="K1858" s="147">
        <f>+K1856-I1863</f>
        <v>-0.5</v>
      </c>
    </row>
    <row r="1859" spans="2:15" s="151" customFormat="1" ht="11.25" customHeight="1" x14ac:dyDescent="0.25">
      <c r="B1859" s="367" t="s">
        <v>374</v>
      </c>
      <c r="C1859" s="368"/>
      <c r="D1859" s="180">
        <v>1</v>
      </c>
      <c r="E1859" s="141">
        <v>80000</v>
      </c>
      <c r="F1859" s="141">
        <f>+E1859*0.8</f>
        <v>64000</v>
      </c>
      <c r="G1859" s="178">
        <f>D1859*E1859+F1859*D1859</f>
        <v>144000</v>
      </c>
      <c r="H1859" s="184">
        <f>+H1858</f>
        <v>1.2</v>
      </c>
      <c r="I1859" s="143">
        <f>+G1859/H1859</f>
        <v>120000</v>
      </c>
      <c r="J1859" s="145"/>
      <c r="K1859" s="147"/>
      <c r="L1859" s="179"/>
      <c r="M1859" s="179"/>
    </row>
    <row r="1860" spans="2:15" s="145" customFormat="1" ht="10.5" customHeight="1" x14ac:dyDescent="0.25">
      <c r="B1860" s="367" t="s">
        <v>333</v>
      </c>
      <c r="C1860" s="368"/>
      <c r="D1860" s="180">
        <v>2</v>
      </c>
      <c r="E1860" s="141">
        <v>55000</v>
      </c>
      <c r="F1860" s="141">
        <f>+E1860*0.8</f>
        <v>44000</v>
      </c>
      <c r="G1860" s="178">
        <f>D1860*E1860+F1860*D1860</f>
        <v>198000</v>
      </c>
      <c r="H1860" s="184">
        <f>+H1859</f>
        <v>1.2</v>
      </c>
      <c r="I1860" s="143">
        <f>+G1860/H1860</f>
        <v>165000</v>
      </c>
      <c r="K1860" s="147"/>
    </row>
    <row r="1861" spans="2:15" ht="10.5" customHeight="1" thickBot="1" x14ac:dyDescent="0.3">
      <c r="B1861" s="371" t="s">
        <v>318</v>
      </c>
      <c r="C1861" s="372"/>
      <c r="D1861" s="372"/>
      <c r="E1861" s="372"/>
      <c r="F1861" s="372"/>
      <c r="G1861" s="372"/>
      <c r="H1861" s="372"/>
      <c r="I1861" s="144">
        <f>SUM(I1858:I1860)</f>
        <v>495000</v>
      </c>
      <c r="K1861" s="281"/>
      <c r="N1861" s="150"/>
    </row>
    <row r="1862" spans="2:15" ht="6" customHeight="1" thickBot="1" x14ac:dyDescent="0.3">
      <c r="B1862" s="373"/>
      <c r="C1862" s="373"/>
      <c r="D1862" s="373"/>
      <c r="E1862" s="373"/>
      <c r="F1862" s="373"/>
      <c r="G1862" s="373"/>
      <c r="H1862" s="373"/>
      <c r="I1862" s="373"/>
    </row>
    <row r="1863" spans="2:15" ht="10.5" customHeight="1" thickBot="1" x14ac:dyDescent="0.3">
      <c r="B1863" s="374" t="s">
        <v>334</v>
      </c>
      <c r="C1863" s="375"/>
      <c r="D1863" s="375"/>
      <c r="E1863" s="375"/>
      <c r="F1863" s="375"/>
      <c r="G1863" s="375"/>
      <c r="H1863" s="376"/>
      <c r="I1863" s="152">
        <f>ROUND(+I1844+I1849+I1854+I1861,0)</f>
        <v>4777553</v>
      </c>
      <c r="J1863" s="281"/>
      <c r="K1863" s="169"/>
      <c r="L1863" s="181"/>
      <c r="M1863" s="181"/>
      <c r="N1863" s="153"/>
    </row>
    <row r="1864" spans="2:15" ht="6" customHeight="1" thickBot="1" x14ac:dyDescent="0.3">
      <c r="B1864" s="373"/>
      <c r="C1864" s="373"/>
      <c r="D1864" s="373"/>
      <c r="E1864" s="373"/>
      <c r="F1864" s="373"/>
      <c r="G1864" s="373"/>
      <c r="H1864" s="373"/>
      <c r="I1864" s="373"/>
    </row>
    <row r="1865" spans="2:15" ht="8.25" customHeight="1" x14ac:dyDescent="0.25">
      <c r="B1865" s="433" t="s">
        <v>335</v>
      </c>
      <c r="C1865" s="417"/>
      <c r="D1865" s="418"/>
      <c r="E1865" s="418"/>
      <c r="F1865" s="419"/>
      <c r="G1865" s="369" t="s">
        <v>336</v>
      </c>
      <c r="H1865" s="370"/>
      <c r="I1865" s="370"/>
    </row>
    <row r="1866" spans="2:15" ht="33.75" customHeight="1" x14ac:dyDescent="0.25">
      <c r="B1866" s="434"/>
      <c r="C1866" s="420"/>
      <c r="D1866" s="421"/>
      <c r="E1866" s="421"/>
      <c r="F1866" s="422"/>
      <c r="G1866" s="430" t="s">
        <v>337</v>
      </c>
      <c r="H1866" s="431"/>
      <c r="I1866" s="431"/>
      <c r="L1866" s="181"/>
      <c r="M1866" s="181"/>
      <c r="N1866" s="179"/>
    </row>
    <row r="1867" spans="2:15" ht="13.5" customHeight="1" x14ac:dyDescent="0.25">
      <c r="B1867" s="434"/>
      <c r="C1867" s="420"/>
      <c r="D1867" s="421"/>
      <c r="E1867" s="421"/>
      <c r="F1867" s="422"/>
      <c r="G1867" s="154" t="s">
        <v>92</v>
      </c>
      <c r="H1867" s="432" t="s">
        <v>93</v>
      </c>
      <c r="I1867" s="432"/>
    </row>
    <row r="1868" spans="2:15" ht="16.5" customHeight="1" x14ac:dyDescent="0.25">
      <c r="B1868" s="435"/>
      <c r="C1868" s="420"/>
      <c r="D1868" s="421"/>
      <c r="E1868" s="421"/>
      <c r="F1868" s="422"/>
      <c r="G1868" s="155" t="s">
        <v>94</v>
      </c>
      <c r="H1868" s="156" t="s">
        <v>95</v>
      </c>
      <c r="I1868" s="157" t="s">
        <v>96</v>
      </c>
    </row>
    <row r="1869" spans="2:15" x14ac:dyDescent="0.25">
      <c r="B1869" s="268" t="s">
        <v>18</v>
      </c>
      <c r="C1869" s="427"/>
      <c r="D1869" s="428"/>
      <c r="E1869" s="428"/>
      <c r="F1869" s="429"/>
      <c r="G1869" s="155" t="s">
        <v>98</v>
      </c>
      <c r="H1869" s="157" t="s">
        <v>99</v>
      </c>
      <c r="I1869" s="157" t="s">
        <v>100</v>
      </c>
    </row>
    <row r="1870" spans="2:15" x14ac:dyDescent="0.25">
      <c r="B1870" s="269" t="s">
        <v>97</v>
      </c>
      <c r="C1870" s="427"/>
      <c r="D1870" s="428"/>
      <c r="E1870" s="428"/>
      <c r="F1870" s="429"/>
      <c r="G1870" s="154" t="s">
        <v>338</v>
      </c>
      <c r="H1870" s="426"/>
      <c r="I1870" s="426"/>
    </row>
    <row r="1871" spans="2:15" ht="15.75" thickBot="1" x14ac:dyDescent="0.3">
      <c r="B1871" s="270" t="s">
        <v>101</v>
      </c>
      <c r="C1871" s="423"/>
      <c r="D1871" s="424"/>
      <c r="E1871" s="424"/>
      <c r="F1871" s="425"/>
      <c r="G1871" s="154" t="s">
        <v>102</v>
      </c>
      <c r="H1871" s="426" t="s">
        <v>103</v>
      </c>
      <c r="I1871" s="426"/>
    </row>
    <row r="1872" spans="2:15" ht="45" customHeight="1" thickBot="1" x14ac:dyDescent="0.3">
      <c r="B1872" s="401"/>
      <c r="C1872" s="402"/>
      <c r="D1872" s="402"/>
      <c r="E1872" s="402"/>
      <c r="F1872" s="403" t="s">
        <v>0</v>
      </c>
      <c r="G1872" s="403"/>
      <c r="H1872" s="403"/>
      <c r="I1872" s="404"/>
    </row>
    <row r="1873" spans="2:13" ht="6" customHeight="1" thickBot="1" x14ac:dyDescent="0.3">
      <c r="B1873" s="373"/>
      <c r="C1873" s="373"/>
      <c r="D1873" s="373"/>
      <c r="E1873" s="373"/>
      <c r="F1873" s="373"/>
      <c r="G1873" s="373"/>
      <c r="H1873" s="373"/>
      <c r="I1873" s="373"/>
    </row>
    <row r="1874" spans="2:13" ht="10.5" customHeight="1" x14ac:dyDescent="0.25">
      <c r="B1874" s="405" t="s">
        <v>294</v>
      </c>
      <c r="C1874" s="406"/>
      <c r="D1874" s="407" t="s">
        <v>295</v>
      </c>
      <c r="E1874" s="409" t="s">
        <v>296</v>
      </c>
      <c r="F1874" s="410"/>
      <c r="G1874" s="410"/>
      <c r="H1874" s="410"/>
      <c r="I1874" s="411"/>
    </row>
    <row r="1875" spans="2:13" ht="9" customHeight="1" thickBot="1" x14ac:dyDescent="0.3">
      <c r="B1875" s="415"/>
      <c r="C1875" s="416"/>
      <c r="D1875" s="408"/>
      <c r="E1875" s="412"/>
      <c r="F1875" s="413"/>
      <c r="G1875" s="413"/>
      <c r="H1875" s="413"/>
      <c r="I1875" s="414"/>
    </row>
    <row r="1876" spans="2:13" ht="6" customHeight="1" thickBot="1" x14ac:dyDescent="0.3">
      <c r="B1876" s="373"/>
      <c r="C1876" s="373"/>
      <c r="D1876" s="373"/>
      <c r="E1876" s="373"/>
      <c r="F1876" s="373"/>
      <c r="G1876" s="373"/>
      <c r="H1876" s="373"/>
      <c r="I1876" s="373"/>
    </row>
    <row r="1877" spans="2:13" ht="17.25" customHeight="1" thickBot="1" x14ac:dyDescent="0.3">
      <c r="B1877" s="390" t="s">
        <v>297</v>
      </c>
      <c r="C1877" s="391"/>
      <c r="D1877" s="392"/>
      <c r="E1877" s="393"/>
      <c r="F1877" s="393"/>
      <c r="G1877" s="394"/>
      <c r="H1877" s="127" t="s">
        <v>298</v>
      </c>
      <c r="I1877" s="128"/>
    </row>
    <row r="1878" spans="2:13" ht="6" customHeight="1" thickBot="1" x14ac:dyDescent="0.3">
      <c r="B1878" s="373"/>
      <c r="C1878" s="373"/>
      <c r="D1878" s="373"/>
      <c r="E1878" s="373"/>
      <c r="F1878" s="373"/>
      <c r="G1878" s="373"/>
      <c r="H1878" s="373"/>
      <c r="I1878" s="373"/>
    </row>
    <row r="1879" spans="2:13" ht="19.5" customHeight="1" x14ac:dyDescent="0.25">
      <c r="B1879" s="261" t="s">
        <v>299</v>
      </c>
      <c r="C1879" s="129" t="s">
        <v>300</v>
      </c>
      <c r="D1879" s="130" t="s">
        <v>301</v>
      </c>
      <c r="E1879" s="130" t="s">
        <v>302</v>
      </c>
      <c r="F1879" s="398" t="s">
        <v>303</v>
      </c>
      <c r="G1879" s="399"/>
      <c r="H1879" s="400"/>
      <c r="I1879" s="131" t="s">
        <v>304</v>
      </c>
    </row>
    <row r="1880" spans="2:13" ht="11.25" customHeight="1" x14ac:dyDescent="0.25">
      <c r="B1880" s="262"/>
      <c r="C1880" s="132"/>
      <c r="D1880" s="132" t="s">
        <v>305</v>
      </c>
      <c r="E1880" s="132" t="s">
        <v>306</v>
      </c>
      <c r="F1880" s="395" t="s">
        <v>339</v>
      </c>
      <c r="G1880" s="396"/>
      <c r="H1880" s="397"/>
      <c r="I1880" s="133"/>
    </row>
    <row r="1881" spans="2:13" ht="28.5" customHeight="1" x14ac:dyDescent="0.25">
      <c r="B1881" s="263" t="s">
        <v>307</v>
      </c>
      <c r="C1881" s="383" t="s">
        <v>414</v>
      </c>
      <c r="D1881" s="384"/>
      <c r="E1881" s="384"/>
      <c r="F1881" s="384"/>
      <c r="G1881" s="384"/>
      <c r="H1881" s="384"/>
      <c r="I1881" s="385"/>
    </row>
    <row r="1882" spans="2:13" ht="10.5" customHeight="1" x14ac:dyDescent="0.25">
      <c r="B1882" s="264" t="s">
        <v>129</v>
      </c>
      <c r="C1882" s="388" t="s">
        <v>308</v>
      </c>
      <c r="D1882" s="389"/>
      <c r="E1882" s="389"/>
      <c r="F1882" s="389"/>
      <c r="G1882" s="389"/>
      <c r="H1882" s="389"/>
      <c r="I1882" s="134" t="s">
        <v>130</v>
      </c>
    </row>
    <row r="1883" spans="2:13" ht="50.25" customHeight="1" thickBot="1" x14ac:dyDescent="0.3">
      <c r="B1883" s="265">
        <v>7.1199999999999974</v>
      </c>
      <c r="C1883" s="386" t="s">
        <v>586</v>
      </c>
      <c r="D1883" s="387"/>
      <c r="E1883" s="387"/>
      <c r="F1883" s="387"/>
      <c r="G1883" s="387"/>
      <c r="H1883" s="387"/>
      <c r="I1883" s="135" t="s">
        <v>27</v>
      </c>
    </row>
    <row r="1884" spans="2:13" ht="6" customHeight="1" thickBot="1" x14ac:dyDescent="0.3">
      <c r="B1884" s="373"/>
      <c r="C1884" s="373"/>
      <c r="D1884" s="373"/>
      <c r="E1884" s="373"/>
      <c r="F1884" s="373"/>
      <c r="G1884" s="373"/>
      <c r="H1884" s="373"/>
      <c r="I1884" s="373"/>
    </row>
    <row r="1885" spans="2:13" x14ac:dyDescent="0.25">
      <c r="B1885" s="380" t="s">
        <v>309</v>
      </c>
      <c r="C1885" s="381"/>
      <c r="D1885" s="381"/>
      <c r="E1885" s="381"/>
      <c r="F1885" s="381"/>
      <c r="G1885" s="381"/>
      <c r="H1885" s="381"/>
      <c r="I1885" s="382"/>
      <c r="K1885" s="182"/>
    </row>
    <row r="1886" spans="2:13" ht="11.25" customHeight="1" x14ac:dyDescent="0.25">
      <c r="B1886" s="377" t="s">
        <v>310</v>
      </c>
      <c r="C1886" s="378"/>
      <c r="D1886" s="379"/>
      <c r="E1886" s="136"/>
      <c r="F1886" s="137" t="s">
        <v>311</v>
      </c>
      <c r="G1886" s="137" t="s">
        <v>312</v>
      </c>
      <c r="H1886" s="137" t="s">
        <v>313</v>
      </c>
      <c r="I1886" s="138" t="s">
        <v>314</v>
      </c>
      <c r="L1886" s="139"/>
      <c r="M1886" s="139"/>
    </row>
    <row r="1887" spans="2:13" ht="11.25" customHeight="1" x14ac:dyDescent="0.25">
      <c r="B1887" s="362" t="s">
        <v>315</v>
      </c>
      <c r="C1887" s="363"/>
      <c r="D1887" s="363"/>
      <c r="E1887" s="160"/>
      <c r="F1887" s="161" t="s">
        <v>316</v>
      </c>
      <c r="G1887" s="160">
        <v>5000</v>
      </c>
      <c r="H1887" s="142">
        <v>0.9</v>
      </c>
      <c r="I1887" s="143">
        <f>G1887*H1887</f>
        <v>4500</v>
      </c>
    </row>
    <row r="1888" spans="2:13" ht="16.5" customHeight="1" x14ac:dyDescent="0.25">
      <c r="B1888" s="362" t="s">
        <v>355</v>
      </c>
      <c r="C1888" s="363"/>
      <c r="D1888" s="363"/>
      <c r="E1888" s="160"/>
      <c r="F1888" s="161" t="s">
        <v>317</v>
      </c>
      <c r="G1888" s="160">
        <v>90000</v>
      </c>
      <c r="H1888" s="142">
        <f>+H1887</f>
        <v>0.9</v>
      </c>
      <c r="I1888" s="143">
        <f>G1888*H1888</f>
        <v>81000</v>
      </c>
    </row>
    <row r="1889" spans="2:15" ht="10.5" customHeight="1" thickBot="1" x14ac:dyDescent="0.3">
      <c r="B1889" s="371" t="s">
        <v>318</v>
      </c>
      <c r="C1889" s="372"/>
      <c r="D1889" s="372"/>
      <c r="E1889" s="372"/>
      <c r="F1889" s="372"/>
      <c r="G1889" s="372"/>
      <c r="H1889" s="372"/>
      <c r="I1889" s="144">
        <f>SUM(I1887:I1888)</f>
        <v>85500</v>
      </c>
      <c r="N1889" s="150"/>
    </row>
    <row r="1890" spans="2:15" ht="6" customHeight="1" thickBot="1" x14ac:dyDescent="0.3">
      <c r="B1890" s="373"/>
      <c r="C1890" s="373"/>
      <c r="D1890" s="373"/>
      <c r="E1890" s="373"/>
      <c r="F1890" s="373"/>
      <c r="G1890" s="373"/>
      <c r="H1890" s="373"/>
      <c r="I1890" s="373"/>
    </row>
    <row r="1891" spans="2:15" s="145" customFormat="1" x14ac:dyDescent="0.25">
      <c r="B1891" s="380" t="s">
        <v>319</v>
      </c>
      <c r="C1891" s="381"/>
      <c r="D1891" s="381"/>
      <c r="E1891" s="381"/>
      <c r="F1891" s="381"/>
      <c r="G1891" s="381"/>
      <c r="H1891" s="381"/>
      <c r="I1891" s="382"/>
    </row>
    <row r="1892" spans="2:15" s="145" customFormat="1" ht="15.75" customHeight="1" x14ac:dyDescent="0.25">
      <c r="B1892" s="377" t="s">
        <v>310</v>
      </c>
      <c r="C1892" s="378"/>
      <c r="D1892" s="379"/>
      <c r="E1892" s="137"/>
      <c r="F1892" s="137" t="s">
        <v>320</v>
      </c>
      <c r="G1892" s="137" t="s">
        <v>321</v>
      </c>
      <c r="H1892" s="137" t="s">
        <v>322</v>
      </c>
      <c r="I1892" s="138" t="s">
        <v>314</v>
      </c>
    </row>
    <row r="1893" spans="2:15" ht="78.75" customHeight="1" x14ac:dyDescent="0.25">
      <c r="B1893" s="436" t="s">
        <v>586</v>
      </c>
      <c r="C1893" s="437"/>
      <c r="D1893" s="438"/>
      <c r="E1893" s="163"/>
      <c r="F1893" s="161" t="s">
        <v>27</v>
      </c>
      <c r="G1893" s="160">
        <f>4608265-2844588+1+2363017-2281275+6608683-4824123+540000+2212920-4802908+1+837825+2995429-4478609+1+772396-50000+2002240+502778+90142</f>
        <v>4252195</v>
      </c>
      <c r="H1893" s="142">
        <v>1</v>
      </c>
      <c r="I1893" s="143">
        <f>G1893*H1893</f>
        <v>4252195</v>
      </c>
      <c r="M1893">
        <v>4608265</v>
      </c>
    </row>
    <row r="1894" spans="2:15" ht="18" customHeight="1" thickBot="1" x14ac:dyDescent="0.3">
      <c r="B1894" s="371" t="s">
        <v>318</v>
      </c>
      <c r="C1894" s="372"/>
      <c r="D1894" s="372"/>
      <c r="E1894" s="372"/>
      <c r="F1894" s="372"/>
      <c r="G1894" s="372"/>
      <c r="H1894" s="372"/>
      <c r="I1894" s="144">
        <f>SUM(I1893:I1893)</f>
        <v>4252195</v>
      </c>
      <c r="N1894" s="150"/>
    </row>
    <row r="1895" spans="2:15" ht="6" customHeight="1" thickBot="1" x14ac:dyDescent="0.3">
      <c r="B1895" s="373"/>
      <c r="C1895" s="373"/>
      <c r="D1895" s="373"/>
      <c r="E1895" s="373"/>
      <c r="F1895" s="373"/>
      <c r="G1895" s="373"/>
      <c r="H1895" s="373"/>
      <c r="I1895" s="373"/>
    </row>
    <row r="1896" spans="2:15" s="145" customFormat="1" x14ac:dyDescent="0.25">
      <c r="B1896" s="380" t="s">
        <v>323</v>
      </c>
      <c r="C1896" s="381"/>
      <c r="D1896" s="381"/>
      <c r="E1896" s="381"/>
      <c r="F1896" s="381"/>
      <c r="G1896" s="381"/>
      <c r="H1896" s="381"/>
      <c r="I1896" s="382"/>
      <c r="L1896" s="146"/>
      <c r="M1896" s="146"/>
    </row>
    <row r="1897" spans="2:15" s="145" customFormat="1" x14ac:dyDescent="0.25">
      <c r="B1897" s="377" t="s">
        <v>324</v>
      </c>
      <c r="C1897" s="378"/>
      <c r="D1897" s="379"/>
      <c r="E1897" s="137" t="s">
        <v>325</v>
      </c>
      <c r="F1897" s="137" t="s">
        <v>326</v>
      </c>
      <c r="G1897" s="137" t="s">
        <v>130</v>
      </c>
      <c r="H1897" s="137" t="s">
        <v>327</v>
      </c>
      <c r="I1897" s="138" t="s">
        <v>314</v>
      </c>
      <c r="K1897" s="260"/>
      <c r="N1897" s="183"/>
      <c r="O1897" s="148"/>
    </row>
    <row r="1898" spans="2:15" ht="11.25" customHeight="1" x14ac:dyDescent="0.25">
      <c r="B1898" s="362" t="s">
        <v>711</v>
      </c>
      <c r="C1898" s="363"/>
      <c r="D1898" s="363"/>
      <c r="E1898" s="170">
        <v>1</v>
      </c>
      <c r="F1898" s="164"/>
      <c r="G1898" s="161"/>
      <c r="H1898" s="162">
        <v>35000</v>
      </c>
      <c r="I1898" s="143">
        <f>H1898*E1898</f>
        <v>35000</v>
      </c>
      <c r="K1898" s="281"/>
    </row>
    <row r="1899" spans="2:15" ht="10.5" customHeight="1" thickBot="1" x14ac:dyDescent="0.3">
      <c r="B1899" s="371" t="s">
        <v>318</v>
      </c>
      <c r="C1899" s="372"/>
      <c r="D1899" s="372"/>
      <c r="E1899" s="372"/>
      <c r="F1899" s="372"/>
      <c r="G1899" s="372"/>
      <c r="H1899" s="372"/>
      <c r="I1899" s="144">
        <f>SUM(I1898:I1898)</f>
        <v>35000</v>
      </c>
      <c r="K1899" s="281"/>
      <c r="N1899" s="150"/>
    </row>
    <row r="1900" spans="2:15" ht="6" customHeight="1" thickBot="1" x14ac:dyDescent="0.3">
      <c r="B1900" s="373"/>
      <c r="C1900" s="373"/>
      <c r="D1900" s="373"/>
      <c r="E1900" s="373"/>
      <c r="F1900" s="373"/>
      <c r="G1900" s="373"/>
      <c r="H1900" s="373"/>
      <c r="I1900" s="373"/>
    </row>
    <row r="1901" spans="2:15" s="145" customFormat="1" ht="20.100000000000001" customHeight="1" x14ac:dyDescent="0.25">
      <c r="B1901" s="380" t="s">
        <v>328</v>
      </c>
      <c r="C1901" s="381"/>
      <c r="D1901" s="381"/>
      <c r="E1901" s="381"/>
      <c r="F1901" s="381"/>
      <c r="G1901" s="381"/>
      <c r="H1901" s="381"/>
      <c r="I1901" s="382"/>
      <c r="K1901" s="147"/>
      <c r="N1901" s="148"/>
      <c r="O1901" s="149"/>
    </row>
    <row r="1902" spans="2:15" s="145" customFormat="1" ht="20.100000000000001" customHeight="1" x14ac:dyDescent="0.25">
      <c r="B1902" s="377" t="s">
        <v>329</v>
      </c>
      <c r="C1902" s="379"/>
      <c r="D1902" s="137" t="s">
        <v>322</v>
      </c>
      <c r="E1902" s="137" t="s">
        <v>330</v>
      </c>
      <c r="F1902" s="137" t="s">
        <v>331</v>
      </c>
      <c r="G1902" s="137" t="s">
        <v>332</v>
      </c>
      <c r="H1902" s="137" t="s">
        <v>313</v>
      </c>
      <c r="I1902" s="138" t="s">
        <v>314</v>
      </c>
      <c r="K1902" s="147"/>
      <c r="O1902" s="179"/>
    </row>
    <row r="1903" spans="2:15" s="151" customFormat="1" ht="9.75" customHeight="1" x14ac:dyDescent="0.25">
      <c r="B1903" s="367" t="s">
        <v>356</v>
      </c>
      <c r="C1903" s="368"/>
      <c r="D1903" s="180">
        <v>1</v>
      </c>
      <c r="E1903" s="141">
        <v>140000</v>
      </c>
      <c r="F1903" s="141">
        <f>+E1903*0.8</f>
        <v>112000</v>
      </c>
      <c r="G1903" s="178">
        <f>D1903*E1903+F1903*D1903</f>
        <v>252000</v>
      </c>
      <c r="H1903" s="184">
        <v>1.2</v>
      </c>
      <c r="I1903" s="143">
        <f>+G1903/H1903</f>
        <v>210000</v>
      </c>
      <c r="J1903" s="145"/>
      <c r="K1903" s="147"/>
    </row>
    <row r="1904" spans="2:15" s="151" customFormat="1" ht="11.25" customHeight="1" x14ac:dyDescent="0.25">
      <c r="B1904" s="367" t="s">
        <v>374</v>
      </c>
      <c r="C1904" s="368"/>
      <c r="D1904" s="180">
        <v>1</v>
      </c>
      <c r="E1904" s="141">
        <v>80000</v>
      </c>
      <c r="F1904" s="141">
        <f>+E1904*0.8</f>
        <v>64000</v>
      </c>
      <c r="G1904" s="178">
        <f>D1904*E1904+F1904*D1904</f>
        <v>144000</v>
      </c>
      <c r="H1904" s="184">
        <f>+H1903</f>
        <v>1.2</v>
      </c>
      <c r="I1904" s="143">
        <f>+G1904/H1904</f>
        <v>120000</v>
      </c>
      <c r="J1904" s="145"/>
      <c r="K1904" s="147"/>
      <c r="L1904" s="179"/>
      <c r="M1904" s="179"/>
    </row>
    <row r="1905" spans="2:14" s="145" customFormat="1" ht="10.5" customHeight="1" x14ac:dyDescent="0.25">
      <c r="B1905" s="367" t="s">
        <v>333</v>
      </c>
      <c r="C1905" s="368"/>
      <c r="D1905" s="180">
        <v>2</v>
      </c>
      <c r="E1905" s="141">
        <v>55000</v>
      </c>
      <c r="F1905" s="141">
        <f>+E1905*0.8</f>
        <v>44000</v>
      </c>
      <c r="G1905" s="178">
        <f>D1905*E1905+F1905*D1905</f>
        <v>198000</v>
      </c>
      <c r="H1905" s="184">
        <f>+H1904</f>
        <v>1.2</v>
      </c>
      <c r="I1905" s="143">
        <f>+G1905/H1905</f>
        <v>165000</v>
      </c>
      <c r="K1905" s="147"/>
    </row>
    <row r="1906" spans="2:14" ht="10.5" customHeight="1" thickBot="1" x14ac:dyDescent="0.3">
      <c r="B1906" s="371" t="s">
        <v>318</v>
      </c>
      <c r="C1906" s="372"/>
      <c r="D1906" s="372"/>
      <c r="E1906" s="372"/>
      <c r="F1906" s="372"/>
      <c r="G1906" s="372"/>
      <c r="H1906" s="372"/>
      <c r="I1906" s="144">
        <f>SUM(I1903:I1905)</f>
        <v>495000</v>
      </c>
      <c r="K1906" s="281"/>
      <c r="N1906" s="150"/>
    </row>
    <row r="1907" spans="2:14" ht="6" customHeight="1" thickBot="1" x14ac:dyDescent="0.3">
      <c r="B1907" s="373"/>
      <c r="C1907" s="373"/>
      <c r="D1907" s="373"/>
      <c r="E1907" s="373"/>
      <c r="F1907" s="373"/>
      <c r="G1907" s="373"/>
      <c r="H1907" s="373"/>
      <c r="I1907" s="373"/>
    </row>
    <row r="1908" spans="2:14" ht="10.5" customHeight="1" thickBot="1" x14ac:dyDescent="0.3">
      <c r="B1908" s="374" t="s">
        <v>334</v>
      </c>
      <c r="C1908" s="375"/>
      <c r="D1908" s="375"/>
      <c r="E1908" s="375"/>
      <c r="F1908" s="375"/>
      <c r="G1908" s="375"/>
      <c r="H1908" s="376"/>
      <c r="I1908" s="152">
        <f>ROUND(+I1889+I1894+I1899+I1906,0)</f>
        <v>4867695</v>
      </c>
      <c r="J1908" s="281"/>
      <c r="K1908" s="169"/>
      <c r="L1908" s="181"/>
      <c r="M1908" s="181"/>
      <c r="N1908" s="153"/>
    </row>
    <row r="1909" spans="2:14" ht="6" customHeight="1" thickBot="1" x14ac:dyDescent="0.3">
      <c r="B1909" s="373"/>
      <c r="C1909" s="373"/>
      <c r="D1909" s="373"/>
      <c r="E1909" s="373"/>
      <c r="F1909" s="373"/>
      <c r="G1909" s="373"/>
      <c r="H1909" s="373"/>
      <c r="I1909" s="373"/>
    </row>
    <row r="1910" spans="2:14" ht="8.25" customHeight="1" x14ac:dyDescent="0.25">
      <c r="B1910" s="433" t="s">
        <v>335</v>
      </c>
      <c r="C1910" s="417"/>
      <c r="D1910" s="418"/>
      <c r="E1910" s="418"/>
      <c r="F1910" s="419"/>
      <c r="G1910" s="369" t="s">
        <v>336</v>
      </c>
      <c r="H1910" s="370"/>
      <c r="I1910" s="370"/>
    </row>
    <row r="1911" spans="2:14" ht="33.75" customHeight="1" x14ac:dyDescent="0.25">
      <c r="B1911" s="434"/>
      <c r="C1911" s="420"/>
      <c r="D1911" s="421"/>
      <c r="E1911" s="421"/>
      <c r="F1911" s="422"/>
      <c r="G1911" s="430" t="s">
        <v>337</v>
      </c>
      <c r="H1911" s="431"/>
      <c r="I1911" s="431"/>
      <c r="L1911" s="181"/>
      <c r="M1911" s="181"/>
      <c r="N1911" s="179"/>
    </row>
    <row r="1912" spans="2:14" ht="13.5" customHeight="1" x14ac:dyDescent="0.25">
      <c r="B1912" s="434"/>
      <c r="C1912" s="420"/>
      <c r="D1912" s="421"/>
      <c r="E1912" s="421"/>
      <c r="F1912" s="422"/>
      <c r="G1912" s="154" t="s">
        <v>92</v>
      </c>
      <c r="H1912" s="432" t="s">
        <v>93</v>
      </c>
      <c r="I1912" s="432"/>
    </row>
    <row r="1913" spans="2:14" ht="16.5" customHeight="1" x14ac:dyDescent="0.25">
      <c r="B1913" s="435"/>
      <c r="C1913" s="420"/>
      <c r="D1913" s="421"/>
      <c r="E1913" s="421"/>
      <c r="F1913" s="422"/>
      <c r="G1913" s="155" t="s">
        <v>94</v>
      </c>
      <c r="H1913" s="156" t="s">
        <v>95</v>
      </c>
      <c r="I1913" s="157" t="s">
        <v>96</v>
      </c>
    </row>
    <row r="1914" spans="2:14" x14ac:dyDescent="0.25">
      <c r="B1914" s="268" t="s">
        <v>18</v>
      </c>
      <c r="C1914" s="427"/>
      <c r="D1914" s="428"/>
      <c r="E1914" s="428"/>
      <c r="F1914" s="429"/>
      <c r="G1914" s="155" t="s">
        <v>98</v>
      </c>
      <c r="H1914" s="157" t="s">
        <v>99</v>
      </c>
      <c r="I1914" s="157" t="s">
        <v>100</v>
      </c>
    </row>
    <row r="1915" spans="2:14" x14ac:dyDescent="0.25">
      <c r="B1915" s="269" t="s">
        <v>97</v>
      </c>
      <c r="C1915" s="427"/>
      <c r="D1915" s="428"/>
      <c r="E1915" s="428"/>
      <c r="F1915" s="429"/>
      <c r="G1915" s="154" t="s">
        <v>338</v>
      </c>
      <c r="H1915" s="426"/>
      <c r="I1915" s="426"/>
    </row>
    <row r="1916" spans="2:14" ht="15.75" thickBot="1" x14ac:dyDescent="0.3">
      <c r="B1916" s="270" t="s">
        <v>101</v>
      </c>
      <c r="C1916" s="423"/>
      <c r="D1916" s="424"/>
      <c r="E1916" s="424"/>
      <c r="F1916" s="425"/>
      <c r="G1916" s="154" t="s">
        <v>102</v>
      </c>
      <c r="H1916" s="426" t="s">
        <v>103</v>
      </c>
      <c r="I1916" s="426"/>
    </row>
    <row r="1917" spans="2:14" ht="45" customHeight="1" thickBot="1" x14ac:dyDescent="0.3">
      <c r="B1917" s="401"/>
      <c r="C1917" s="402"/>
      <c r="D1917" s="402"/>
      <c r="E1917" s="402"/>
      <c r="F1917" s="403" t="s">
        <v>0</v>
      </c>
      <c r="G1917" s="403"/>
      <c r="H1917" s="403"/>
      <c r="I1917" s="404"/>
    </row>
    <row r="1918" spans="2:14" ht="6" customHeight="1" thickBot="1" x14ac:dyDescent="0.3">
      <c r="B1918" s="373"/>
      <c r="C1918" s="373"/>
      <c r="D1918" s="373"/>
      <c r="E1918" s="373"/>
      <c r="F1918" s="373"/>
      <c r="G1918" s="373"/>
      <c r="H1918" s="373"/>
      <c r="I1918" s="373"/>
    </row>
    <row r="1919" spans="2:14" ht="10.5" customHeight="1" x14ac:dyDescent="0.25">
      <c r="B1919" s="405" t="s">
        <v>294</v>
      </c>
      <c r="C1919" s="406"/>
      <c r="D1919" s="407" t="s">
        <v>295</v>
      </c>
      <c r="E1919" s="409" t="s">
        <v>296</v>
      </c>
      <c r="F1919" s="410"/>
      <c r="G1919" s="410"/>
      <c r="H1919" s="410"/>
      <c r="I1919" s="411"/>
    </row>
    <row r="1920" spans="2:14" ht="9" customHeight="1" thickBot="1" x14ac:dyDescent="0.3">
      <c r="B1920" s="415"/>
      <c r="C1920" s="416"/>
      <c r="D1920" s="408"/>
      <c r="E1920" s="412"/>
      <c r="F1920" s="413"/>
      <c r="G1920" s="413"/>
      <c r="H1920" s="413"/>
      <c r="I1920" s="414"/>
    </row>
    <row r="1921" spans="2:14" ht="6" customHeight="1" thickBot="1" x14ac:dyDescent="0.3">
      <c r="B1921" s="373"/>
      <c r="C1921" s="373"/>
      <c r="D1921" s="373"/>
      <c r="E1921" s="373"/>
      <c r="F1921" s="373"/>
      <c r="G1921" s="373"/>
      <c r="H1921" s="373"/>
      <c r="I1921" s="373"/>
    </row>
    <row r="1922" spans="2:14" ht="17.25" customHeight="1" thickBot="1" x14ac:dyDescent="0.3">
      <c r="B1922" s="390" t="s">
        <v>297</v>
      </c>
      <c r="C1922" s="391"/>
      <c r="D1922" s="392"/>
      <c r="E1922" s="393"/>
      <c r="F1922" s="393"/>
      <c r="G1922" s="394"/>
      <c r="H1922" s="127" t="s">
        <v>298</v>
      </c>
      <c r="I1922" s="128"/>
    </row>
    <row r="1923" spans="2:14" ht="6" customHeight="1" thickBot="1" x14ac:dyDescent="0.3">
      <c r="B1923" s="373"/>
      <c r="C1923" s="373"/>
      <c r="D1923" s="373"/>
      <c r="E1923" s="373"/>
      <c r="F1923" s="373"/>
      <c r="G1923" s="373"/>
      <c r="H1923" s="373"/>
      <c r="I1923" s="373"/>
    </row>
    <row r="1924" spans="2:14" ht="19.5" customHeight="1" x14ac:dyDescent="0.25">
      <c r="B1924" s="261" t="s">
        <v>299</v>
      </c>
      <c r="C1924" s="129" t="s">
        <v>300</v>
      </c>
      <c r="D1924" s="130" t="s">
        <v>301</v>
      </c>
      <c r="E1924" s="130" t="s">
        <v>302</v>
      </c>
      <c r="F1924" s="398" t="s">
        <v>303</v>
      </c>
      <c r="G1924" s="399"/>
      <c r="H1924" s="400"/>
      <c r="I1924" s="131" t="s">
        <v>304</v>
      </c>
    </row>
    <row r="1925" spans="2:14" ht="11.25" customHeight="1" x14ac:dyDescent="0.25">
      <c r="B1925" s="262"/>
      <c r="C1925" s="132"/>
      <c r="D1925" s="132" t="s">
        <v>305</v>
      </c>
      <c r="E1925" s="132" t="s">
        <v>306</v>
      </c>
      <c r="F1925" s="395" t="s">
        <v>339</v>
      </c>
      <c r="G1925" s="396"/>
      <c r="H1925" s="397"/>
      <c r="I1925" s="133"/>
    </row>
    <row r="1926" spans="2:14" ht="28.5" customHeight="1" x14ac:dyDescent="0.25">
      <c r="B1926" s="263" t="s">
        <v>307</v>
      </c>
      <c r="C1926" s="383" t="s">
        <v>414</v>
      </c>
      <c r="D1926" s="384"/>
      <c r="E1926" s="384"/>
      <c r="F1926" s="384"/>
      <c r="G1926" s="384"/>
      <c r="H1926" s="384"/>
      <c r="I1926" s="385"/>
    </row>
    <row r="1927" spans="2:14" ht="10.5" customHeight="1" x14ac:dyDescent="0.25">
      <c r="B1927" s="264" t="s">
        <v>129</v>
      </c>
      <c r="C1927" s="388" t="s">
        <v>308</v>
      </c>
      <c r="D1927" s="389"/>
      <c r="E1927" s="389"/>
      <c r="F1927" s="389"/>
      <c r="G1927" s="389"/>
      <c r="H1927" s="389"/>
      <c r="I1927" s="134" t="s">
        <v>130</v>
      </c>
    </row>
    <row r="1928" spans="2:14" ht="50.25" customHeight="1" thickBot="1" x14ac:dyDescent="0.3">
      <c r="B1928" s="265">
        <v>7.1299999999999972</v>
      </c>
      <c r="C1928" s="386" t="s">
        <v>587</v>
      </c>
      <c r="D1928" s="387"/>
      <c r="E1928" s="387"/>
      <c r="F1928" s="387"/>
      <c r="G1928" s="387"/>
      <c r="H1928" s="387"/>
      <c r="I1928" s="135" t="s">
        <v>27</v>
      </c>
    </row>
    <row r="1929" spans="2:14" ht="6" customHeight="1" thickBot="1" x14ac:dyDescent="0.3">
      <c r="B1929" s="373"/>
      <c r="C1929" s="373"/>
      <c r="D1929" s="373"/>
      <c r="E1929" s="373"/>
      <c r="F1929" s="373"/>
      <c r="G1929" s="373"/>
      <c r="H1929" s="373"/>
      <c r="I1929" s="373"/>
    </row>
    <row r="1930" spans="2:14" x14ac:dyDescent="0.25">
      <c r="B1930" s="380" t="s">
        <v>309</v>
      </c>
      <c r="C1930" s="381"/>
      <c r="D1930" s="381"/>
      <c r="E1930" s="381"/>
      <c r="F1930" s="381"/>
      <c r="G1930" s="381"/>
      <c r="H1930" s="381"/>
      <c r="I1930" s="382"/>
      <c r="K1930" s="182"/>
    </row>
    <row r="1931" spans="2:14" ht="11.25" customHeight="1" x14ac:dyDescent="0.25">
      <c r="B1931" s="377" t="s">
        <v>310</v>
      </c>
      <c r="C1931" s="378"/>
      <c r="D1931" s="379"/>
      <c r="E1931" s="136"/>
      <c r="F1931" s="137" t="s">
        <v>311</v>
      </c>
      <c r="G1931" s="137" t="s">
        <v>312</v>
      </c>
      <c r="H1931" s="137" t="s">
        <v>313</v>
      </c>
      <c r="I1931" s="138" t="s">
        <v>314</v>
      </c>
      <c r="L1931" s="139"/>
      <c r="M1931" s="139"/>
    </row>
    <row r="1932" spans="2:14" ht="11.25" customHeight="1" x14ac:dyDescent="0.25">
      <c r="B1932" s="362" t="s">
        <v>315</v>
      </c>
      <c r="C1932" s="363"/>
      <c r="D1932" s="363"/>
      <c r="E1932" s="160"/>
      <c r="F1932" s="161" t="s">
        <v>316</v>
      </c>
      <c r="G1932" s="160">
        <v>5000</v>
      </c>
      <c r="H1932" s="142">
        <v>1.5</v>
      </c>
      <c r="I1932" s="143">
        <f>G1932*H1932</f>
        <v>7500</v>
      </c>
    </row>
    <row r="1933" spans="2:14" ht="16.5" customHeight="1" x14ac:dyDescent="0.25">
      <c r="B1933" s="362" t="s">
        <v>355</v>
      </c>
      <c r="C1933" s="363"/>
      <c r="D1933" s="363"/>
      <c r="E1933" s="160"/>
      <c r="F1933" s="161" t="s">
        <v>317</v>
      </c>
      <c r="G1933" s="160">
        <v>90000</v>
      </c>
      <c r="H1933" s="142">
        <f>+H1932</f>
        <v>1.5</v>
      </c>
      <c r="I1933" s="143">
        <f>G1933*H1933</f>
        <v>135000</v>
      </c>
    </row>
    <row r="1934" spans="2:14" ht="10.5" customHeight="1" thickBot="1" x14ac:dyDescent="0.3">
      <c r="B1934" s="371" t="s">
        <v>318</v>
      </c>
      <c r="C1934" s="372"/>
      <c r="D1934" s="372"/>
      <c r="E1934" s="372"/>
      <c r="F1934" s="372"/>
      <c r="G1934" s="372"/>
      <c r="H1934" s="372"/>
      <c r="I1934" s="144">
        <f>SUM(I1932:I1933)</f>
        <v>142500</v>
      </c>
      <c r="N1934" s="150"/>
    </row>
    <row r="1935" spans="2:14" ht="6" customHeight="1" thickBot="1" x14ac:dyDescent="0.3">
      <c r="B1935" s="373"/>
      <c r="C1935" s="373"/>
      <c r="D1935" s="373"/>
      <c r="E1935" s="373"/>
      <c r="F1935" s="373"/>
      <c r="G1935" s="373"/>
      <c r="H1935" s="373"/>
      <c r="I1935" s="373"/>
    </row>
    <row r="1936" spans="2:14" s="145" customFormat="1" x14ac:dyDescent="0.25">
      <c r="B1936" s="380" t="s">
        <v>319</v>
      </c>
      <c r="C1936" s="381"/>
      <c r="D1936" s="381"/>
      <c r="E1936" s="381"/>
      <c r="F1936" s="381"/>
      <c r="G1936" s="381"/>
      <c r="H1936" s="381"/>
      <c r="I1936" s="382"/>
    </row>
    <row r="1937" spans="2:15" s="145" customFormat="1" ht="15.75" customHeight="1" x14ac:dyDescent="0.25">
      <c r="B1937" s="377" t="s">
        <v>310</v>
      </c>
      <c r="C1937" s="378"/>
      <c r="D1937" s="379"/>
      <c r="E1937" s="137"/>
      <c r="F1937" s="137" t="s">
        <v>320</v>
      </c>
      <c r="G1937" s="137" t="s">
        <v>321</v>
      </c>
      <c r="H1937" s="137" t="s">
        <v>322</v>
      </c>
      <c r="I1937" s="138" t="s">
        <v>314</v>
      </c>
    </row>
    <row r="1938" spans="2:15" ht="78.75" customHeight="1" x14ac:dyDescent="0.25">
      <c r="B1938" s="436" t="s">
        <v>587</v>
      </c>
      <c r="C1938" s="437"/>
      <c r="D1938" s="438"/>
      <c r="E1938" s="163"/>
      <c r="F1938" s="161" t="s">
        <v>27</v>
      </c>
      <c r="G1938" s="160">
        <f>4608265-2844588+1+2363017-2281275+6608683-4824123+540000+2212920-4802908+1+837825+2995429-4478609+1+772396-50000+2002240+502778+90142+1842992</f>
        <v>6095187</v>
      </c>
      <c r="H1938" s="142">
        <v>1</v>
      </c>
      <c r="I1938" s="143">
        <f>G1938*H1938</f>
        <v>6095187</v>
      </c>
      <c r="M1938">
        <v>4608265</v>
      </c>
    </row>
    <row r="1939" spans="2:15" ht="18" customHeight="1" thickBot="1" x14ac:dyDescent="0.3">
      <c r="B1939" s="371" t="s">
        <v>318</v>
      </c>
      <c r="C1939" s="372"/>
      <c r="D1939" s="372"/>
      <c r="E1939" s="372"/>
      <c r="F1939" s="372"/>
      <c r="G1939" s="372"/>
      <c r="H1939" s="372"/>
      <c r="I1939" s="144">
        <f>SUM(I1938:I1938)</f>
        <v>6095187</v>
      </c>
      <c r="N1939" s="150"/>
    </row>
    <row r="1940" spans="2:15" ht="6" customHeight="1" thickBot="1" x14ac:dyDescent="0.3">
      <c r="B1940" s="373"/>
      <c r="C1940" s="373"/>
      <c r="D1940" s="373"/>
      <c r="E1940" s="373"/>
      <c r="F1940" s="373"/>
      <c r="G1940" s="373"/>
      <c r="H1940" s="373"/>
      <c r="I1940" s="373"/>
    </row>
    <row r="1941" spans="2:15" s="145" customFormat="1" x14ac:dyDescent="0.25">
      <c r="B1941" s="380" t="s">
        <v>323</v>
      </c>
      <c r="C1941" s="381"/>
      <c r="D1941" s="381"/>
      <c r="E1941" s="381"/>
      <c r="F1941" s="381"/>
      <c r="G1941" s="381"/>
      <c r="H1941" s="381"/>
      <c r="I1941" s="382"/>
      <c r="L1941" s="146"/>
      <c r="M1941" s="146"/>
    </row>
    <row r="1942" spans="2:15" s="145" customFormat="1" x14ac:dyDescent="0.25">
      <c r="B1942" s="377" t="s">
        <v>324</v>
      </c>
      <c r="C1942" s="378"/>
      <c r="D1942" s="379"/>
      <c r="E1942" s="137" t="s">
        <v>325</v>
      </c>
      <c r="F1942" s="137" t="s">
        <v>326</v>
      </c>
      <c r="G1942" s="137" t="s">
        <v>130</v>
      </c>
      <c r="H1942" s="137" t="s">
        <v>327</v>
      </c>
      <c r="I1942" s="138" t="s">
        <v>314</v>
      </c>
      <c r="K1942" s="260"/>
      <c r="N1942" s="183"/>
      <c r="O1942" s="148"/>
    </row>
    <row r="1943" spans="2:15" ht="11.25" customHeight="1" x14ac:dyDescent="0.25">
      <c r="B1943" s="362" t="s">
        <v>711</v>
      </c>
      <c r="C1943" s="363"/>
      <c r="D1943" s="363"/>
      <c r="E1943" s="170">
        <v>1</v>
      </c>
      <c r="F1943" s="164"/>
      <c r="G1943" s="161"/>
      <c r="H1943" s="162">
        <v>35000</v>
      </c>
      <c r="I1943" s="143">
        <f>H1943*E1943</f>
        <v>35000</v>
      </c>
      <c r="K1943" s="281"/>
    </row>
    <row r="1944" spans="2:15" ht="10.5" customHeight="1" thickBot="1" x14ac:dyDescent="0.3">
      <c r="B1944" s="371" t="s">
        <v>318</v>
      </c>
      <c r="C1944" s="372"/>
      <c r="D1944" s="372"/>
      <c r="E1944" s="372"/>
      <c r="F1944" s="372"/>
      <c r="G1944" s="372"/>
      <c r="H1944" s="372"/>
      <c r="I1944" s="144">
        <f>SUM(I1943:I1943)</f>
        <v>35000</v>
      </c>
      <c r="K1944" s="281"/>
      <c r="N1944" s="150"/>
    </row>
    <row r="1945" spans="2:15" ht="6" customHeight="1" thickBot="1" x14ac:dyDescent="0.3">
      <c r="B1945" s="373"/>
      <c r="C1945" s="373"/>
      <c r="D1945" s="373"/>
      <c r="E1945" s="373"/>
      <c r="F1945" s="373"/>
      <c r="G1945" s="373"/>
      <c r="H1945" s="373"/>
      <c r="I1945" s="373"/>
    </row>
    <row r="1946" spans="2:15" s="145" customFormat="1" ht="20.100000000000001" customHeight="1" x14ac:dyDescent="0.25">
      <c r="B1946" s="380" t="s">
        <v>328</v>
      </c>
      <c r="C1946" s="381"/>
      <c r="D1946" s="381"/>
      <c r="E1946" s="381"/>
      <c r="F1946" s="381"/>
      <c r="G1946" s="381"/>
      <c r="H1946" s="381"/>
      <c r="I1946" s="382"/>
      <c r="K1946" s="147"/>
      <c r="N1946" s="148"/>
      <c r="O1946" s="149"/>
    </row>
    <row r="1947" spans="2:15" s="145" customFormat="1" ht="20.100000000000001" customHeight="1" x14ac:dyDescent="0.25">
      <c r="B1947" s="377" t="s">
        <v>329</v>
      </c>
      <c r="C1947" s="379"/>
      <c r="D1947" s="137" t="s">
        <v>322</v>
      </c>
      <c r="E1947" s="137" t="s">
        <v>330</v>
      </c>
      <c r="F1947" s="137" t="s">
        <v>331</v>
      </c>
      <c r="G1947" s="137" t="s">
        <v>332</v>
      </c>
      <c r="H1947" s="137" t="s">
        <v>313</v>
      </c>
      <c r="I1947" s="138" t="s">
        <v>314</v>
      </c>
      <c r="K1947" s="147"/>
      <c r="O1947" s="179"/>
    </row>
    <row r="1948" spans="2:15" s="151" customFormat="1" ht="9.75" customHeight="1" x14ac:dyDescent="0.25">
      <c r="B1948" s="367" t="s">
        <v>356</v>
      </c>
      <c r="C1948" s="368"/>
      <c r="D1948" s="180">
        <v>1</v>
      </c>
      <c r="E1948" s="141">
        <v>140000</v>
      </c>
      <c r="F1948" s="141">
        <f>+E1948*0.8</f>
        <v>112000</v>
      </c>
      <c r="G1948" s="178">
        <f>D1948*E1948+F1948*D1948</f>
        <v>252000</v>
      </c>
      <c r="H1948" s="184">
        <v>0.7</v>
      </c>
      <c r="I1948" s="143">
        <f>+G1948/H1948</f>
        <v>360000</v>
      </c>
      <c r="J1948" s="145"/>
      <c r="K1948" s="147"/>
    </row>
    <row r="1949" spans="2:15" s="151" customFormat="1" ht="11.25" customHeight="1" x14ac:dyDescent="0.25">
      <c r="B1949" s="367" t="s">
        <v>374</v>
      </c>
      <c r="C1949" s="368"/>
      <c r="D1949" s="180">
        <v>1</v>
      </c>
      <c r="E1949" s="141">
        <v>80000</v>
      </c>
      <c r="F1949" s="141">
        <f>+E1949*0.8</f>
        <v>64000</v>
      </c>
      <c r="G1949" s="178">
        <f>D1949*E1949+F1949*D1949</f>
        <v>144000</v>
      </c>
      <c r="H1949" s="184">
        <f>+H1948</f>
        <v>0.7</v>
      </c>
      <c r="I1949" s="143">
        <f>+G1949/H1949</f>
        <v>205714.28571428574</v>
      </c>
      <c r="J1949" s="145"/>
      <c r="K1949" s="147"/>
      <c r="L1949" s="179"/>
      <c r="M1949" s="179"/>
    </row>
    <row r="1950" spans="2:15" s="145" customFormat="1" ht="10.5" customHeight="1" x14ac:dyDescent="0.25">
      <c r="B1950" s="367" t="s">
        <v>333</v>
      </c>
      <c r="C1950" s="368"/>
      <c r="D1950" s="180">
        <v>2</v>
      </c>
      <c r="E1950" s="141">
        <v>55000</v>
      </c>
      <c r="F1950" s="141">
        <f>+E1950*0.8</f>
        <v>44000</v>
      </c>
      <c r="G1950" s="178">
        <f>D1950*E1950+F1950*D1950</f>
        <v>198000</v>
      </c>
      <c r="H1950" s="184">
        <f>+H1949</f>
        <v>0.7</v>
      </c>
      <c r="I1950" s="143">
        <f>+G1950/H1950</f>
        <v>282857.1428571429</v>
      </c>
      <c r="K1950" s="147"/>
    </row>
    <row r="1951" spans="2:15" ht="10.5" customHeight="1" thickBot="1" x14ac:dyDescent="0.3">
      <c r="B1951" s="371" t="s">
        <v>318</v>
      </c>
      <c r="C1951" s="372"/>
      <c r="D1951" s="372"/>
      <c r="E1951" s="372"/>
      <c r="F1951" s="372"/>
      <c r="G1951" s="372"/>
      <c r="H1951" s="372"/>
      <c r="I1951" s="144">
        <f>SUM(I1948:I1950)</f>
        <v>848571.42857142864</v>
      </c>
      <c r="K1951" s="281"/>
      <c r="N1951" s="150"/>
    </row>
    <row r="1952" spans="2:15" ht="6" customHeight="1" thickBot="1" x14ac:dyDescent="0.3">
      <c r="B1952" s="373"/>
      <c r="C1952" s="373"/>
      <c r="D1952" s="373"/>
      <c r="E1952" s="373"/>
      <c r="F1952" s="373"/>
      <c r="G1952" s="373"/>
      <c r="H1952" s="373"/>
      <c r="I1952" s="373"/>
    </row>
    <row r="1953" spans="2:14" ht="10.5" customHeight="1" thickBot="1" x14ac:dyDescent="0.3">
      <c r="B1953" s="374" t="s">
        <v>334</v>
      </c>
      <c r="C1953" s="375"/>
      <c r="D1953" s="375"/>
      <c r="E1953" s="375"/>
      <c r="F1953" s="375"/>
      <c r="G1953" s="375"/>
      <c r="H1953" s="376"/>
      <c r="I1953" s="152">
        <f>ROUND(+I1934+I1939+I1944+I1951,0)</f>
        <v>7121258</v>
      </c>
      <c r="J1953" s="281"/>
      <c r="K1953" s="169"/>
      <c r="L1953" s="181"/>
      <c r="M1953" s="181"/>
      <c r="N1953" s="153"/>
    </row>
    <row r="1954" spans="2:14" ht="6" customHeight="1" thickBot="1" x14ac:dyDescent="0.3">
      <c r="B1954" s="373"/>
      <c r="C1954" s="373"/>
      <c r="D1954" s="373"/>
      <c r="E1954" s="373"/>
      <c r="F1954" s="373"/>
      <c r="G1954" s="373"/>
      <c r="H1954" s="373"/>
      <c r="I1954" s="373"/>
    </row>
    <row r="1955" spans="2:14" ht="8.25" customHeight="1" x14ac:dyDescent="0.25">
      <c r="B1955" s="433" t="s">
        <v>335</v>
      </c>
      <c r="C1955" s="417"/>
      <c r="D1955" s="418"/>
      <c r="E1955" s="418"/>
      <c r="F1955" s="419"/>
      <c r="G1955" s="369" t="s">
        <v>336</v>
      </c>
      <c r="H1955" s="370"/>
      <c r="I1955" s="370"/>
    </row>
    <row r="1956" spans="2:14" ht="33.75" customHeight="1" x14ac:dyDescent="0.25">
      <c r="B1956" s="434"/>
      <c r="C1956" s="420"/>
      <c r="D1956" s="421"/>
      <c r="E1956" s="421"/>
      <c r="F1956" s="422"/>
      <c r="G1956" s="430" t="s">
        <v>337</v>
      </c>
      <c r="H1956" s="431"/>
      <c r="I1956" s="431"/>
      <c r="L1956" s="181"/>
      <c r="M1956" s="181"/>
      <c r="N1956" s="179"/>
    </row>
    <row r="1957" spans="2:14" ht="13.5" customHeight="1" x14ac:dyDescent="0.25">
      <c r="B1957" s="434"/>
      <c r="C1957" s="420"/>
      <c r="D1957" s="421"/>
      <c r="E1957" s="421"/>
      <c r="F1957" s="422"/>
      <c r="G1957" s="154" t="s">
        <v>92</v>
      </c>
      <c r="H1957" s="432" t="s">
        <v>93</v>
      </c>
      <c r="I1957" s="432"/>
    </row>
    <row r="1958" spans="2:14" ht="16.5" customHeight="1" x14ac:dyDescent="0.25">
      <c r="B1958" s="435"/>
      <c r="C1958" s="420"/>
      <c r="D1958" s="421"/>
      <c r="E1958" s="421"/>
      <c r="F1958" s="422"/>
      <c r="G1958" s="155" t="s">
        <v>94</v>
      </c>
      <c r="H1958" s="156" t="s">
        <v>95</v>
      </c>
      <c r="I1958" s="157" t="s">
        <v>96</v>
      </c>
    </row>
    <row r="1959" spans="2:14" x14ac:dyDescent="0.25">
      <c r="B1959" s="268" t="s">
        <v>18</v>
      </c>
      <c r="C1959" s="427"/>
      <c r="D1959" s="428"/>
      <c r="E1959" s="428"/>
      <c r="F1959" s="429"/>
      <c r="G1959" s="155" t="s">
        <v>98</v>
      </c>
      <c r="H1959" s="157" t="s">
        <v>99</v>
      </c>
      <c r="I1959" s="157" t="s">
        <v>100</v>
      </c>
    </row>
    <row r="1960" spans="2:14" x14ac:dyDescent="0.25">
      <c r="B1960" s="269" t="s">
        <v>97</v>
      </c>
      <c r="C1960" s="427"/>
      <c r="D1960" s="428"/>
      <c r="E1960" s="428"/>
      <c r="F1960" s="429"/>
      <c r="G1960" s="154" t="s">
        <v>338</v>
      </c>
      <c r="H1960" s="426"/>
      <c r="I1960" s="426"/>
    </row>
    <row r="1961" spans="2:14" ht="15.75" thickBot="1" x14ac:dyDescent="0.3">
      <c r="B1961" s="270" t="s">
        <v>101</v>
      </c>
      <c r="C1961" s="423"/>
      <c r="D1961" s="424"/>
      <c r="E1961" s="424"/>
      <c r="F1961" s="425"/>
      <c r="G1961" s="154" t="s">
        <v>102</v>
      </c>
      <c r="H1961" s="426" t="s">
        <v>103</v>
      </c>
      <c r="I1961" s="426"/>
    </row>
    <row r="1962" spans="2:14" ht="45" customHeight="1" thickBot="1" x14ac:dyDescent="0.3">
      <c r="B1962" s="401"/>
      <c r="C1962" s="402"/>
      <c r="D1962" s="402"/>
      <c r="E1962" s="402"/>
      <c r="F1962" s="403" t="s">
        <v>0</v>
      </c>
      <c r="G1962" s="403"/>
      <c r="H1962" s="403"/>
      <c r="I1962" s="404"/>
    </row>
    <row r="1963" spans="2:14" ht="6" customHeight="1" thickBot="1" x14ac:dyDescent="0.3">
      <c r="B1963" s="373"/>
      <c r="C1963" s="373"/>
      <c r="D1963" s="373"/>
      <c r="E1963" s="373"/>
      <c r="F1963" s="373"/>
      <c r="G1963" s="373"/>
      <c r="H1963" s="373"/>
      <c r="I1963" s="373"/>
    </row>
    <row r="1964" spans="2:14" ht="10.5" customHeight="1" x14ac:dyDescent="0.25">
      <c r="B1964" s="405" t="s">
        <v>294</v>
      </c>
      <c r="C1964" s="406"/>
      <c r="D1964" s="407" t="s">
        <v>295</v>
      </c>
      <c r="E1964" s="409" t="s">
        <v>296</v>
      </c>
      <c r="F1964" s="410"/>
      <c r="G1964" s="410"/>
      <c r="H1964" s="410"/>
      <c r="I1964" s="411"/>
    </row>
    <row r="1965" spans="2:14" ht="9" customHeight="1" thickBot="1" x14ac:dyDescent="0.3">
      <c r="B1965" s="415"/>
      <c r="C1965" s="416"/>
      <c r="D1965" s="408"/>
      <c r="E1965" s="412"/>
      <c r="F1965" s="413"/>
      <c r="G1965" s="413"/>
      <c r="H1965" s="413"/>
      <c r="I1965" s="414"/>
    </row>
    <row r="1966" spans="2:14" ht="6" customHeight="1" thickBot="1" x14ac:dyDescent="0.3">
      <c r="B1966" s="373"/>
      <c r="C1966" s="373"/>
      <c r="D1966" s="373"/>
      <c r="E1966" s="373"/>
      <c r="F1966" s="373"/>
      <c r="G1966" s="373"/>
      <c r="H1966" s="373"/>
      <c r="I1966" s="373"/>
    </row>
    <row r="1967" spans="2:14" ht="17.25" customHeight="1" thickBot="1" x14ac:dyDescent="0.3">
      <c r="B1967" s="390" t="s">
        <v>297</v>
      </c>
      <c r="C1967" s="391"/>
      <c r="D1967" s="392"/>
      <c r="E1967" s="393"/>
      <c r="F1967" s="393"/>
      <c r="G1967" s="394"/>
      <c r="H1967" s="127" t="s">
        <v>298</v>
      </c>
      <c r="I1967" s="128"/>
    </row>
    <row r="1968" spans="2:14" ht="6" customHeight="1" thickBot="1" x14ac:dyDescent="0.3">
      <c r="B1968" s="373"/>
      <c r="C1968" s="373"/>
      <c r="D1968" s="373"/>
      <c r="E1968" s="373"/>
      <c r="F1968" s="373"/>
      <c r="G1968" s="373"/>
      <c r="H1968" s="373"/>
      <c r="I1968" s="373"/>
    </row>
    <row r="1969" spans="2:14" ht="19.5" customHeight="1" x14ac:dyDescent="0.25">
      <c r="B1969" s="261" t="s">
        <v>299</v>
      </c>
      <c r="C1969" s="129" t="s">
        <v>300</v>
      </c>
      <c r="D1969" s="130" t="s">
        <v>301</v>
      </c>
      <c r="E1969" s="130" t="s">
        <v>302</v>
      </c>
      <c r="F1969" s="398" t="s">
        <v>303</v>
      </c>
      <c r="G1969" s="399"/>
      <c r="H1969" s="400"/>
      <c r="I1969" s="131" t="s">
        <v>304</v>
      </c>
    </row>
    <row r="1970" spans="2:14" ht="11.25" customHeight="1" x14ac:dyDescent="0.25">
      <c r="B1970" s="262"/>
      <c r="C1970" s="132"/>
      <c r="D1970" s="132" t="s">
        <v>305</v>
      </c>
      <c r="E1970" s="132" t="s">
        <v>306</v>
      </c>
      <c r="F1970" s="395" t="s">
        <v>339</v>
      </c>
      <c r="G1970" s="396"/>
      <c r="H1970" s="397"/>
      <c r="I1970" s="133"/>
    </row>
    <row r="1971" spans="2:14" ht="28.5" customHeight="1" x14ac:dyDescent="0.25">
      <c r="B1971" s="263" t="s">
        <v>307</v>
      </c>
      <c r="C1971" s="383" t="s">
        <v>414</v>
      </c>
      <c r="D1971" s="384"/>
      <c r="E1971" s="384"/>
      <c r="F1971" s="384"/>
      <c r="G1971" s="384"/>
      <c r="H1971" s="384"/>
      <c r="I1971" s="385"/>
    </row>
    <row r="1972" spans="2:14" ht="10.5" customHeight="1" x14ac:dyDescent="0.25">
      <c r="B1972" s="264" t="s">
        <v>129</v>
      </c>
      <c r="C1972" s="388" t="s">
        <v>308</v>
      </c>
      <c r="D1972" s="389"/>
      <c r="E1972" s="389"/>
      <c r="F1972" s="389"/>
      <c r="G1972" s="389"/>
      <c r="H1972" s="389"/>
      <c r="I1972" s="134" t="s">
        <v>130</v>
      </c>
    </row>
    <row r="1973" spans="2:14" ht="50.25" customHeight="1" thickBot="1" x14ac:dyDescent="0.3">
      <c r="B1973" s="265">
        <v>7.139999999999997</v>
      </c>
      <c r="C1973" s="386" t="s">
        <v>588</v>
      </c>
      <c r="D1973" s="387"/>
      <c r="E1973" s="387"/>
      <c r="F1973" s="387"/>
      <c r="G1973" s="387"/>
      <c r="H1973" s="387"/>
      <c r="I1973" s="135" t="s">
        <v>27</v>
      </c>
    </row>
    <row r="1974" spans="2:14" ht="6" customHeight="1" thickBot="1" x14ac:dyDescent="0.3">
      <c r="B1974" s="373"/>
      <c r="C1974" s="373"/>
      <c r="D1974" s="373"/>
      <c r="E1974" s="373"/>
      <c r="F1974" s="373"/>
      <c r="G1974" s="373"/>
      <c r="H1974" s="373"/>
      <c r="I1974" s="373"/>
    </row>
    <row r="1975" spans="2:14" x14ac:dyDescent="0.25">
      <c r="B1975" s="380" t="s">
        <v>309</v>
      </c>
      <c r="C1975" s="381"/>
      <c r="D1975" s="381"/>
      <c r="E1975" s="381"/>
      <c r="F1975" s="381"/>
      <c r="G1975" s="381"/>
      <c r="H1975" s="381"/>
      <c r="I1975" s="382"/>
      <c r="K1975" s="182"/>
    </row>
    <row r="1976" spans="2:14" ht="11.25" customHeight="1" x14ac:dyDescent="0.25">
      <c r="B1976" s="377" t="s">
        <v>310</v>
      </c>
      <c r="C1976" s="378"/>
      <c r="D1976" s="379"/>
      <c r="E1976" s="136"/>
      <c r="F1976" s="137" t="s">
        <v>311</v>
      </c>
      <c r="G1976" s="137" t="s">
        <v>312</v>
      </c>
      <c r="H1976" s="137" t="s">
        <v>313</v>
      </c>
      <c r="I1976" s="138" t="s">
        <v>314</v>
      </c>
      <c r="L1976" s="139"/>
      <c r="M1976" s="139"/>
    </row>
    <row r="1977" spans="2:14" ht="11.25" customHeight="1" x14ac:dyDescent="0.25">
      <c r="B1977" s="362" t="s">
        <v>315</v>
      </c>
      <c r="C1977" s="363"/>
      <c r="D1977" s="363"/>
      <c r="E1977" s="160"/>
      <c r="F1977" s="161" t="s">
        <v>316</v>
      </c>
      <c r="G1977" s="160">
        <v>5000</v>
      </c>
      <c r="H1977" s="142">
        <v>1</v>
      </c>
      <c r="I1977" s="143">
        <f>G1977*H1977</f>
        <v>5000</v>
      </c>
    </row>
    <row r="1978" spans="2:14" ht="16.5" customHeight="1" x14ac:dyDescent="0.25">
      <c r="B1978" s="362" t="s">
        <v>355</v>
      </c>
      <c r="C1978" s="363"/>
      <c r="D1978" s="363"/>
      <c r="E1978" s="160"/>
      <c r="F1978" s="161" t="s">
        <v>317</v>
      </c>
      <c r="G1978" s="160">
        <v>90000</v>
      </c>
      <c r="H1978" s="142">
        <f>+H1977</f>
        <v>1</v>
      </c>
      <c r="I1978" s="143">
        <f>G1978*H1978</f>
        <v>90000</v>
      </c>
    </row>
    <row r="1979" spans="2:14" ht="10.5" customHeight="1" thickBot="1" x14ac:dyDescent="0.3">
      <c r="B1979" s="371" t="s">
        <v>318</v>
      </c>
      <c r="C1979" s="372"/>
      <c r="D1979" s="372"/>
      <c r="E1979" s="372"/>
      <c r="F1979" s="372"/>
      <c r="G1979" s="372"/>
      <c r="H1979" s="372"/>
      <c r="I1979" s="144">
        <f>SUM(I1977:I1978)</f>
        <v>95000</v>
      </c>
      <c r="N1979" s="150"/>
    </row>
    <row r="1980" spans="2:14" ht="6" customHeight="1" thickBot="1" x14ac:dyDescent="0.3">
      <c r="B1980" s="373"/>
      <c r="C1980" s="373"/>
      <c r="D1980" s="373"/>
      <c r="E1980" s="373"/>
      <c r="F1980" s="373"/>
      <c r="G1980" s="373"/>
      <c r="H1980" s="373"/>
      <c r="I1980" s="373"/>
    </row>
    <row r="1981" spans="2:14" s="145" customFormat="1" x14ac:dyDescent="0.25">
      <c r="B1981" s="380" t="s">
        <v>319</v>
      </c>
      <c r="C1981" s="381"/>
      <c r="D1981" s="381"/>
      <c r="E1981" s="381"/>
      <c r="F1981" s="381"/>
      <c r="G1981" s="381"/>
      <c r="H1981" s="381"/>
      <c r="I1981" s="382"/>
    </row>
    <row r="1982" spans="2:14" s="145" customFormat="1" ht="15.75" customHeight="1" x14ac:dyDescent="0.25">
      <c r="B1982" s="377" t="s">
        <v>310</v>
      </c>
      <c r="C1982" s="378"/>
      <c r="D1982" s="379"/>
      <c r="E1982" s="137"/>
      <c r="F1982" s="137" t="s">
        <v>320</v>
      </c>
      <c r="G1982" s="137" t="s">
        <v>321</v>
      </c>
      <c r="H1982" s="137" t="s">
        <v>322</v>
      </c>
      <c r="I1982" s="138" t="s">
        <v>314</v>
      </c>
    </row>
    <row r="1983" spans="2:14" ht="78.75" customHeight="1" x14ac:dyDescent="0.25">
      <c r="B1983" s="436" t="s">
        <v>588</v>
      </c>
      <c r="C1983" s="437"/>
      <c r="D1983" s="438"/>
      <c r="E1983" s="163"/>
      <c r="F1983" s="161" t="s">
        <v>27</v>
      </c>
      <c r="G1983" s="160">
        <f>4608265-2844588+1+2363017-2281275+6608683-4824123+540000+2212920-4802908+1+837825+2995429-4478609+1+772396-50000+2002240+502778+90142+1842992-1590922</f>
        <v>4504265</v>
      </c>
      <c r="H1983" s="142">
        <v>1</v>
      </c>
      <c r="I1983" s="143">
        <f>G1983*H1983</f>
        <v>4504265</v>
      </c>
      <c r="M1983">
        <v>4608265</v>
      </c>
    </row>
    <row r="1984" spans="2:14" ht="18" customHeight="1" thickBot="1" x14ac:dyDescent="0.3">
      <c r="B1984" s="371" t="s">
        <v>318</v>
      </c>
      <c r="C1984" s="372"/>
      <c r="D1984" s="372"/>
      <c r="E1984" s="372"/>
      <c r="F1984" s="372"/>
      <c r="G1984" s="372"/>
      <c r="H1984" s="372"/>
      <c r="I1984" s="144">
        <f>SUM(I1983:I1983)</f>
        <v>4504265</v>
      </c>
      <c r="N1984" s="150"/>
    </row>
    <row r="1985" spans="2:15" ht="6" customHeight="1" thickBot="1" x14ac:dyDescent="0.3">
      <c r="B1985" s="373"/>
      <c r="C1985" s="373"/>
      <c r="D1985" s="373"/>
      <c r="E1985" s="373"/>
      <c r="F1985" s="373"/>
      <c r="G1985" s="373"/>
      <c r="H1985" s="373"/>
      <c r="I1985" s="373"/>
    </row>
    <row r="1986" spans="2:15" s="145" customFormat="1" x14ac:dyDescent="0.25">
      <c r="B1986" s="380" t="s">
        <v>323</v>
      </c>
      <c r="C1986" s="381"/>
      <c r="D1986" s="381"/>
      <c r="E1986" s="381"/>
      <c r="F1986" s="381"/>
      <c r="G1986" s="381"/>
      <c r="H1986" s="381"/>
      <c r="I1986" s="382"/>
      <c r="L1986" s="146"/>
      <c r="M1986" s="146"/>
    </row>
    <row r="1987" spans="2:15" s="145" customFormat="1" x14ac:dyDescent="0.25">
      <c r="B1987" s="377" t="s">
        <v>324</v>
      </c>
      <c r="C1987" s="378"/>
      <c r="D1987" s="379"/>
      <c r="E1987" s="137" t="s">
        <v>325</v>
      </c>
      <c r="F1987" s="137" t="s">
        <v>326</v>
      </c>
      <c r="G1987" s="137" t="s">
        <v>130</v>
      </c>
      <c r="H1987" s="137" t="s">
        <v>327</v>
      </c>
      <c r="I1987" s="138" t="s">
        <v>314</v>
      </c>
      <c r="K1987" s="260"/>
      <c r="N1987" s="183"/>
      <c r="O1987" s="148"/>
    </row>
    <row r="1988" spans="2:15" ht="11.25" customHeight="1" x14ac:dyDescent="0.25">
      <c r="B1988" s="362" t="s">
        <v>711</v>
      </c>
      <c r="C1988" s="363"/>
      <c r="D1988" s="363"/>
      <c r="E1988" s="170">
        <v>1</v>
      </c>
      <c r="F1988" s="164"/>
      <c r="G1988" s="161"/>
      <c r="H1988" s="162">
        <v>35000</v>
      </c>
      <c r="I1988" s="143">
        <f>H1988*E1988</f>
        <v>35000</v>
      </c>
      <c r="K1988" s="281"/>
    </row>
    <row r="1989" spans="2:15" ht="10.5" customHeight="1" thickBot="1" x14ac:dyDescent="0.3">
      <c r="B1989" s="371" t="s">
        <v>318</v>
      </c>
      <c r="C1989" s="372"/>
      <c r="D1989" s="372"/>
      <c r="E1989" s="372"/>
      <c r="F1989" s="372"/>
      <c r="G1989" s="372"/>
      <c r="H1989" s="372"/>
      <c r="I1989" s="144">
        <f>SUM(I1988:I1988)</f>
        <v>35000</v>
      </c>
      <c r="K1989" s="281"/>
      <c r="N1989" s="150"/>
    </row>
    <row r="1990" spans="2:15" ht="6" customHeight="1" thickBot="1" x14ac:dyDescent="0.3">
      <c r="B1990" s="373"/>
      <c r="C1990" s="373"/>
      <c r="D1990" s="373"/>
      <c r="E1990" s="373"/>
      <c r="F1990" s="373"/>
      <c r="G1990" s="373"/>
      <c r="H1990" s="373"/>
      <c r="I1990" s="373"/>
    </row>
    <row r="1991" spans="2:15" s="145" customFormat="1" ht="20.100000000000001" customHeight="1" x14ac:dyDescent="0.25">
      <c r="B1991" s="380" t="s">
        <v>328</v>
      </c>
      <c r="C1991" s="381"/>
      <c r="D1991" s="381"/>
      <c r="E1991" s="381"/>
      <c r="F1991" s="381"/>
      <c r="G1991" s="381"/>
      <c r="H1991" s="381"/>
      <c r="I1991" s="382"/>
      <c r="K1991" s="147"/>
      <c r="N1991" s="148"/>
      <c r="O1991" s="149"/>
    </row>
    <row r="1992" spans="2:15" s="145" customFormat="1" ht="20.100000000000001" customHeight="1" x14ac:dyDescent="0.25">
      <c r="B1992" s="377" t="s">
        <v>329</v>
      </c>
      <c r="C1992" s="379"/>
      <c r="D1992" s="137" t="s">
        <v>322</v>
      </c>
      <c r="E1992" s="137" t="s">
        <v>330</v>
      </c>
      <c r="F1992" s="137" t="s">
        <v>331</v>
      </c>
      <c r="G1992" s="137" t="s">
        <v>332</v>
      </c>
      <c r="H1992" s="137" t="s">
        <v>313</v>
      </c>
      <c r="I1992" s="138" t="s">
        <v>314</v>
      </c>
      <c r="K1992" s="147">
        <f>+I1998-K1994</f>
        <v>0</v>
      </c>
      <c r="O1992" s="179"/>
    </row>
    <row r="1993" spans="2:15" s="151" customFormat="1" ht="9.75" customHeight="1" x14ac:dyDescent="0.25">
      <c r="B1993" s="367" t="s">
        <v>356</v>
      </c>
      <c r="C1993" s="368"/>
      <c r="D1993" s="180">
        <v>1</v>
      </c>
      <c r="E1993" s="141">
        <v>140000</v>
      </c>
      <c r="F1993" s="141">
        <f>+E1993*0.8</f>
        <v>112000</v>
      </c>
      <c r="G1993" s="178">
        <f>D1993*E1993+F1993*D1993</f>
        <v>252000</v>
      </c>
      <c r="H1993" s="184">
        <v>1</v>
      </c>
      <c r="I1993" s="143">
        <f>+G1993/H1993</f>
        <v>252000</v>
      </c>
      <c r="J1993" s="145"/>
      <c r="K1993" s="147"/>
    </row>
    <row r="1994" spans="2:15" s="151" customFormat="1" ht="11.25" customHeight="1" x14ac:dyDescent="0.25">
      <c r="B1994" s="367" t="s">
        <v>374</v>
      </c>
      <c r="C1994" s="368"/>
      <c r="D1994" s="180">
        <v>1</v>
      </c>
      <c r="E1994" s="141">
        <v>80000</v>
      </c>
      <c r="F1994" s="141">
        <f>+E1994*0.8</f>
        <v>64000</v>
      </c>
      <c r="G1994" s="178">
        <f>D1994*E1994+F1994*D1994</f>
        <v>144000</v>
      </c>
      <c r="H1994" s="184">
        <f>+H1993</f>
        <v>1</v>
      </c>
      <c r="I1994" s="143">
        <f>+G1994/H1994</f>
        <v>144000</v>
      </c>
      <c r="J1994" s="145"/>
      <c r="K1994" s="147">
        <v>5228265</v>
      </c>
      <c r="L1994" s="179"/>
      <c r="M1994" s="179"/>
    </row>
    <row r="1995" spans="2:15" s="145" customFormat="1" ht="10.5" customHeight="1" x14ac:dyDescent="0.25">
      <c r="B1995" s="367" t="s">
        <v>333</v>
      </c>
      <c r="C1995" s="368"/>
      <c r="D1995" s="180">
        <v>2</v>
      </c>
      <c r="E1995" s="141">
        <v>55000</v>
      </c>
      <c r="F1995" s="141">
        <f>+E1995*0.8</f>
        <v>44000</v>
      </c>
      <c r="G1995" s="178">
        <f>D1995*E1995+F1995*D1995</f>
        <v>198000</v>
      </c>
      <c r="H1995" s="184">
        <f>+H1994</f>
        <v>1</v>
      </c>
      <c r="I1995" s="143">
        <f>+G1995/H1995</f>
        <v>198000</v>
      </c>
      <c r="K1995" s="147"/>
    </row>
    <row r="1996" spans="2:15" ht="10.5" customHeight="1" thickBot="1" x14ac:dyDescent="0.3">
      <c r="B1996" s="371" t="s">
        <v>318</v>
      </c>
      <c r="C1996" s="372"/>
      <c r="D1996" s="372"/>
      <c r="E1996" s="372"/>
      <c r="F1996" s="372"/>
      <c r="G1996" s="372"/>
      <c r="H1996" s="372"/>
      <c r="I1996" s="144">
        <f>SUM(I1993:I1995)</f>
        <v>594000</v>
      </c>
      <c r="K1996" s="281"/>
      <c r="N1996" s="150"/>
    </row>
    <row r="1997" spans="2:15" ht="6" customHeight="1" thickBot="1" x14ac:dyDescent="0.3">
      <c r="B1997" s="373"/>
      <c r="C1997" s="373"/>
      <c r="D1997" s="373"/>
      <c r="E1997" s="373"/>
      <c r="F1997" s="373"/>
      <c r="G1997" s="373"/>
      <c r="H1997" s="373"/>
      <c r="I1997" s="373"/>
    </row>
    <row r="1998" spans="2:15" ht="10.5" customHeight="1" thickBot="1" x14ac:dyDescent="0.3">
      <c r="B1998" s="374" t="s">
        <v>334</v>
      </c>
      <c r="C1998" s="375"/>
      <c r="D1998" s="375"/>
      <c r="E1998" s="375"/>
      <c r="F1998" s="375"/>
      <c r="G1998" s="375"/>
      <c r="H1998" s="376"/>
      <c r="I1998" s="152">
        <f>ROUND(+I1979+I1984+I1989+I1996,0)</f>
        <v>5228265</v>
      </c>
      <c r="J1998" s="281"/>
      <c r="K1998" s="169"/>
      <c r="L1998" s="181"/>
      <c r="M1998" s="181"/>
      <c r="N1998" s="153"/>
    </row>
    <row r="1999" spans="2:15" ht="6" customHeight="1" thickBot="1" x14ac:dyDescent="0.3">
      <c r="B1999" s="373"/>
      <c r="C1999" s="373"/>
      <c r="D1999" s="373"/>
      <c r="E1999" s="373"/>
      <c r="F1999" s="373"/>
      <c r="G1999" s="373"/>
      <c r="H1999" s="373"/>
      <c r="I1999" s="373"/>
    </row>
    <row r="2000" spans="2:15" ht="8.25" customHeight="1" x14ac:dyDescent="0.25">
      <c r="B2000" s="433" t="s">
        <v>335</v>
      </c>
      <c r="C2000" s="417"/>
      <c r="D2000" s="418"/>
      <c r="E2000" s="418"/>
      <c r="F2000" s="419"/>
      <c r="G2000" s="369" t="s">
        <v>336</v>
      </c>
      <c r="H2000" s="370"/>
      <c r="I2000" s="370"/>
    </row>
    <row r="2001" spans="2:14" ht="33.75" customHeight="1" x14ac:dyDescent="0.25">
      <c r="B2001" s="434"/>
      <c r="C2001" s="420"/>
      <c r="D2001" s="421"/>
      <c r="E2001" s="421"/>
      <c r="F2001" s="422"/>
      <c r="G2001" s="430" t="s">
        <v>337</v>
      </c>
      <c r="H2001" s="431"/>
      <c r="I2001" s="431"/>
      <c r="L2001" s="181"/>
      <c r="M2001" s="181"/>
      <c r="N2001" s="179"/>
    </row>
    <row r="2002" spans="2:14" ht="13.5" customHeight="1" x14ac:dyDescent="0.25">
      <c r="B2002" s="434"/>
      <c r="C2002" s="420"/>
      <c r="D2002" s="421"/>
      <c r="E2002" s="421"/>
      <c r="F2002" s="422"/>
      <c r="G2002" s="154" t="s">
        <v>92</v>
      </c>
      <c r="H2002" s="432" t="s">
        <v>93</v>
      </c>
      <c r="I2002" s="432"/>
    </row>
    <row r="2003" spans="2:14" ht="16.5" customHeight="1" x14ac:dyDescent="0.25">
      <c r="B2003" s="435"/>
      <c r="C2003" s="420"/>
      <c r="D2003" s="421"/>
      <c r="E2003" s="421"/>
      <c r="F2003" s="422"/>
      <c r="G2003" s="155" t="s">
        <v>94</v>
      </c>
      <c r="H2003" s="156" t="s">
        <v>95</v>
      </c>
      <c r="I2003" s="157" t="s">
        <v>96</v>
      </c>
    </row>
    <row r="2004" spans="2:14" x14ac:dyDescent="0.25">
      <c r="B2004" s="268" t="s">
        <v>18</v>
      </c>
      <c r="C2004" s="427"/>
      <c r="D2004" s="428"/>
      <c r="E2004" s="428"/>
      <c r="F2004" s="429"/>
      <c r="G2004" s="155" t="s">
        <v>98</v>
      </c>
      <c r="H2004" s="157" t="s">
        <v>99</v>
      </c>
      <c r="I2004" s="157" t="s">
        <v>100</v>
      </c>
    </row>
    <row r="2005" spans="2:14" x14ac:dyDescent="0.25">
      <c r="B2005" s="269" t="s">
        <v>97</v>
      </c>
      <c r="C2005" s="427"/>
      <c r="D2005" s="428"/>
      <c r="E2005" s="428"/>
      <c r="F2005" s="429"/>
      <c r="G2005" s="154" t="s">
        <v>338</v>
      </c>
      <c r="H2005" s="426"/>
      <c r="I2005" s="426"/>
    </row>
    <row r="2006" spans="2:14" ht="15.75" thickBot="1" x14ac:dyDescent="0.3">
      <c r="B2006" s="270" t="s">
        <v>101</v>
      </c>
      <c r="C2006" s="423"/>
      <c r="D2006" s="424"/>
      <c r="E2006" s="424"/>
      <c r="F2006" s="425"/>
      <c r="G2006" s="154" t="s">
        <v>102</v>
      </c>
      <c r="H2006" s="426" t="s">
        <v>103</v>
      </c>
      <c r="I2006" s="426"/>
    </row>
    <row r="2007" spans="2:14" ht="45" customHeight="1" thickBot="1" x14ac:dyDescent="0.3">
      <c r="B2007" s="401"/>
      <c r="C2007" s="402"/>
      <c r="D2007" s="402"/>
      <c r="E2007" s="402"/>
      <c r="F2007" s="403" t="s">
        <v>0</v>
      </c>
      <c r="G2007" s="403"/>
      <c r="H2007" s="403"/>
      <c r="I2007" s="404"/>
    </row>
    <row r="2008" spans="2:14" ht="6" customHeight="1" thickBot="1" x14ac:dyDescent="0.3">
      <c r="B2008" s="373"/>
      <c r="C2008" s="373"/>
      <c r="D2008" s="373"/>
      <c r="E2008" s="373"/>
      <c r="F2008" s="373"/>
      <c r="G2008" s="373"/>
      <c r="H2008" s="373"/>
      <c r="I2008" s="373"/>
    </row>
    <row r="2009" spans="2:14" ht="10.5" customHeight="1" x14ac:dyDescent="0.25">
      <c r="B2009" s="405" t="s">
        <v>294</v>
      </c>
      <c r="C2009" s="406"/>
      <c r="D2009" s="407" t="s">
        <v>295</v>
      </c>
      <c r="E2009" s="409" t="s">
        <v>296</v>
      </c>
      <c r="F2009" s="410"/>
      <c r="G2009" s="410"/>
      <c r="H2009" s="410"/>
      <c r="I2009" s="411"/>
    </row>
    <row r="2010" spans="2:14" ht="9" customHeight="1" thickBot="1" x14ac:dyDescent="0.3">
      <c r="B2010" s="415"/>
      <c r="C2010" s="416"/>
      <c r="D2010" s="408"/>
      <c r="E2010" s="412"/>
      <c r="F2010" s="413"/>
      <c r="G2010" s="413"/>
      <c r="H2010" s="413"/>
      <c r="I2010" s="414"/>
    </row>
    <row r="2011" spans="2:14" ht="6" customHeight="1" thickBot="1" x14ac:dyDescent="0.3">
      <c r="B2011" s="373"/>
      <c r="C2011" s="373"/>
      <c r="D2011" s="373"/>
      <c r="E2011" s="373"/>
      <c r="F2011" s="373"/>
      <c r="G2011" s="373"/>
      <c r="H2011" s="373"/>
      <c r="I2011" s="373"/>
    </row>
    <row r="2012" spans="2:14" ht="17.25" customHeight="1" thickBot="1" x14ac:dyDescent="0.3">
      <c r="B2012" s="390" t="s">
        <v>297</v>
      </c>
      <c r="C2012" s="391"/>
      <c r="D2012" s="392"/>
      <c r="E2012" s="393"/>
      <c r="F2012" s="393"/>
      <c r="G2012" s="394"/>
      <c r="H2012" s="127" t="s">
        <v>298</v>
      </c>
      <c r="I2012" s="128"/>
    </row>
    <row r="2013" spans="2:14" ht="6" customHeight="1" thickBot="1" x14ac:dyDescent="0.3">
      <c r="B2013" s="373"/>
      <c r="C2013" s="373"/>
      <c r="D2013" s="373"/>
      <c r="E2013" s="373"/>
      <c r="F2013" s="373"/>
      <c r="G2013" s="373"/>
      <c r="H2013" s="373"/>
      <c r="I2013" s="373"/>
    </row>
    <row r="2014" spans="2:14" ht="19.5" customHeight="1" x14ac:dyDescent="0.25">
      <c r="B2014" s="261" t="s">
        <v>299</v>
      </c>
      <c r="C2014" s="129" t="s">
        <v>300</v>
      </c>
      <c r="D2014" s="130" t="s">
        <v>301</v>
      </c>
      <c r="E2014" s="130" t="s">
        <v>302</v>
      </c>
      <c r="F2014" s="398" t="s">
        <v>303</v>
      </c>
      <c r="G2014" s="399"/>
      <c r="H2014" s="400"/>
      <c r="I2014" s="131" t="s">
        <v>304</v>
      </c>
    </row>
    <row r="2015" spans="2:14" ht="11.25" customHeight="1" x14ac:dyDescent="0.25">
      <c r="B2015" s="262"/>
      <c r="C2015" s="132"/>
      <c r="D2015" s="132" t="s">
        <v>305</v>
      </c>
      <c r="E2015" s="132" t="s">
        <v>306</v>
      </c>
      <c r="F2015" s="395" t="s">
        <v>339</v>
      </c>
      <c r="G2015" s="396"/>
      <c r="H2015" s="397"/>
      <c r="I2015" s="133"/>
    </row>
    <row r="2016" spans="2:14" ht="28.5" customHeight="1" x14ac:dyDescent="0.25">
      <c r="B2016" s="263" t="s">
        <v>307</v>
      </c>
      <c r="C2016" s="383" t="s">
        <v>414</v>
      </c>
      <c r="D2016" s="384"/>
      <c r="E2016" s="384"/>
      <c r="F2016" s="384"/>
      <c r="G2016" s="384"/>
      <c r="H2016" s="384"/>
      <c r="I2016" s="385"/>
    </row>
    <row r="2017" spans="2:15" ht="10.5" customHeight="1" x14ac:dyDescent="0.25">
      <c r="B2017" s="264" t="s">
        <v>129</v>
      </c>
      <c r="C2017" s="388" t="s">
        <v>308</v>
      </c>
      <c r="D2017" s="389"/>
      <c r="E2017" s="389"/>
      <c r="F2017" s="389"/>
      <c r="G2017" s="389"/>
      <c r="H2017" s="389"/>
      <c r="I2017" s="134" t="s">
        <v>130</v>
      </c>
    </row>
    <row r="2018" spans="2:15" ht="50.25" customHeight="1" thickBot="1" x14ac:dyDescent="0.3">
      <c r="B2018" s="265">
        <v>7.1499999999999968</v>
      </c>
      <c r="C2018" s="386" t="s">
        <v>589</v>
      </c>
      <c r="D2018" s="387"/>
      <c r="E2018" s="387"/>
      <c r="F2018" s="387"/>
      <c r="G2018" s="387"/>
      <c r="H2018" s="387"/>
      <c r="I2018" s="135" t="s">
        <v>27</v>
      </c>
    </row>
    <row r="2019" spans="2:15" ht="6" customHeight="1" thickBot="1" x14ac:dyDescent="0.3">
      <c r="B2019" s="373"/>
      <c r="C2019" s="373"/>
      <c r="D2019" s="373"/>
      <c r="E2019" s="373"/>
      <c r="F2019" s="373"/>
      <c r="G2019" s="373"/>
      <c r="H2019" s="373"/>
      <c r="I2019" s="373"/>
    </row>
    <row r="2020" spans="2:15" x14ac:dyDescent="0.25">
      <c r="B2020" s="380" t="s">
        <v>309</v>
      </c>
      <c r="C2020" s="381"/>
      <c r="D2020" s="381"/>
      <c r="E2020" s="381"/>
      <c r="F2020" s="381"/>
      <c r="G2020" s="381"/>
      <c r="H2020" s="381"/>
      <c r="I2020" s="382"/>
      <c r="K2020" s="182"/>
    </row>
    <row r="2021" spans="2:15" ht="11.25" customHeight="1" x14ac:dyDescent="0.25">
      <c r="B2021" s="377" t="s">
        <v>310</v>
      </c>
      <c r="C2021" s="378"/>
      <c r="D2021" s="379"/>
      <c r="E2021" s="136"/>
      <c r="F2021" s="137" t="s">
        <v>311</v>
      </c>
      <c r="G2021" s="137" t="s">
        <v>312</v>
      </c>
      <c r="H2021" s="137" t="s">
        <v>313</v>
      </c>
      <c r="I2021" s="138" t="s">
        <v>314</v>
      </c>
      <c r="L2021" s="139"/>
      <c r="M2021" s="139"/>
    </row>
    <row r="2022" spans="2:15" ht="11.25" customHeight="1" x14ac:dyDescent="0.25">
      <c r="B2022" s="362" t="s">
        <v>315</v>
      </c>
      <c r="C2022" s="363"/>
      <c r="D2022" s="363"/>
      <c r="E2022" s="160"/>
      <c r="F2022" s="161" t="s">
        <v>316</v>
      </c>
      <c r="G2022" s="160">
        <v>5000</v>
      </c>
      <c r="H2022" s="142">
        <v>1</v>
      </c>
      <c r="I2022" s="143">
        <f>G2022*H2022</f>
        <v>5000</v>
      </c>
    </row>
    <row r="2023" spans="2:15" ht="16.5" customHeight="1" x14ac:dyDescent="0.25">
      <c r="B2023" s="362" t="s">
        <v>355</v>
      </c>
      <c r="C2023" s="363"/>
      <c r="D2023" s="363"/>
      <c r="E2023" s="160"/>
      <c r="F2023" s="161" t="s">
        <v>317</v>
      </c>
      <c r="G2023" s="160">
        <v>90000</v>
      </c>
      <c r="H2023" s="142">
        <f>+H2022</f>
        <v>1</v>
      </c>
      <c r="I2023" s="143">
        <f>G2023*H2023</f>
        <v>90000</v>
      </c>
    </row>
    <row r="2024" spans="2:15" ht="10.5" customHeight="1" thickBot="1" x14ac:dyDescent="0.3">
      <c r="B2024" s="371" t="s">
        <v>318</v>
      </c>
      <c r="C2024" s="372"/>
      <c r="D2024" s="372"/>
      <c r="E2024" s="372"/>
      <c r="F2024" s="372"/>
      <c r="G2024" s="372"/>
      <c r="H2024" s="372"/>
      <c r="I2024" s="144">
        <f>SUM(I2022:I2023)</f>
        <v>95000</v>
      </c>
      <c r="N2024" s="150"/>
    </row>
    <row r="2025" spans="2:15" ht="6" customHeight="1" thickBot="1" x14ac:dyDescent="0.3">
      <c r="B2025" s="373"/>
      <c r="C2025" s="373"/>
      <c r="D2025" s="373"/>
      <c r="E2025" s="373"/>
      <c r="F2025" s="373"/>
      <c r="G2025" s="373"/>
      <c r="H2025" s="373"/>
      <c r="I2025" s="373"/>
    </row>
    <row r="2026" spans="2:15" s="145" customFormat="1" x14ac:dyDescent="0.25">
      <c r="B2026" s="380" t="s">
        <v>319</v>
      </c>
      <c r="C2026" s="381"/>
      <c r="D2026" s="381"/>
      <c r="E2026" s="381"/>
      <c r="F2026" s="381"/>
      <c r="G2026" s="381"/>
      <c r="H2026" s="381"/>
      <c r="I2026" s="382"/>
    </row>
    <row r="2027" spans="2:15" s="145" customFormat="1" ht="15.75" customHeight="1" x14ac:dyDescent="0.25">
      <c r="B2027" s="377" t="s">
        <v>310</v>
      </c>
      <c r="C2027" s="378"/>
      <c r="D2027" s="379"/>
      <c r="E2027" s="137"/>
      <c r="F2027" s="137" t="s">
        <v>320</v>
      </c>
      <c r="G2027" s="137" t="s">
        <v>321</v>
      </c>
      <c r="H2027" s="137" t="s">
        <v>322</v>
      </c>
      <c r="I2027" s="138" t="s">
        <v>314</v>
      </c>
    </row>
    <row r="2028" spans="2:15" ht="78.75" customHeight="1" x14ac:dyDescent="0.25">
      <c r="B2028" s="436" t="s">
        <v>589</v>
      </c>
      <c r="C2028" s="437"/>
      <c r="D2028" s="438"/>
      <c r="E2028" s="163"/>
      <c r="F2028" s="161" t="s">
        <v>27</v>
      </c>
      <c r="G2028" s="160">
        <f>4608265-2844588+1+2363017-2281275+6608683-4824123+540000+2212920-4802908+1+837825+2995429-4478609+1+772396-50000+2002240+502778+90142+1842992-1681065+1</f>
        <v>4414123</v>
      </c>
      <c r="H2028" s="142">
        <v>1</v>
      </c>
      <c r="I2028" s="143">
        <f>G2028*H2028</f>
        <v>4414123</v>
      </c>
      <c r="M2028">
        <v>4608265</v>
      </c>
    </row>
    <row r="2029" spans="2:15" ht="18" customHeight="1" thickBot="1" x14ac:dyDescent="0.3">
      <c r="B2029" s="371" t="s">
        <v>318</v>
      </c>
      <c r="C2029" s="372"/>
      <c r="D2029" s="372"/>
      <c r="E2029" s="372"/>
      <c r="F2029" s="372"/>
      <c r="G2029" s="372"/>
      <c r="H2029" s="372"/>
      <c r="I2029" s="144">
        <f>SUM(I2028:I2028)</f>
        <v>4414123</v>
      </c>
      <c r="N2029" s="150"/>
    </row>
    <row r="2030" spans="2:15" ht="6" customHeight="1" thickBot="1" x14ac:dyDescent="0.3">
      <c r="B2030" s="373"/>
      <c r="C2030" s="373"/>
      <c r="D2030" s="373"/>
      <c r="E2030" s="373"/>
      <c r="F2030" s="373"/>
      <c r="G2030" s="373"/>
      <c r="H2030" s="373"/>
      <c r="I2030" s="373"/>
    </row>
    <row r="2031" spans="2:15" s="145" customFormat="1" x14ac:dyDescent="0.25">
      <c r="B2031" s="380" t="s">
        <v>323</v>
      </c>
      <c r="C2031" s="381"/>
      <c r="D2031" s="381"/>
      <c r="E2031" s="381"/>
      <c r="F2031" s="381"/>
      <c r="G2031" s="381"/>
      <c r="H2031" s="381"/>
      <c r="I2031" s="382"/>
      <c r="L2031" s="146"/>
      <c r="M2031" s="146"/>
    </row>
    <row r="2032" spans="2:15" s="145" customFormat="1" x14ac:dyDescent="0.25">
      <c r="B2032" s="377" t="s">
        <v>324</v>
      </c>
      <c r="C2032" s="378"/>
      <c r="D2032" s="379"/>
      <c r="E2032" s="137" t="s">
        <v>325</v>
      </c>
      <c r="F2032" s="137" t="s">
        <v>326</v>
      </c>
      <c r="G2032" s="137" t="s">
        <v>130</v>
      </c>
      <c r="H2032" s="137" t="s">
        <v>327</v>
      </c>
      <c r="I2032" s="138" t="s">
        <v>314</v>
      </c>
      <c r="K2032" s="260"/>
      <c r="N2032" s="183"/>
      <c r="O2032" s="148"/>
    </row>
    <row r="2033" spans="2:15" ht="11.25" customHeight="1" x14ac:dyDescent="0.25">
      <c r="B2033" s="362" t="s">
        <v>711</v>
      </c>
      <c r="C2033" s="363"/>
      <c r="D2033" s="363"/>
      <c r="E2033" s="170">
        <v>1</v>
      </c>
      <c r="F2033" s="164"/>
      <c r="G2033" s="161"/>
      <c r="H2033" s="162">
        <v>35000</v>
      </c>
      <c r="I2033" s="143">
        <f>H2033*E2033</f>
        <v>35000</v>
      </c>
      <c r="K2033" s="281"/>
    </row>
    <row r="2034" spans="2:15" ht="10.5" customHeight="1" thickBot="1" x14ac:dyDescent="0.3">
      <c r="B2034" s="371" t="s">
        <v>318</v>
      </c>
      <c r="C2034" s="372"/>
      <c r="D2034" s="372"/>
      <c r="E2034" s="372"/>
      <c r="F2034" s="372"/>
      <c r="G2034" s="372"/>
      <c r="H2034" s="372"/>
      <c r="I2034" s="144">
        <f>SUM(I2033:I2033)</f>
        <v>35000</v>
      </c>
      <c r="K2034" s="281"/>
      <c r="N2034" s="150"/>
    </row>
    <row r="2035" spans="2:15" ht="6" customHeight="1" thickBot="1" x14ac:dyDescent="0.3">
      <c r="B2035" s="373"/>
      <c r="C2035" s="373"/>
      <c r="D2035" s="373"/>
      <c r="E2035" s="373"/>
      <c r="F2035" s="373"/>
      <c r="G2035" s="373"/>
      <c r="H2035" s="373"/>
      <c r="I2035" s="373"/>
    </row>
    <row r="2036" spans="2:15" s="145" customFormat="1" ht="20.100000000000001" customHeight="1" x14ac:dyDescent="0.25">
      <c r="B2036" s="380" t="s">
        <v>328</v>
      </c>
      <c r="C2036" s="381"/>
      <c r="D2036" s="381"/>
      <c r="E2036" s="381"/>
      <c r="F2036" s="381"/>
      <c r="G2036" s="381"/>
      <c r="H2036" s="381"/>
      <c r="I2036" s="382"/>
      <c r="K2036" s="147"/>
      <c r="N2036" s="148"/>
      <c r="O2036" s="149"/>
    </row>
    <row r="2037" spans="2:15" s="145" customFormat="1" ht="20.100000000000001" customHeight="1" x14ac:dyDescent="0.25">
      <c r="B2037" s="377" t="s">
        <v>329</v>
      </c>
      <c r="C2037" s="379"/>
      <c r="D2037" s="137" t="s">
        <v>322</v>
      </c>
      <c r="E2037" s="137" t="s">
        <v>330</v>
      </c>
      <c r="F2037" s="137" t="s">
        <v>331</v>
      </c>
      <c r="G2037" s="137" t="s">
        <v>332</v>
      </c>
      <c r="H2037" s="137" t="s">
        <v>313</v>
      </c>
      <c r="I2037" s="138" t="s">
        <v>314</v>
      </c>
      <c r="K2037" s="147"/>
      <c r="O2037" s="179"/>
    </row>
    <row r="2038" spans="2:15" s="151" customFormat="1" ht="9.75" customHeight="1" x14ac:dyDescent="0.25">
      <c r="B2038" s="367" t="s">
        <v>356</v>
      </c>
      <c r="C2038" s="368"/>
      <c r="D2038" s="180">
        <v>1</v>
      </c>
      <c r="E2038" s="141">
        <v>140000</v>
      </c>
      <c r="F2038" s="141">
        <f>+E2038*0.8</f>
        <v>112000</v>
      </c>
      <c r="G2038" s="178">
        <f>D2038*E2038+F2038*D2038</f>
        <v>252000</v>
      </c>
      <c r="H2038" s="184">
        <v>1</v>
      </c>
      <c r="I2038" s="143">
        <f>+G2038/H2038</f>
        <v>252000</v>
      </c>
      <c r="J2038" s="145"/>
      <c r="K2038" s="147">
        <v>0.5</v>
      </c>
    </row>
    <row r="2039" spans="2:15" s="151" customFormat="1" ht="11.25" customHeight="1" x14ac:dyDescent="0.25">
      <c r="B2039" s="367" t="s">
        <v>374</v>
      </c>
      <c r="C2039" s="368"/>
      <c r="D2039" s="180">
        <v>1</v>
      </c>
      <c r="E2039" s="141">
        <v>80000</v>
      </c>
      <c r="F2039" s="141">
        <f>+E2039*0.8</f>
        <v>64000</v>
      </c>
      <c r="G2039" s="178">
        <f>D2039*E2039+F2039*D2039</f>
        <v>144000</v>
      </c>
      <c r="H2039" s="184">
        <f>+H2038</f>
        <v>1</v>
      </c>
      <c r="I2039" s="143">
        <f>+G2039/H2039</f>
        <v>144000</v>
      </c>
      <c r="J2039" s="145"/>
      <c r="K2039" s="147"/>
      <c r="L2039" s="179"/>
      <c r="M2039" s="179"/>
    </row>
    <row r="2040" spans="2:15" s="145" customFormat="1" ht="10.5" customHeight="1" x14ac:dyDescent="0.25">
      <c r="B2040" s="367" t="s">
        <v>333</v>
      </c>
      <c r="C2040" s="368"/>
      <c r="D2040" s="180">
        <v>2</v>
      </c>
      <c r="E2040" s="141">
        <v>55000</v>
      </c>
      <c r="F2040" s="141">
        <f>+E2040*0.8</f>
        <v>44000</v>
      </c>
      <c r="G2040" s="178">
        <f>D2040*E2040+F2040*D2040</f>
        <v>198000</v>
      </c>
      <c r="H2040" s="184">
        <f>+H2039</f>
        <v>1</v>
      </c>
      <c r="I2040" s="143">
        <f>+G2040/H2040</f>
        <v>198000</v>
      </c>
      <c r="K2040" s="147"/>
    </row>
    <row r="2041" spans="2:15" ht="10.5" customHeight="1" thickBot="1" x14ac:dyDescent="0.3">
      <c r="B2041" s="371" t="s">
        <v>318</v>
      </c>
      <c r="C2041" s="372"/>
      <c r="D2041" s="372"/>
      <c r="E2041" s="372"/>
      <c r="F2041" s="372"/>
      <c r="G2041" s="372"/>
      <c r="H2041" s="372"/>
      <c r="I2041" s="144">
        <f>SUM(I2038:I2040)</f>
        <v>594000</v>
      </c>
      <c r="K2041" s="281"/>
      <c r="N2041" s="150"/>
    </row>
    <row r="2042" spans="2:15" ht="6" customHeight="1" thickBot="1" x14ac:dyDescent="0.3">
      <c r="B2042" s="373"/>
      <c r="C2042" s="373"/>
      <c r="D2042" s="373"/>
      <c r="E2042" s="373"/>
      <c r="F2042" s="373"/>
      <c r="G2042" s="373"/>
      <c r="H2042" s="373"/>
      <c r="I2042" s="373"/>
    </row>
    <row r="2043" spans="2:15" ht="10.5" customHeight="1" thickBot="1" x14ac:dyDescent="0.3">
      <c r="B2043" s="374" t="s">
        <v>334</v>
      </c>
      <c r="C2043" s="375"/>
      <c r="D2043" s="375"/>
      <c r="E2043" s="375"/>
      <c r="F2043" s="375"/>
      <c r="G2043" s="375"/>
      <c r="H2043" s="376"/>
      <c r="I2043" s="152">
        <f>ROUND(+I2024+I2029+I2034+I2041,0)</f>
        <v>5138123</v>
      </c>
      <c r="J2043" s="281"/>
      <c r="K2043" s="169"/>
      <c r="L2043" s="181"/>
      <c r="M2043" s="181"/>
      <c r="N2043" s="153"/>
    </row>
    <row r="2044" spans="2:15" ht="6" customHeight="1" thickBot="1" x14ac:dyDescent="0.3">
      <c r="B2044" s="373"/>
      <c r="C2044" s="373"/>
      <c r="D2044" s="373"/>
      <c r="E2044" s="373"/>
      <c r="F2044" s="373"/>
      <c r="G2044" s="373"/>
      <c r="H2044" s="373"/>
      <c r="I2044" s="373"/>
    </row>
    <row r="2045" spans="2:15" ht="8.25" customHeight="1" x14ac:dyDescent="0.25">
      <c r="B2045" s="433" t="s">
        <v>335</v>
      </c>
      <c r="C2045" s="417"/>
      <c r="D2045" s="418"/>
      <c r="E2045" s="418"/>
      <c r="F2045" s="419"/>
      <c r="G2045" s="369" t="s">
        <v>336</v>
      </c>
      <c r="H2045" s="370"/>
      <c r="I2045" s="370"/>
    </row>
    <row r="2046" spans="2:15" ht="33.75" customHeight="1" x14ac:dyDescent="0.25">
      <c r="B2046" s="434"/>
      <c r="C2046" s="420"/>
      <c r="D2046" s="421"/>
      <c r="E2046" s="421"/>
      <c r="F2046" s="422"/>
      <c r="G2046" s="430" t="s">
        <v>337</v>
      </c>
      <c r="H2046" s="431"/>
      <c r="I2046" s="431"/>
      <c r="L2046" s="181"/>
      <c r="M2046" s="181"/>
      <c r="N2046" s="179"/>
    </row>
    <row r="2047" spans="2:15" ht="13.5" customHeight="1" x14ac:dyDescent="0.25">
      <c r="B2047" s="434"/>
      <c r="C2047" s="420"/>
      <c r="D2047" s="421"/>
      <c r="E2047" s="421"/>
      <c r="F2047" s="422"/>
      <c r="G2047" s="154" t="s">
        <v>92</v>
      </c>
      <c r="H2047" s="432" t="s">
        <v>93</v>
      </c>
      <c r="I2047" s="432"/>
    </row>
    <row r="2048" spans="2:15" ht="16.5" customHeight="1" x14ac:dyDescent="0.25">
      <c r="B2048" s="435"/>
      <c r="C2048" s="420"/>
      <c r="D2048" s="421"/>
      <c r="E2048" s="421"/>
      <c r="F2048" s="422"/>
      <c r="G2048" s="155" t="s">
        <v>94</v>
      </c>
      <c r="H2048" s="156" t="s">
        <v>95</v>
      </c>
      <c r="I2048" s="157" t="s">
        <v>96</v>
      </c>
    </row>
    <row r="2049" spans="2:9" x14ac:dyDescent="0.25">
      <c r="B2049" s="268" t="s">
        <v>18</v>
      </c>
      <c r="C2049" s="427"/>
      <c r="D2049" s="428"/>
      <c r="E2049" s="428"/>
      <c r="F2049" s="429"/>
      <c r="G2049" s="155" t="s">
        <v>98</v>
      </c>
      <c r="H2049" s="157" t="s">
        <v>99</v>
      </c>
      <c r="I2049" s="157" t="s">
        <v>100</v>
      </c>
    </row>
    <row r="2050" spans="2:9" x14ac:dyDescent="0.25">
      <c r="B2050" s="269" t="s">
        <v>97</v>
      </c>
      <c r="C2050" s="427"/>
      <c r="D2050" s="428"/>
      <c r="E2050" s="428"/>
      <c r="F2050" s="429"/>
      <c r="G2050" s="154" t="s">
        <v>338</v>
      </c>
      <c r="H2050" s="426"/>
      <c r="I2050" s="426"/>
    </row>
    <row r="2051" spans="2:9" ht="15.75" thickBot="1" x14ac:dyDescent="0.3">
      <c r="B2051" s="270" t="s">
        <v>101</v>
      </c>
      <c r="C2051" s="423"/>
      <c r="D2051" s="424"/>
      <c r="E2051" s="424"/>
      <c r="F2051" s="425"/>
      <c r="G2051" s="154" t="s">
        <v>102</v>
      </c>
      <c r="H2051" s="426" t="s">
        <v>103</v>
      </c>
      <c r="I2051" s="426"/>
    </row>
    <row r="2052" spans="2:9" ht="5.45" customHeight="1" thickBot="1" x14ac:dyDescent="0.3">
      <c r="B2052" s="271"/>
      <c r="C2052" s="272"/>
      <c r="D2052" s="273"/>
      <c r="E2052" s="273"/>
      <c r="F2052" s="273"/>
      <c r="G2052" s="274"/>
      <c r="H2052" s="275"/>
      <c r="I2052" s="275"/>
    </row>
    <row r="2053" spans="2:9" ht="45" customHeight="1" thickBot="1" x14ac:dyDescent="0.3">
      <c r="B2053" s="401"/>
      <c r="C2053" s="402"/>
      <c r="D2053" s="402"/>
      <c r="E2053" s="402"/>
      <c r="F2053" s="403" t="s">
        <v>0</v>
      </c>
      <c r="G2053" s="403"/>
      <c r="H2053" s="403"/>
      <c r="I2053" s="404"/>
    </row>
    <row r="2054" spans="2:9" ht="6" customHeight="1" thickBot="1" x14ac:dyDescent="0.3">
      <c r="B2054" s="373"/>
      <c r="C2054" s="373"/>
      <c r="D2054" s="373"/>
      <c r="E2054" s="373"/>
      <c r="F2054" s="373"/>
      <c r="G2054" s="373"/>
      <c r="H2054" s="373"/>
      <c r="I2054" s="373"/>
    </row>
    <row r="2055" spans="2:9" ht="10.5" customHeight="1" x14ac:dyDescent="0.25">
      <c r="B2055" s="405" t="s">
        <v>294</v>
      </c>
      <c r="C2055" s="406"/>
      <c r="D2055" s="407" t="s">
        <v>295</v>
      </c>
      <c r="E2055" s="409" t="s">
        <v>296</v>
      </c>
      <c r="F2055" s="410"/>
      <c r="G2055" s="410"/>
      <c r="H2055" s="410"/>
      <c r="I2055" s="411"/>
    </row>
    <row r="2056" spans="2:9" ht="9" customHeight="1" thickBot="1" x14ac:dyDescent="0.3">
      <c r="B2056" s="415"/>
      <c r="C2056" s="416"/>
      <c r="D2056" s="408"/>
      <c r="E2056" s="412"/>
      <c r="F2056" s="413"/>
      <c r="G2056" s="413"/>
      <c r="H2056" s="413"/>
      <c r="I2056" s="414"/>
    </row>
    <row r="2057" spans="2:9" ht="6" customHeight="1" thickBot="1" x14ac:dyDescent="0.3">
      <c r="B2057" s="373"/>
      <c r="C2057" s="373"/>
      <c r="D2057" s="373"/>
      <c r="E2057" s="373"/>
      <c r="F2057" s="373"/>
      <c r="G2057" s="373"/>
      <c r="H2057" s="373"/>
      <c r="I2057" s="373"/>
    </row>
    <row r="2058" spans="2:9" ht="17.25" customHeight="1" thickBot="1" x14ac:dyDescent="0.3">
      <c r="B2058" s="390" t="s">
        <v>297</v>
      </c>
      <c r="C2058" s="391"/>
      <c r="D2058" s="392"/>
      <c r="E2058" s="393"/>
      <c r="F2058" s="393"/>
      <c r="G2058" s="394"/>
      <c r="H2058" s="127" t="s">
        <v>298</v>
      </c>
      <c r="I2058" s="128"/>
    </row>
    <row r="2059" spans="2:9" ht="6" customHeight="1" thickBot="1" x14ac:dyDescent="0.3">
      <c r="B2059" s="373"/>
      <c r="C2059" s="373"/>
      <c r="D2059" s="373"/>
      <c r="E2059" s="373"/>
      <c r="F2059" s="373"/>
      <c r="G2059" s="373"/>
      <c r="H2059" s="373"/>
      <c r="I2059" s="373"/>
    </row>
    <row r="2060" spans="2:9" ht="19.5" customHeight="1" x14ac:dyDescent="0.25">
      <c r="B2060" s="261" t="s">
        <v>299</v>
      </c>
      <c r="C2060" s="129" t="s">
        <v>300</v>
      </c>
      <c r="D2060" s="130" t="s">
        <v>301</v>
      </c>
      <c r="E2060" s="130" t="s">
        <v>302</v>
      </c>
      <c r="F2060" s="398" t="s">
        <v>303</v>
      </c>
      <c r="G2060" s="399"/>
      <c r="H2060" s="400"/>
      <c r="I2060" s="131" t="s">
        <v>304</v>
      </c>
    </row>
    <row r="2061" spans="2:9" ht="11.25" customHeight="1" x14ac:dyDescent="0.25">
      <c r="B2061" s="262"/>
      <c r="C2061" s="132"/>
      <c r="D2061" s="132" t="s">
        <v>305</v>
      </c>
      <c r="E2061" s="132" t="s">
        <v>306</v>
      </c>
      <c r="F2061" s="395" t="s">
        <v>339</v>
      </c>
      <c r="G2061" s="396"/>
      <c r="H2061" s="397"/>
      <c r="I2061" s="133"/>
    </row>
    <row r="2062" spans="2:9" ht="28.5" customHeight="1" x14ac:dyDescent="0.25">
      <c r="B2062" s="263" t="s">
        <v>307</v>
      </c>
      <c r="C2062" s="383" t="s">
        <v>414</v>
      </c>
      <c r="D2062" s="384"/>
      <c r="E2062" s="384"/>
      <c r="F2062" s="384"/>
      <c r="G2062" s="384"/>
      <c r="H2062" s="384"/>
      <c r="I2062" s="385"/>
    </row>
    <row r="2063" spans="2:9" ht="10.5" customHeight="1" x14ac:dyDescent="0.25">
      <c r="B2063" s="264" t="s">
        <v>129</v>
      </c>
      <c r="C2063" s="388" t="s">
        <v>308</v>
      </c>
      <c r="D2063" s="389"/>
      <c r="E2063" s="389"/>
      <c r="F2063" s="389"/>
      <c r="G2063" s="389"/>
      <c r="H2063" s="389"/>
      <c r="I2063" s="134" t="s">
        <v>130</v>
      </c>
    </row>
    <row r="2064" spans="2:9" ht="50.25" customHeight="1" thickBot="1" x14ac:dyDescent="0.3">
      <c r="B2064" s="265">
        <v>7.1599999999999966</v>
      </c>
      <c r="C2064" s="386" t="s">
        <v>590</v>
      </c>
      <c r="D2064" s="387"/>
      <c r="E2064" s="387"/>
      <c r="F2064" s="387"/>
      <c r="G2064" s="387"/>
      <c r="H2064" s="387"/>
      <c r="I2064" s="135" t="s">
        <v>27</v>
      </c>
    </row>
    <row r="2065" spans="2:15" ht="6" customHeight="1" thickBot="1" x14ac:dyDescent="0.3">
      <c r="B2065" s="373"/>
      <c r="C2065" s="373"/>
      <c r="D2065" s="373"/>
      <c r="E2065" s="373"/>
      <c r="F2065" s="373"/>
      <c r="G2065" s="373"/>
      <c r="H2065" s="373"/>
      <c r="I2065" s="373"/>
    </row>
    <row r="2066" spans="2:15" x14ac:dyDescent="0.25">
      <c r="B2066" s="380" t="s">
        <v>309</v>
      </c>
      <c r="C2066" s="381"/>
      <c r="D2066" s="381"/>
      <c r="E2066" s="381"/>
      <c r="F2066" s="381"/>
      <c r="G2066" s="381"/>
      <c r="H2066" s="381"/>
      <c r="I2066" s="382"/>
      <c r="K2066" s="182"/>
    </row>
    <row r="2067" spans="2:15" ht="11.25" customHeight="1" x14ac:dyDescent="0.25">
      <c r="B2067" s="377" t="s">
        <v>310</v>
      </c>
      <c r="C2067" s="378"/>
      <c r="D2067" s="379"/>
      <c r="E2067" s="136"/>
      <c r="F2067" s="137" t="s">
        <v>311</v>
      </c>
      <c r="G2067" s="137" t="s">
        <v>312</v>
      </c>
      <c r="H2067" s="137" t="s">
        <v>313</v>
      </c>
      <c r="I2067" s="138" t="s">
        <v>314</v>
      </c>
      <c r="L2067" s="139"/>
      <c r="M2067" s="139"/>
    </row>
    <row r="2068" spans="2:15" ht="11.25" customHeight="1" x14ac:dyDescent="0.25">
      <c r="B2068" s="362" t="s">
        <v>315</v>
      </c>
      <c r="C2068" s="363"/>
      <c r="D2068" s="363"/>
      <c r="E2068" s="160"/>
      <c r="F2068" s="161" t="s">
        <v>316</v>
      </c>
      <c r="G2068" s="160">
        <v>5000</v>
      </c>
      <c r="H2068" s="142">
        <v>1.2</v>
      </c>
      <c r="I2068" s="143">
        <f>G2068*H2068</f>
        <v>6000</v>
      </c>
    </row>
    <row r="2069" spans="2:15" ht="16.5" customHeight="1" x14ac:dyDescent="0.25">
      <c r="B2069" s="362" t="s">
        <v>355</v>
      </c>
      <c r="C2069" s="363"/>
      <c r="D2069" s="363"/>
      <c r="E2069" s="160"/>
      <c r="F2069" s="161" t="s">
        <v>317</v>
      </c>
      <c r="G2069" s="160">
        <v>90000</v>
      </c>
      <c r="H2069" s="142">
        <f>+H2068</f>
        <v>1.2</v>
      </c>
      <c r="I2069" s="143">
        <f>G2069*H2069</f>
        <v>108000</v>
      </c>
    </row>
    <row r="2070" spans="2:15" ht="10.5" customHeight="1" thickBot="1" x14ac:dyDescent="0.3">
      <c r="B2070" s="371" t="s">
        <v>318</v>
      </c>
      <c r="C2070" s="372"/>
      <c r="D2070" s="372"/>
      <c r="E2070" s="372"/>
      <c r="F2070" s="372"/>
      <c r="G2070" s="372"/>
      <c r="H2070" s="372"/>
      <c r="I2070" s="144">
        <f>SUM(I2068:I2069)</f>
        <v>114000</v>
      </c>
      <c r="N2070" s="150"/>
    </row>
    <row r="2071" spans="2:15" ht="6" customHeight="1" thickBot="1" x14ac:dyDescent="0.3">
      <c r="B2071" s="373"/>
      <c r="C2071" s="373"/>
      <c r="D2071" s="373"/>
      <c r="E2071" s="373"/>
      <c r="F2071" s="373"/>
      <c r="G2071" s="373"/>
      <c r="H2071" s="373"/>
      <c r="I2071" s="373"/>
    </row>
    <row r="2072" spans="2:15" s="145" customFormat="1" x14ac:dyDescent="0.25">
      <c r="B2072" s="380" t="s">
        <v>319</v>
      </c>
      <c r="C2072" s="381"/>
      <c r="D2072" s="381"/>
      <c r="E2072" s="381"/>
      <c r="F2072" s="381"/>
      <c r="G2072" s="381"/>
      <c r="H2072" s="381"/>
      <c r="I2072" s="382"/>
    </row>
    <row r="2073" spans="2:15" s="145" customFormat="1" ht="15.75" customHeight="1" x14ac:dyDescent="0.25">
      <c r="B2073" s="377" t="s">
        <v>310</v>
      </c>
      <c r="C2073" s="378"/>
      <c r="D2073" s="379"/>
      <c r="E2073" s="137"/>
      <c r="F2073" s="137" t="s">
        <v>320</v>
      </c>
      <c r="G2073" s="137" t="s">
        <v>321</v>
      </c>
      <c r="H2073" s="137" t="s">
        <v>322</v>
      </c>
      <c r="I2073" s="138" t="s">
        <v>314</v>
      </c>
    </row>
    <row r="2074" spans="2:15" ht="78.75" customHeight="1" x14ac:dyDescent="0.25">
      <c r="B2074" s="436" t="s">
        <v>590</v>
      </c>
      <c r="C2074" s="437"/>
      <c r="D2074" s="438"/>
      <c r="E2074" s="163"/>
      <c r="F2074" s="161" t="s">
        <v>27</v>
      </c>
      <c r="G2074" s="160">
        <f>4608265-2844588+1+2363017-2281275+6608683-4824123+540000+2212920-4802908+1+837825+2995429-4478609+1+772396-50000+2002240+502778+90142+1842992-1681065+1+1182637</f>
        <v>5596760</v>
      </c>
      <c r="H2074" s="142">
        <v>1</v>
      </c>
      <c r="I2074" s="143">
        <f>G2074*H2074</f>
        <v>5596760</v>
      </c>
      <c r="M2074">
        <v>4608265</v>
      </c>
    </row>
    <row r="2075" spans="2:15" ht="18" customHeight="1" thickBot="1" x14ac:dyDescent="0.3">
      <c r="B2075" s="371" t="s">
        <v>318</v>
      </c>
      <c r="C2075" s="372"/>
      <c r="D2075" s="372"/>
      <c r="E2075" s="372"/>
      <c r="F2075" s="372"/>
      <c r="G2075" s="372"/>
      <c r="H2075" s="372"/>
      <c r="I2075" s="144">
        <f>SUM(I2074:I2074)</f>
        <v>5596760</v>
      </c>
      <c r="N2075" s="150"/>
    </row>
    <row r="2076" spans="2:15" ht="6" customHeight="1" thickBot="1" x14ac:dyDescent="0.3">
      <c r="B2076" s="373"/>
      <c r="C2076" s="373"/>
      <c r="D2076" s="373"/>
      <c r="E2076" s="373"/>
      <c r="F2076" s="373"/>
      <c r="G2076" s="373"/>
      <c r="H2076" s="373"/>
      <c r="I2076" s="373"/>
    </row>
    <row r="2077" spans="2:15" s="145" customFormat="1" x14ac:dyDescent="0.25">
      <c r="B2077" s="380" t="s">
        <v>323</v>
      </c>
      <c r="C2077" s="381"/>
      <c r="D2077" s="381"/>
      <c r="E2077" s="381"/>
      <c r="F2077" s="381"/>
      <c r="G2077" s="381"/>
      <c r="H2077" s="381"/>
      <c r="I2077" s="382"/>
      <c r="L2077" s="146"/>
      <c r="M2077" s="146"/>
    </row>
    <row r="2078" spans="2:15" s="145" customFormat="1" x14ac:dyDescent="0.25">
      <c r="B2078" s="377" t="s">
        <v>324</v>
      </c>
      <c r="C2078" s="378"/>
      <c r="D2078" s="379"/>
      <c r="E2078" s="137" t="s">
        <v>325</v>
      </c>
      <c r="F2078" s="137" t="s">
        <v>326</v>
      </c>
      <c r="G2078" s="137" t="s">
        <v>130</v>
      </c>
      <c r="H2078" s="137" t="s">
        <v>327</v>
      </c>
      <c r="I2078" s="138" t="s">
        <v>314</v>
      </c>
      <c r="K2078" s="260"/>
      <c r="N2078" s="183"/>
      <c r="O2078" s="148"/>
    </row>
    <row r="2079" spans="2:15" ht="11.25" customHeight="1" x14ac:dyDescent="0.25">
      <c r="B2079" s="362" t="s">
        <v>711</v>
      </c>
      <c r="C2079" s="363"/>
      <c r="D2079" s="363"/>
      <c r="E2079" s="170">
        <v>1</v>
      </c>
      <c r="F2079" s="164"/>
      <c r="G2079" s="161"/>
      <c r="H2079" s="162">
        <v>37000</v>
      </c>
      <c r="I2079" s="143">
        <f>H2079*E2079</f>
        <v>37000</v>
      </c>
      <c r="K2079" s="281"/>
    </row>
    <row r="2080" spans="2:15" ht="10.5" customHeight="1" thickBot="1" x14ac:dyDescent="0.3">
      <c r="B2080" s="371" t="s">
        <v>318</v>
      </c>
      <c r="C2080" s="372"/>
      <c r="D2080" s="372"/>
      <c r="E2080" s="372"/>
      <c r="F2080" s="372"/>
      <c r="G2080" s="372"/>
      <c r="H2080" s="372"/>
      <c r="I2080" s="144">
        <f>SUM(I2079:I2079)</f>
        <v>37000</v>
      </c>
      <c r="K2080" s="281"/>
      <c r="N2080" s="150"/>
    </row>
    <row r="2081" spans="2:15" ht="6" customHeight="1" thickBot="1" x14ac:dyDescent="0.3">
      <c r="B2081" s="373"/>
      <c r="C2081" s="373"/>
      <c r="D2081" s="373"/>
      <c r="E2081" s="373"/>
      <c r="F2081" s="373"/>
      <c r="G2081" s="373"/>
      <c r="H2081" s="373"/>
      <c r="I2081" s="373"/>
    </row>
    <row r="2082" spans="2:15" s="145" customFormat="1" ht="20.100000000000001" customHeight="1" x14ac:dyDescent="0.25">
      <c r="B2082" s="380" t="s">
        <v>328</v>
      </c>
      <c r="C2082" s="381"/>
      <c r="D2082" s="381"/>
      <c r="E2082" s="381"/>
      <c r="F2082" s="381"/>
      <c r="G2082" s="381"/>
      <c r="H2082" s="381"/>
      <c r="I2082" s="382"/>
      <c r="K2082" s="147">
        <f>+I2089-K2084</f>
        <v>0</v>
      </c>
      <c r="N2082" s="148"/>
      <c r="O2082" s="149"/>
    </row>
    <row r="2083" spans="2:15" s="145" customFormat="1" ht="20.100000000000001" customHeight="1" x14ac:dyDescent="0.25">
      <c r="B2083" s="377" t="s">
        <v>329</v>
      </c>
      <c r="C2083" s="379"/>
      <c r="D2083" s="137" t="s">
        <v>322</v>
      </c>
      <c r="E2083" s="137" t="s">
        <v>330</v>
      </c>
      <c r="F2083" s="137" t="s">
        <v>331</v>
      </c>
      <c r="G2083" s="137" t="s">
        <v>332</v>
      </c>
      <c r="H2083" s="137" t="s">
        <v>313</v>
      </c>
      <c r="I2083" s="138" t="s">
        <v>314</v>
      </c>
      <c r="K2083" s="147"/>
      <c r="O2083" s="179"/>
    </row>
    <row r="2084" spans="2:15" s="151" customFormat="1" ht="9.75" customHeight="1" x14ac:dyDescent="0.25">
      <c r="B2084" s="367" t="s">
        <v>356</v>
      </c>
      <c r="C2084" s="368"/>
      <c r="D2084" s="180">
        <v>1</v>
      </c>
      <c r="E2084" s="141">
        <v>140000</v>
      </c>
      <c r="F2084" s="141">
        <f>+E2084*0.8</f>
        <v>112000</v>
      </c>
      <c r="G2084" s="178">
        <f>D2084*E2084+F2084*D2084</f>
        <v>252000</v>
      </c>
      <c r="H2084" s="184">
        <v>0.8</v>
      </c>
      <c r="I2084" s="143">
        <f>+G2084/H2084</f>
        <v>315000</v>
      </c>
      <c r="J2084" s="145"/>
      <c r="K2084" s="147">
        <v>6490260</v>
      </c>
    </row>
    <row r="2085" spans="2:15" s="151" customFormat="1" ht="11.25" customHeight="1" x14ac:dyDescent="0.25">
      <c r="B2085" s="367" t="s">
        <v>374</v>
      </c>
      <c r="C2085" s="368"/>
      <c r="D2085" s="180">
        <v>1</v>
      </c>
      <c r="E2085" s="141">
        <v>80000</v>
      </c>
      <c r="F2085" s="141">
        <f>+E2085*0.8</f>
        <v>64000</v>
      </c>
      <c r="G2085" s="178">
        <f>D2085*E2085+F2085*D2085</f>
        <v>144000</v>
      </c>
      <c r="H2085" s="184">
        <f>+H2084</f>
        <v>0.8</v>
      </c>
      <c r="I2085" s="143">
        <f>+G2085/H2085</f>
        <v>180000</v>
      </c>
      <c r="J2085" s="145"/>
      <c r="K2085" s="147"/>
      <c r="L2085" s="179"/>
      <c r="M2085" s="179"/>
    </row>
    <row r="2086" spans="2:15" s="145" customFormat="1" ht="10.5" customHeight="1" x14ac:dyDescent="0.25">
      <c r="B2086" s="367" t="s">
        <v>333</v>
      </c>
      <c r="C2086" s="368"/>
      <c r="D2086" s="180">
        <v>2</v>
      </c>
      <c r="E2086" s="141">
        <v>55000</v>
      </c>
      <c r="F2086" s="141">
        <f>+E2086*0.8</f>
        <v>44000</v>
      </c>
      <c r="G2086" s="178">
        <f>D2086*E2086+F2086*D2086</f>
        <v>198000</v>
      </c>
      <c r="H2086" s="184">
        <f>+H2085</f>
        <v>0.8</v>
      </c>
      <c r="I2086" s="143">
        <f>+G2086/H2086</f>
        <v>247500</v>
      </c>
      <c r="K2086" s="147"/>
    </row>
    <row r="2087" spans="2:15" ht="10.5" customHeight="1" thickBot="1" x14ac:dyDescent="0.3">
      <c r="B2087" s="371" t="s">
        <v>318</v>
      </c>
      <c r="C2087" s="372"/>
      <c r="D2087" s="372"/>
      <c r="E2087" s="372"/>
      <c r="F2087" s="372"/>
      <c r="G2087" s="372"/>
      <c r="H2087" s="372"/>
      <c r="I2087" s="144">
        <f>SUM(I2084:I2086)</f>
        <v>742500</v>
      </c>
      <c r="K2087" s="281"/>
      <c r="N2087" s="150"/>
    </row>
    <row r="2088" spans="2:15" ht="6" customHeight="1" thickBot="1" x14ac:dyDescent="0.3">
      <c r="B2088" s="373"/>
      <c r="C2088" s="373"/>
      <c r="D2088" s="373"/>
      <c r="E2088" s="373"/>
      <c r="F2088" s="373"/>
      <c r="G2088" s="373"/>
      <c r="H2088" s="373"/>
      <c r="I2088" s="373"/>
    </row>
    <row r="2089" spans="2:15" ht="10.5" customHeight="1" thickBot="1" x14ac:dyDescent="0.3">
      <c r="B2089" s="374" t="s">
        <v>334</v>
      </c>
      <c r="C2089" s="375"/>
      <c r="D2089" s="375"/>
      <c r="E2089" s="375"/>
      <c r="F2089" s="375"/>
      <c r="G2089" s="375"/>
      <c r="H2089" s="376"/>
      <c r="I2089" s="152">
        <f>ROUND(+I2070+I2075+I2080+I2087,0)</f>
        <v>6490260</v>
      </c>
      <c r="J2089" s="281"/>
      <c r="K2089" s="169"/>
      <c r="L2089" s="181"/>
      <c r="M2089" s="181"/>
      <c r="N2089" s="153"/>
    </row>
    <row r="2090" spans="2:15" ht="6" customHeight="1" thickBot="1" x14ac:dyDescent="0.3">
      <c r="B2090" s="373"/>
      <c r="C2090" s="373"/>
      <c r="D2090" s="373"/>
      <c r="E2090" s="373"/>
      <c r="F2090" s="373"/>
      <c r="G2090" s="373"/>
      <c r="H2090" s="373"/>
      <c r="I2090" s="373"/>
    </row>
    <row r="2091" spans="2:15" ht="8.25" customHeight="1" x14ac:dyDescent="0.25">
      <c r="B2091" s="433" t="s">
        <v>335</v>
      </c>
      <c r="C2091" s="417"/>
      <c r="D2091" s="418"/>
      <c r="E2091" s="418"/>
      <c r="F2091" s="419"/>
      <c r="G2091" s="369" t="s">
        <v>336</v>
      </c>
      <c r="H2091" s="370"/>
      <c r="I2091" s="370"/>
    </row>
    <row r="2092" spans="2:15" ht="33.75" customHeight="1" x14ac:dyDescent="0.25">
      <c r="B2092" s="434"/>
      <c r="C2092" s="420"/>
      <c r="D2092" s="421"/>
      <c r="E2092" s="421"/>
      <c r="F2092" s="422"/>
      <c r="G2092" s="430" t="s">
        <v>337</v>
      </c>
      <c r="H2092" s="431"/>
      <c r="I2092" s="431"/>
      <c r="L2092" s="181"/>
      <c r="M2092" s="181"/>
      <c r="N2092" s="179"/>
    </row>
    <row r="2093" spans="2:15" ht="13.5" customHeight="1" x14ac:dyDescent="0.25">
      <c r="B2093" s="434"/>
      <c r="C2093" s="420"/>
      <c r="D2093" s="421"/>
      <c r="E2093" s="421"/>
      <c r="F2093" s="422"/>
      <c r="G2093" s="154" t="s">
        <v>92</v>
      </c>
      <c r="H2093" s="432" t="s">
        <v>93</v>
      </c>
      <c r="I2093" s="432"/>
    </row>
    <row r="2094" spans="2:15" ht="16.5" customHeight="1" x14ac:dyDescent="0.25">
      <c r="B2094" s="435"/>
      <c r="C2094" s="420"/>
      <c r="D2094" s="421"/>
      <c r="E2094" s="421"/>
      <c r="F2094" s="422"/>
      <c r="G2094" s="155" t="s">
        <v>94</v>
      </c>
      <c r="H2094" s="156" t="s">
        <v>95</v>
      </c>
      <c r="I2094" s="157" t="s">
        <v>96</v>
      </c>
    </row>
    <row r="2095" spans="2:15" x14ac:dyDescent="0.25">
      <c r="B2095" s="268" t="s">
        <v>18</v>
      </c>
      <c r="C2095" s="427"/>
      <c r="D2095" s="428"/>
      <c r="E2095" s="428"/>
      <c r="F2095" s="429"/>
      <c r="G2095" s="155" t="s">
        <v>98</v>
      </c>
      <c r="H2095" s="157" t="s">
        <v>99</v>
      </c>
      <c r="I2095" s="157" t="s">
        <v>100</v>
      </c>
    </row>
    <row r="2096" spans="2:15" x14ac:dyDescent="0.25">
      <c r="B2096" s="269" t="s">
        <v>97</v>
      </c>
      <c r="C2096" s="427"/>
      <c r="D2096" s="428"/>
      <c r="E2096" s="428"/>
      <c r="F2096" s="429"/>
      <c r="G2096" s="154" t="s">
        <v>338</v>
      </c>
      <c r="H2096" s="426"/>
      <c r="I2096" s="426"/>
    </row>
    <row r="2097" spans="2:13" ht="15.75" thickBot="1" x14ac:dyDescent="0.3">
      <c r="B2097" s="270" t="s">
        <v>101</v>
      </c>
      <c r="C2097" s="423"/>
      <c r="D2097" s="424"/>
      <c r="E2097" s="424"/>
      <c r="F2097" s="425"/>
      <c r="G2097" s="154" t="s">
        <v>102</v>
      </c>
      <c r="H2097" s="426" t="s">
        <v>103</v>
      </c>
      <c r="I2097" s="426"/>
    </row>
    <row r="2098" spans="2:13" ht="45" customHeight="1" thickBot="1" x14ac:dyDescent="0.3">
      <c r="B2098" s="401"/>
      <c r="C2098" s="402"/>
      <c r="D2098" s="402"/>
      <c r="E2098" s="402"/>
      <c r="F2098" s="403" t="s">
        <v>0</v>
      </c>
      <c r="G2098" s="403"/>
      <c r="H2098" s="403"/>
      <c r="I2098" s="404"/>
    </row>
    <row r="2099" spans="2:13" ht="6" customHeight="1" thickBot="1" x14ac:dyDescent="0.3">
      <c r="B2099" s="373"/>
      <c r="C2099" s="373"/>
      <c r="D2099" s="373"/>
      <c r="E2099" s="373"/>
      <c r="F2099" s="373"/>
      <c r="G2099" s="373"/>
      <c r="H2099" s="373"/>
      <c r="I2099" s="373"/>
    </row>
    <row r="2100" spans="2:13" ht="10.5" customHeight="1" x14ac:dyDescent="0.25">
      <c r="B2100" s="405" t="s">
        <v>294</v>
      </c>
      <c r="C2100" s="406"/>
      <c r="D2100" s="407" t="s">
        <v>295</v>
      </c>
      <c r="E2100" s="409" t="s">
        <v>296</v>
      </c>
      <c r="F2100" s="410"/>
      <c r="G2100" s="410"/>
      <c r="H2100" s="410"/>
      <c r="I2100" s="411"/>
    </row>
    <row r="2101" spans="2:13" ht="9" customHeight="1" thickBot="1" x14ac:dyDescent="0.3">
      <c r="B2101" s="415"/>
      <c r="C2101" s="416"/>
      <c r="D2101" s="408"/>
      <c r="E2101" s="412"/>
      <c r="F2101" s="413"/>
      <c r="G2101" s="413"/>
      <c r="H2101" s="413"/>
      <c r="I2101" s="414"/>
    </row>
    <row r="2102" spans="2:13" ht="6" customHeight="1" thickBot="1" x14ac:dyDescent="0.3">
      <c r="B2102" s="373"/>
      <c r="C2102" s="373"/>
      <c r="D2102" s="373"/>
      <c r="E2102" s="373"/>
      <c r="F2102" s="373"/>
      <c r="G2102" s="373"/>
      <c r="H2102" s="373"/>
      <c r="I2102" s="373"/>
    </row>
    <row r="2103" spans="2:13" ht="17.25" customHeight="1" thickBot="1" x14ac:dyDescent="0.3">
      <c r="B2103" s="390" t="s">
        <v>297</v>
      </c>
      <c r="C2103" s="391"/>
      <c r="D2103" s="392"/>
      <c r="E2103" s="393"/>
      <c r="F2103" s="393"/>
      <c r="G2103" s="394"/>
      <c r="H2103" s="127" t="s">
        <v>298</v>
      </c>
      <c r="I2103" s="128"/>
    </row>
    <row r="2104" spans="2:13" ht="6" customHeight="1" thickBot="1" x14ac:dyDescent="0.3">
      <c r="B2104" s="373"/>
      <c r="C2104" s="373"/>
      <c r="D2104" s="373"/>
      <c r="E2104" s="373"/>
      <c r="F2104" s="373"/>
      <c r="G2104" s="373"/>
      <c r="H2104" s="373"/>
      <c r="I2104" s="373"/>
    </row>
    <row r="2105" spans="2:13" ht="19.5" customHeight="1" x14ac:dyDescent="0.25">
      <c r="B2105" s="261" t="s">
        <v>299</v>
      </c>
      <c r="C2105" s="129" t="s">
        <v>300</v>
      </c>
      <c r="D2105" s="130" t="s">
        <v>301</v>
      </c>
      <c r="E2105" s="130" t="s">
        <v>302</v>
      </c>
      <c r="F2105" s="398" t="s">
        <v>303</v>
      </c>
      <c r="G2105" s="399"/>
      <c r="H2105" s="400"/>
      <c r="I2105" s="131" t="s">
        <v>304</v>
      </c>
    </row>
    <row r="2106" spans="2:13" ht="11.25" customHeight="1" x14ac:dyDescent="0.25">
      <c r="B2106" s="262"/>
      <c r="C2106" s="132"/>
      <c r="D2106" s="132" t="s">
        <v>305</v>
      </c>
      <c r="E2106" s="132" t="s">
        <v>306</v>
      </c>
      <c r="F2106" s="395" t="s">
        <v>339</v>
      </c>
      <c r="G2106" s="396"/>
      <c r="H2106" s="397"/>
      <c r="I2106" s="133"/>
    </row>
    <row r="2107" spans="2:13" ht="28.5" customHeight="1" x14ac:dyDescent="0.25">
      <c r="B2107" s="263" t="s">
        <v>307</v>
      </c>
      <c r="C2107" s="383" t="s">
        <v>414</v>
      </c>
      <c r="D2107" s="384"/>
      <c r="E2107" s="384"/>
      <c r="F2107" s="384"/>
      <c r="G2107" s="384"/>
      <c r="H2107" s="384"/>
      <c r="I2107" s="385"/>
    </row>
    <row r="2108" spans="2:13" ht="10.5" customHeight="1" x14ac:dyDescent="0.25">
      <c r="B2108" s="264" t="s">
        <v>129</v>
      </c>
      <c r="C2108" s="388" t="s">
        <v>308</v>
      </c>
      <c r="D2108" s="389"/>
      <c r="E2108" s="389"/>
      <c r="F2108" s="389"/>
      <c r="G2108" s="389"/>
      <c r="H2108" s="389"/>
      <c r="I2108" s="134" t="s">
        <v>130</v>
      </c>
    </row>
    <row r="2109" spans="2:13" ht="50.25" customHeight="1" thickBot="1" x14ac:dyDescent="0.3">
      <c r="B2109" s="265">
        <v>7.1699999999999964</v>
      </c>
      <c r="C2109" s="386" t="s">
        <v>591</v>
      </c>
      <c r="D2109" s="387"/>
      <c r="E2109" s="387"/>
      <c r="F2109" s="387"/>
      <c r="G2109" s="387"/>
      <c r="H2109" s="387"/>
      <c r="I2109" s="135" t="s">
        <v>27</v>
      </c>
    </row>
    <row r="2110" spans="2:13" ht="6" customHeight="1" thickBot="1" x14ac:dyDescent="0.3">
      <c r="B2110" s="373"/>
      <c r="C2110" s="373"/>
      <c r="D2110" s="373"/>
      <c r="E2110" s="373"/>
      <c r="F2110" s="373"/>
      <c r="G2110" s="373"/>
      <c r="H2110" s="373"/>
      <c r="I2110" s="373"/>
    </row>
    <row r="2111" spans="2:13" x14ac:dyDescent="0.25">
      <c r="B2111" s="380" t="s">
        <v>309</v>
      </c>
      <c r="C2111" s="381"/>
      <c r="D2111" s="381"/>
      <c r="E2111" s="381"/>
      <c r="F2111" s="381"/>
      <c r="G2111" s="381"/>
      <c r="H2111" s="381"/>
      <c r="I2111" s="382"/>
      <c r="K2111" s="182"/>
    </row>
    <row r="2112" spans="2:13" ht="11.25" customHeight="1" x14ac:dyDescent="0.25">
      <c r="B2112" s="377" t="s">
        <v>310</v>
      </c>
      <c r="C2112" s="378"/>
      <c r="D2112" s="379"/>
      <c r="E2112" s="136"/>
      <c r="F2112" s="137" t="s">
        <v>311</v>
      </c>
      <c r="G2112" s="137" t="s">
        <v>312</v>
      </c>
      <c r="H2112" s="137" t="s">
        <v>313</v>
      </c>
      <c r="I2112" s="138" t="s">
        <v>314</v>
      </c>
      <c r="L2112" s="139"/>
      <c r="M2112" s="139"/>
    </row>
    <row r="2113" spans="2:15" ht="11.25" customHeight="1" x14ac:dyDescent="0.25">
      <c r="B2113" s="362" t="s">
        <v>315</v>
      </c>
      <c r="C2113" s="363"/>
      <c r="D2113" s="363"/>
      <c r="E2113" s="160"/>
      <c r="F2113" s="161" t="s">
        <v>316</v>
      </c>
      <c r="G2113" s="160">
        <v>5000</v>
      </c>
      <c r="H2113" s="142">
        <v>1</v>
      </c>
      <c r="I2113" s="143">
        <f>G2113*H2113</f>
        <v>5000</v>
      </c>
    </row>
    <row r="2114" spans="2:15" ht="16.5" customHeight="1" x14ac:dyDescent="0.25">
      <c r="B2114" s="362" t="s">
        <v>355</v>
      </c>
      <c r="C2114" s="363"/>
      <c r="D2114" s="363"/>
      <c r="E2114" s="160"/>
      <c r="F2114" s="161" t="s">
        <v>317</v>
      </c>
      <c r="G2114" s="160">
        <v>90000</v>
      </c>
      <c r="H2114" s="142">
        <f>+H2113</f>
        <v>1</v>
      </c>
      <c r="I2114" s="143">
        <f>G2114*H2114</f>
        <v>90000</v>
      </c>
    </row>
    <row r="2115" spans="2:15" ht="10.5" customHeight="1" thickBot="1" x14ac:dyDescent="0.3">
      <c r="B2115" s="371" t="s">
        <v>318</v>
      </c>
      <c r="C2115" s="372"/>
      <c r="D2115" s="372"/>
      <c r="E2115" s="372"/>
      <c r="F2115" s="372"/>
      <c r="G2115" s="372"/>
      <c r="H2115" s="372"/>
      <c r="I2115" s="144">
        <f>SUM(I2113:I2114)</f>
        <v>95000</v>
      </c>
      <c r="N2115" s="150"/>
    </row>
    <row r="2116" spans="2:15" ht="6" customHeight="1" thickBot="1" x14ac:dyDescent="0.3">
      <c r="B2116" s="373"/>
      <c r="C2116" s="373"/>
      <c r="D2116" s="373"/>
      <c r="E2116" s="373"/>
      <c r="F2116" s="373"/>
      <c r="G2116" s="373"/>
      <c r="H2116" s="373"/>
      <c r="I2116" s="373"/>
    </row>
    <row r="2117" spans="2:15" s="145" customFormat="1" x14ac:dyDescent="0.25">
      <c r="B2117" s="380" t="s">
        <v>319</v>
      </c>
      <c r="C2117" s="381"/>
      <c r="D2117" s="381"/>
      <c r="E2117" s="381"/>
      <c r="F2117" s="381"/>
      <c r="G2117" s="381"/>
      <c r="H2117" s="381"/>
      <c r="I2117" s="382"/>
    </row>
    <row r="2118" spans="2:15" s="145" customFormat="1" ht="15.75" customHeight="1" x14ac:dyDescent="0.25">
      <c r="B2118" s="377" t="s">
        <v>310</v>
      </c>
      <c r="C2118" s="378"/>
      <c r="D2118" s="379"/>
      <c r="E2118" s="137"/>
      <c r="F2118" s="137" t="s">
        <v>320</v>
      </c>
      <c r="G2118" s="137" t="s">
        <v>321</v>
      </c>
      <c r="H2118" s="137" t="s">
        <v>322</v>
      </c>
      <c r="I2118" s="138" t="s">
        <v>314</v>
      </c>
    </row>
    <row r="2119" spans="2:15" ht="78.75" customHeight="1" x14ac:dyDescent="0.25">
      <c r="B2119" s="436" t="s">
        <v>591</v>
      </c>
      <c r="C2119" s="437"/>
      <c r="D2119" s="438"/>
      <c r="E2119" s="163"/>
      <c r="F2119" s="161" t="s">
        <v>27</v>
      </c>
      <c r="G2119" s="160">
        <f>4608265-2844588+1+2363017-2281275+6608683-4824123+540000+2212920-4802908+1+837825+2995429-4478609+1+772396-50000+2002240+502778+90142+1842992-1681065+1-216428</f>
        <v>4197695</v>
      </c>
      <c r="H2119" s="142">
        <v>1</v>
      </c>
      <c r="I2119" s="143">
        <f>G2119*H2119</f>
        <v>4197695</v>
      </c>
      <c r="M2119">
        <v>4608265</v>
      </c>
    </row>
    <row r="2120" spans="2:15" ht="18" customHeight="1" thickBot="1" x14ac:dyDescent="0.3">
      <c r="B2120" s="371" t="s">
        <v>318</v>
      </c>
      <c r="C2120" s="372"/>
      <c r="D2120" s="372"/>
      <c r="E2120" s="372"/>
      <c r="F2120" s="372"/>
      <c r="G2120" s="372"/>
      <c r="H2120" s="372"/>
      <c r="I2120" s="144">
        <f>SUM(I2119:I2119)</f>
        <v>4197695</v>
      </c>
      <c r="N2120" s="150"/>
    </row>
    <row r="2121" spans="2:15" ht="6" customHeight="1" thickBot="1" x14ac:dyDescent="0.3">
      <c r="B2121" s="373"/>
      <c r="C2121" s="373"/>
      <c r="D2121" s="373"/>
      <c r="E2121" s="373"/>
      <c r="F2121" s="373"/>
      <c r="G2121" s="373"/>
      <c r="H2121" s="373"/>
      <c r="I2121" s="373"/>
    </row>
    <row r="2122" spans="2:15" s="145" customFormat="1" x14ac:dyDescent="0.25">
      <c r="B2122" s="380" t="s">
        <v>323</v>
      </c>
      <c r="C2122" s="381"/>
      <c r="D2122" s="381"/>
      <c r="E2122" s="381"/>
      <c r="F2122" s="381"/>
      <c r="G2122" s="381"/>
      <c r="H2122" s="381"/>
      <c r="I2122" s="382"/>
      <c r="L2122" s="146"/>
      <c r="M2122" s="146"/>
    </row>
    <row r="2123" spans="2:15" s="145" customFormat="1" x14ac:dyDescent="0.25">
      <c r="B2123" s="377" t="s">
        <v>324</v>
      </c>
      <c r="C2123" s="378"/>
      <c r="D2123" s="379"/>
      <c r="E2123" s="137" t="s">
        <v>325</v>
      </c>
      <c r="F2123" s="137" t="s">
        <v>326</v>
      </c>
      <c r="G2123" s="137" t="s">
        <v>130</v>
      </c>
      <c r="H2123" s="137" t="s">
        <v>327</v>
      </c>
      <c r="I2123" s="138" t="s">
        <v>314</v>
      </c>
      <c r="K2123" s="260"/>
      <c r="N2123" s="183"/>
      <c r="O2123" s="148"/>
    </row>
    <row r="2124" spans="2:15" ht="11.25" customHeight="1" x14ac:dyDescent="0.25">
      <c r="B2124" s="362" t="s">
        <v>711</v>
      </c>
      <c r="C2124" s="363"/>
      <c r="D2124" s="363"/>
      <c r="E2124" s="170">
        <v>1</v>
      </c>
      <c r="F2124" s="164"/>
      <c r="G2124" s="161"/>
      <c r="H2124" s="162">
        <v>35000</v>
      </c>
      <c r="I2124" s="143">
        <f>H2124*E2124</f>
        <v>35000</v>
      </c>
      <c r="K2124" s="281"/>
    </row>
    <row r="2125" spans="2:15" ht="10.5" customHeight="1" thickBot="1" x14ac:dyDescent="0.3">
      <c r="B2125" s="371" t="s">
        <v>318</v>
      </c>
      <c r="C2125" s="372"/>
      <c r="D2125" s="372"/>
      <c r="E2125" s="372"/>
      <c r="F2125" s="372"/>
      <c r="G2125" s="372"/>
      <c r="H2125" s="372"/>
      <c r="I2125" s="144">
        <f>SUM(I2124:I2124)</f>
        <v>35000</v>
      </c>
      <c r="K2125" s="281">
        <f>+K2127-I2134</f>
        <v>0</v>
      </c>
      <c r="N2125" s="150"/>
    </row>
    <row r="2126" spans="2:15" ht="6" customHeight="1" thickBot="1" x14ac:dyDescent="0.3">
      <c r="B2126" s="373"/>
      <c r="C2126" s="373"/>
      <c r="D2126" s="373"/>
      <c r="E2126" s="373"/>
      <c r="F2126" s="373"/>
      <c r="G2126" s="373"/>
      <c r="H2126" s="373"/>
      <c r="I2126" s="373"/>
    </row>
    <row r="2127" spans="2:15" s="145" customFormat="1" ht="20.100000000000001" customHeight="1" x14ac:dyDescent="0.25">
      <c r="B2127" s="380" t="s">
        <v>328</v>
      </c>
      <c r="C2127" s="381"/>
      <c r="D2127" s="381"/>
      <c r="E2127" s="381"/>
      <c r="F2127" s="381"/>
      <c r="G2127" s="381"/>
      <c r="H2127" s="381"/>
      <c r="I2127" s="382"/>
      <c r="K2127" s="147">
        <v>4867695</v>
      </c>
      <c r="N2127" s="148"/>
      <c r="O2127" s="149"/>
    </row>
    <row r="2128" spans="2:15" s="145" customFormat="1" ht="20.100000000000001" customHeight="1" x14ac:dyDescent="0.25">
      <c r="B2128" s="377" t="s">
        <v>329</v>
      </c>
      <c r="C2128" s="379"/>
      <c r="D2128" s="137" t="s">
        <v>322</v>
      </c>
      <c r="E2128" s="137" t="s">
        <v>330</v>
      </c>
      <c r="F2128" s="137" t="s">
        <v>331</v>
      </c>
      <c r="G2128" s="137" t="s">
        <v>332</v>
      </c>
      <c r="H2128" s="137" t="s">
        <v>313</v>
      </c>
      <c r="I2128" s="138" t="s">
        <v>314</v>
      </c>
      <c r="K2128" s="147"/>
      <c r="O2128" s="179"/>
    </row>
    <row r="2129" spans="2:14" s="151" customFormat="1" ht="9.75" customHeight="1" x14ac:dyDescent="0.25">
      <c r="B2129" s="367" t="s">
        <v>356</v>
      </c>
      <c r="C2129" s="368"/>
      <c r="D2129" s="180">
        <v>1</v>
      </c>
      <c r="E2129" s="141">
        <v>140000</v>
      </c>
      <c r="F2129" s="141">
        <f>+E2129*0.8</f>
        <v>112000</v>
      </c>
      <c r="G2129" s="178">
        <f>D2129*E2129+F2129*D2129</f>
        <v>252000</v>
      </c>
      <c r="H2129" s="184">
        <v>1.1000000000000001</v>
      </c>
      <c r="I2129" s="143">
        <f>+G2129/H2129</f>
        <v>229090.90909090906</v>
      </c>
      <c r="J2129" s="145"/>
      <c r="K2129" s="147"/>
    </row>
    <row r="2130" spans="2:14" s="151" customFormat="1" ht="11.25" customHeight="1" x14ac:dyDescent="0.25">
      <c r="B2130" s="367" t="s">
        <v>374</v>
      </c>
      <c r="C2130" s="368"/>
      <c r="D2130" s="180">
        <v>1</v>
      </c>
      <c r="E2130" s="141">
        <v>80000</v>
      </c>
      <c r="F2130" s="141">
        <f>+E2130*0.8</f>
        <v>64000</v>
      </c>
      <c r="G2130" s="178">
        <f>D2130*E2130+F2130*D2130</f>
        <v>144000</v>
      </c>
      <c r="H2130" s="184">
        <f>+H2129</f>
        <v>1.1000000000000001</v>
      </c>
      <c r="I2130" s="143">
        <f>+G2130/H2130</f>
        <v>130909.0909090909</v>
      </c>
      <c r="J2130" s="145"/>
      <c r="K2130" s="147"/>
      <c r="L2130" s="179"/>
      <c r="M2130" s="179"/>
    </row>
    <row r="2131" spans="2:14" s="145" customFormat="1" ht="10.5" customHeight="1" x14ac:dyDescent="0.25">
      <c r="B2131" s="367" t="s">
        <v>333</v>
      </c>
      <c r="C2131" s="368"/>
      <c r="D2131" s="180">
        <v>2</v>
      </c>
      <c r="E2131" s="141">
        <v>55000</v>
      </c>
      <c r="F2131" s="141">
        <f>+E2131*0.8</f>
        <v>44000</v>
      </c>
      <c r="G2131" s="178">
        <f>D2131*E2131+F2131*D2131</f>
        <v>198000</v>
      </c>
      <c r="H2131" s="184">
        <f>+H2130</f>
        <v>1.1000000000000001</v>
      </c>
      <c r="I2131" s="143">
        <f>+G2131/H2131</f>
        <v>180000</v>
      </c>
      <c r="K2131" s="147"/>
    </row>
    <row r="2132" spans="2:14" ht="10.5" customHeight="1" thickBot="1" x14ac:dyDescent="0.3">
      <c r="B2132" s="371" t="s">
        <v>318</v>
      </c>
      <c r="C2132" s="372"/>
      <c r="D2132" s="372"/>
      <c r="E2132" s="372"/>
      <c r="F2132" s="372"/>
      <c r="G2132" s="372"/>
      <c r="H2132" s="372"/>
      <c r="I2132" s="144">
        <f>SUM(I2129:I2131)</f>
        <v>540000</v>
      </c>
      <c r="K2132" s="281"/>
      <c r="N2132" s="150"/>
    </row>
    <row r="2133" spans="2:14" ht="6" customHeight="1" thickBot="1" x14ac:dyDescent="0.3">
      <c r="B2133" s="373"/>
      <c r="C2133" s="373"/>
      <c r="D2133" s="373"/>
      <c r="E2133" s="373"/>
      <c r="F2133" s="373"/>
      <c r="G2133" s="373"/>
      <c r="H2133" s="373"/>
      <c r="I2133" s="373"/>
    </row>
    <row r="2134" spans="2:14" ht="10.5" customHeight="1" thickBot="1" x14ac:dyDescent="0.3">
      <c r="B2134" s="374" t="s">
        <v>334</v>
      </c>
      <c r="C2134" s="375"/>
      <c r="D2134" s="375"/>
      <c r="E2134" s="375"/>
      <c r="F2134" s="375"/>
      <c r="G2134" s="375"/>
      <c r="H2134" s="376"/>
      <c r="I2134" s="152">
        <f>ROUND(+I2115+I2120+I2125+I2132,0)</f>
        <v>4867695</v>
      </c>
      <c r="J2134" s="281"/>
      <c r="K2134" s="169"/>
      <c r="L2134" s="181"/>
      <c r="M2134" s="181"/>
      <c r="N2134" s="153"/>
    </row>
    <row r="2135" spans="2:14" ht="6" customHeight="1" thickBot="1" x14ac:dyDescent="0.3">
      <c r="B2135" s="373"/>
      <c r="C2135" s="373"/>
      <c r="D2135" s="373"/>
      <c r="E2135" s="373"/>
      <c r="F2135" s="373"/>
      <c r="G2135" s="373"/>
      <c r="H2135" s="373"/>
      <c r="I2135" s="373"/>
    </row>
    <row r="2136" spans="2:14" ht="8.25" customHeight="1" x14ac:dyDescent="0.25">
      <c r="B2136" s="433" t="s">
        <v>335</v>
      </c>
      <c r="C2136" s="417"/>
      <c r="D2136" s="418"/>
      <c r="E2136" s="418"/>
      <c r="F2136" s="419"/>
      <c r="G2136" s="369" t="s">
        <v>336</v>
      </c>
      <c r="H2136" s="370"/>
      <c r="I2136" s="370"/>
    </row>
    <row r="2137" spans="2:14" ht="33.75" customHeight="1" x14ac:dyDescent="0.25">
      <c r="B2137" s="434"/>
      <c r="C2137" s="420"/>
      <c r="D2137" s="421"/>
      <c r="E2137" s="421"/>
      <c r="F2137" s="422"/>
      <c r="G2137" s="430" t="s">
        <v>337</v>
      </c>
      <c r="H2137" s="431"/>
      <c r="I2137" s="431"/>
      <c r="L2137" s="181"/>
      <c r="M2137" s="181"/>
      <c r="N2137" s="179"/>
    </row>
    <row r="2138" spans="2:14" ht="13.5" customHeight="1" x14ac:dyDescent="0.25">
      <c r="B2138" s="434"/>
      <c r="C2138" s="420"/>
      <c r="D2138" s="421"/>
      <c r="E2138" s="421"/>
      <c r="F2138" s="422"/>
      <c r="G2138" s="154" t="s">
        <v>92</v>
      </c>
      <c r="H2138" s="432" t="s">
        <v>93</v>
      </c>
      <c r="I2138" s="432"/>
    </row>
    <row r="2139" spans="2:14" ht="16.5" customHeight="1" x14ac:dyDescent="0.25">
      <c r="B2139" s="435"/>
      <c r="C2139" s="420"/>
      <c r="D2139" s="421"/>
      <c r="E2139" s="421"/>
      <c r="F2139" s="422"/>
      <c r="G2139" s="155" t="s">
        <v>94</v>
      </c>
      <c r="H2139" s="156" t="s">
        <v>95</v>
      </c>
      <c r="I2139" s="157" t="s">
        <v>96</v>
      </c>
    </row>
    <row r="2140" spans="2:14" x14ac:dyDescent="0.25">
      <c r="B2140" s="268" t="s">
        <v>18</v>
      </c>
      <c r="C2140" s="427"/>
      <c r="D2140" s="428"/>
      <c r="E2140" s="428"/>
      <c r="F2140" s="429"/>
      <c r="G2140" s="155" t="s">
        <v>98</v>
      </c>
      <c r="H2140" s="157" t="s">
        <v>99</v>
      </c>
      <c r="I2140" s="157" t="s">
        <v>100</v>
      </c>
    </row>
    <row r="2141" spans="2:14" x14ac:dyDescent="0.25">
      <c r="B2141" s="269" t="s">
        <v>97</v>
      </c>
      <c r="C2141" s="427"/>
      <c r="D2141" s="428"/>
      <c r="E2141" s="428"/>
      <c r="F2141" s="429"/>
      <c r="G2141" s="154" t="s">
        <v>338</v>
      </c>
      <c r="H2141" s="426"/>
      <c r="I2141" s="426"/>
    </row>
    <row r="2142" spans="2:14" ht="15.75" thickBot="1" x14ac:dyDescent="0.3">
      <c r="B2142" s="270" t="s">
        <v>101</v>
      </c>
      <c r="C2142" s="423"/>
      <c r="D2142" s="424"/>
      <c r="E2142" s="424"/>
      <c r="F2142" s="425"/>
      <c r="G2142" s="154" t="s">
        <v>102</v>
      </c>
      <c r="H2142" s="426" t="s">
        <v>103</v>
      </c>
      <c r="I2142" s="426"/>
    </row>
    <row r="2143" spans="2:14" ht="6" customHeight="1" thickBot="1" x14ac:dyDescent="0.3">
      <c r="B2143" s="373"/>
      <c r="C2143" s="373"/>
      <c r="D2143" s="373"/>
      <c r="E2143" s="373"/>
      <c r="F2143" s="373"/>
      <c r="G2143" s="373"/>
      <c r="H2143" s="373"/>
      <c r="I2143" s="373"/>
    </row>
    <row r="2144" spans="2:14" ht="45" customHeight="1" thickBot="1" x14ac:dyDescent="0.3">
      <c r="B2144" s="401"/>
      <c r="C2144" s="402"/>
      <c r="D2144" s="402"/>
      <c r="E2144" s="402"/>
      <c r="F2144" s="403" t="s">
        <v>0</v>
      </c>
      <c r="G2144" s="403"/>
      <c r="H2144" s="403"/>
      <c r="I2144" s="404"/>
    </row>
    <row r="2145" spans="2:13" ht="6" customHeight="1" thickBot="1" x14ac:dyDescent="0.3">
      <c r="B2145" s="373"/>
      <c r="C2145" s="373"/>
      <c r="D2145" s="373"/>
      <c r="E2145" s="373"/>
      <c r="F2145" s="373"/>
      <c r="G2145" s="373"/>
      <c r="H2145" s="373"/>
      <c r="I2145" s="373"/>
    </row>
    <row r="2146" spans="2:13" ht="10.5" customHeight="1" x14ac:dyDescent="0.25">
      <c r="B2146" s="405" t="s">
        <v>294</v>
      </c>
      <c r="C2146" s="406"/>
      <c r="D2146" s="407" t="s">
        <v>295</v>
      </c>
      <c r="E2146" s="409" t="s">
        <v>296</v>
      </c>
      <c r="F2146" s="410"/>
      <c r="G2146" s="410"/>
      <c r="H2146" s="410"/>
      <c r="I2146" s="411"/>
    </row>
    <row r="2147" spans="2:13" ht="9" customHeight="1" thickBot="1" x14ac:dyDescent="0.3">
      <c r="B2147" s="415"/>
      <c r="C2147" s="416"/>
      <c r="D2147" s="408"/>
      <c r="E2147" s="412"/>
      <c r="F2147" s="413"/>
      <c r="G2147" s="413"/>
      <c r="H2147" s="413"/>
      <c r="I2147" s="414"/>
    </row>
    <row r="2148" spans="2:13" ht="6" customHeight="1" thickBot="1" x14ac:dyDescent="0.3">
      <c r="B2148" s="373"/>
      <c r="C2148" s="373"/>
      <c r="D2148" s="373"/>
      <c r="E2148" s="373"/>
      <c r="F2148" s="373"/>
      <c r="G2148" s="373"/>
      <c r="H2148" s="373"/>
      <c r="I2148" s="373"/>
    </row>
    <row r="2149" spans="2:13" ht="17.25" customHeight="1" thickBot="1" x14ac:dyDescent="0.3">
      <c r="B2149" s="390" t="s">
        <v>297</v>
      </c>
      <c r="C2149" s="391"/>
      <c r="D2149" s="392"/>
      <c r="E2149" s="393"/>
      <c r="F2149" s="393"/>
      <c r="G2149" s="394"/>
      <c r="H2149" s="127" t="s">
        <v>298</v>
      </c>
      <c r="I2149" s="128"/>
    </row>
    <row r="2150" spans="2:13" ht="6" customHeight="1" thickBot="1" x14ac:dyDescent="0.3">
      <c r="B2150" s="373"/>
      <c r="C2150" s="373"/>
      <c r="D2150" s="373"/>
      <c r="E2150" s="373"/>
      <c r="F2150" s="373"/>
      <c r="G2150" s="373"/>
      <c r="H2150" s="373"/>
      <c r="I2150" s="373"/>
    </row>
    <row r="2151" spans="2:13" ht="19.5" customHeight="1" x14ac:dyDescent="0.25">
      <c r="B2151" s="261" t="s">
        <v>299</v>
      </c>
      <c r="C2151" s="129" t="s">
        <v>300</v>
      </c>
      <c r="D2151" s="130" t="s">
        <v>301</v>
      </c>
      <c r="E2151" s="130" t="s">
        <v>302</v>
      </c>
      <c r="F2151" s="398" t="s">
        <v>303</v>
      </c>
      <c r="G2151" s="399"/>
      <c r="H2151" s="400"/>
      <c r="I2151" s="131" t="s">
        <v>304</v>
      </c>
    </row>
    <row r="2152" spans="2:13" ht="11.25" customHeight="1" x14ac:dyDescent="0.25">
      <c r="B2152" s="262"/>
      <c r="C2152" s="132"/>
      <c r="D2152" s="132" t="s">
        <v>305</v>
      </c>
      <c r="E2152" s="132" t="s">
        <v>306</v>
      </c>
      <c r="F2152" s="395" t="s">
        <v>339</v>
      </c>
      <c r="G2152" s="396"/>
      <c r="H2152" s="397"/>
      <c r="I2152" s="133"/>
    </row>
    <row r="2153" spans="2:13" ht="28.5" customHeight="1" x14ac:dyDescent="0.25">
      <c r="B2153" s="263" t="s">
        <v>307</v>
      </c>
      <c r="C2153" s="383" t="s">
        <v>414</v>
      </c>
      <c r="D2153" s="384"/>
      <c r="E2153" s="384"/>
      <c r="F2153" s="384"/>
      <c r="G2153" s="384"/>
      <c r="H2153" s="384"/>
      <c r="I2153" s="385"/>
    </row>
    <row r="2154" spans="2:13" ht="10.5" customHeight="1" x14ac:dyDescent="0.25">
      <c r="B2154" s="264" t="s">
        <v>129</v>
      </c>
      <c r="C2154" s="388" t="s">
        <v>308</v>
      </c>
      <c r="D2154" s="389"/>
      <c r="E2154" s="389"/>
      <c r="F2154" s="389"/>
      <c r="G2154" s="389"/>
      <c r="H2154" s="389"/>
      <c r="I2154" s="134" t="s">
        <v>130</v>
      </c>
    </row>
    <row r="2155" spans="2:13" ht="50.25" customHeight="1" thickBot="1" x14ac:dyDescent="0.3">
      <c r="B2155" s="265">
        <v>7.1799999999999962</v>
      </c>
      <c r="C2155" s="386" t="s">
        <v>592</v>
      </c>
      <c r="D2155" s="387"/>
      <c r="E2155" s="387"/>
      <c r="F2155" s="387"/>
      <c r="G2155" s="387"/>
      <c r="H2155" s="387"/>
      <c r="I2155" s="135" t="s">
        <v>27</v>
      </c>
    </row>
    <row r="2156" spans="2:13" ht="6" customHeight="1" thickBot="1" x14ac:dyDescent="0.3">
      <c r="B2156" s="373"/>
      <c r="C2156" s="373"/>
      <c r="D2156" s="373"/>
      <c r="E2156" s="373"/>
      <c r="F2156" s="373"/>
      <c r="G2156" s="373"/>
      <c r="H2156" s="373"/>
      <c r="I2156" s="373"/>
    </row>
    <row r="2157" spans="2:13" x14ac:dyDescent="0.25">
      <c r="B2157" s="380" t="s">
        <v>309</v>
      </c>
      <c r="C2157" s="381"/>
      <c r="D2157" s="381"/>
      <c r="E2157" s="381"/>
      <c r="F2157" s="381"/>
      <c r="G2157" s="381"/>
      <c r="H2157" s="381"/>
      <c r="I2157" s="382"/>
      <c r="K2157" s="182"/>
    </row>
    <row r="2158" spans="2:13" ht="11.25" customHeight="1" x14ac:dyDescent="0.25">
      <c r="B2158" s="377" t="s">
        <v>310</v>
      </c>
      <c r="C2158" s="378"/>
      <c r="D2158" s="379"/>
      <c r="E2158" s="136"/>
      <c r="F2158" s="137" t="s">
        <v>311</v>
      </c>
      <c r="G2158" s="137" t="s">
        <v>312</v>
      </c>
      <c r="H2158" s="137" t="s">
        <v>313</v>
      </c>
      <c r="I2158" s="138" t="s">
        <v>314</v>
      </c>
      <c r="L2158" s="139"/>
      <c r="M2158" s="139"/>
    </row>
    <row r="2159" spans="2:13" ht="11.25" customHeight="1" x14ac:dyDescent="0.25">
      <c r="B2159" s="362" t="s">
        <v>315</v>
      </c>
      <c r="C2159" s="363"/>
      <c r="D2159" s="363"/>
      <c r="E2159" s="160"/>
      <c r="F2159" s="161" t="s">
        <v>316</v>
      </c>
      <c r="G2159" s="160">
        <v>5000</v>
      </c>
      <c r="H2159" s="142">
        <v>0.8</v>
      </c>
      <c r="I2159" s="143">
        <f>G2159*H2159</f>
        <v>4000</v>
      </c>
    </row>
    <row r="2160" spans="2:13" ht="16.5" customHeight="1" x14ac:dyDescent="0.25">
      <c r="B2160" s="362" t="s">
        <v>355</v>
      </c>
      <c r="C2160" s="363"/>
      <c r="D2160" s="363"/>
      <c r="E2160" s="160"/>
      <c r="F2160" s="161" t="s">
        <v>317</v>
      </c>
      <c r="G2160" s="160">
        <v>90000</v>
      </c>
      <c r="H2160" s="142">
        <f>+H2159</f>
        <v>0.8</v>
      </c>
      <c r="I2160" s="143">
        <f>G2160*H2160</f>
        <v>72000</v>
      </c>
    </row>
    <row r="2161" spans="2:15" ht="10.5" customHeight="1" thickBot="1" x14ac:dyDescent="0.3">
      <c r="B2161" s="371" t="s">
        <v>318</v>
      </c>
      <c r="C2161" s="372"/>
      <c r="D2161" s="372"/>
      <c r="E2161" s="372"/>
      <c r="F2161" s="372"/>
      <c r="G2161" s="372"/>
      <c r="H2161" s="372"/>
      <c r="I2161" s="144">
        <f>SUM(I2159:I2160)</f>
        <v>76000</v>
      </c>
      <c r="N2161" s="150"/>
    </row>
    <row r="2162" spans="2:15" ht="6" customHeight="1" thickBot="1" x14ac:dyDescent="0.3">
      <c r="B2162" s="373"/>
      <c r="C2162" s="373"/>
      <c r="D2162" s="373"/>
      <c r="E2162" s="373"/>
      <c r="F2162" s="373"/>
      <c r="G2162" s="373"/>
      <c r="H2162" s="373"/>
      <c r="I2162" s="373"/>
    </row>
    <row r="2163" spans="2:15" s="145" customFormat="1" x14ac:dyDescent="0.25">
      <c r="B2163" s="380" t="s">
        <v>319</v>
      </c>
      <c r="C2163" s="381"/>
      <c r="D2163" s="381"/>
      <c r="E2163" s="381"/>
      <c r="F2163" s="381"/>
      <c r="G2163" s="381"/>
      <c r="H2163" s="381"/>
      <c r="I2163" s="382"/>
    </row>
    <row r="2164" spans="2:15" s="145" customFormat="1" ht="15.75" customHeight="1" x14ac:dyDescent="0.25">
      <c r="B2164" s="377" t="s">
        <v>310</v>
      </c>
      <c r="C2164" s="378"/>
      <c r="D2164" s="379"/>
      <c r="E2164" s="137"/>
      <c r="F2164" s="137" t="s">
        <v>320</v>
      </c>
      <c r="G2164" s="137" t="s">
        <v>321</v>
      </c>
      <c r="H2164" s="137" t="s">
        <v>322</v>
      </c>
      <c r="I2164" s="138" t="s">
        <v>314</v>
      </c>
    </row>
    <row r="2165" spans="2:15" ht="78.75" customHeight="1" x14ac:dyDescent="0.25">
      <c r="B2165" s="436" t="s">
        <v>592</v>
      </c>
      <c r="C2165" s="437"/>
      <c r="D2165" s="438"/>
      <c r="E2165" s="163"/>
      <c r="F2165" s="161" t="s">
        <v>27</v>
      </c>
      <c r="G2165" s="160">
        <f>4608265-2844588+1+2363017-2281275+6608683-4824123+540000+2212920-4802908+1+837825+2995429-4478609+1+772396-50000+2002240+502778+90142+1842992-1681065+1-216428-1639850</f>
        <v>2557845</v>
      </c>
      <c r="H2165" s="142">
        <v>1</v>
      </c>
      <c r="I2165" s="143">
        <f>G2165*H2165</f>
        <v>2557845</v>
      </c>
      <c r="M2165">
        <v>4608265</v>
      </c>
    </row>
    <row r="2166" spans="2:15" ht="18" customHeight="1" thickBot="1" x14ac:dyDescent="0.3">
      <c r="B2166" s="371" t="s">
        <v>318</v>
      </c>
      <c r="C2166" s="372"/>
      <c r="D2166" s="372"/>
      <c r="E2166" s="372"/>
      <c r="F2166" s="372"/>
      <c r="G2166" s="372"/>
      <c r="H2166" s="372"/>
      <c r="I2166" s="144">
        <f>SUM(I2165:I2165)</f>
        <v>2557845</v>
      </c>
      <c r="N2166" s="150"/>
    </row>
    <row r="2167" spans="2:15" ht="6" customHeight="1" thickBot="1" x14ac:dyDescent="0.3">
      <c r="B2167" s="373"/>
      <c r="C2167" s="373"/>
      <c r="D2167" s="373"/>
      <c r="E2167" s="373"/>
      <c r="F2167" s="373"/>
      <c r="G2167" s="373"/>
      <c r="H2167" s="373"/>
      <c r="I2167" s="373"/>
    </row>
    <row r="2168" spans="2:15" s="145" customFormat="1" x14ac:dyDescent="0.25">
      <c r="B2168" s="380" t="s">
        <v>323</v>
      </c>
      <c r="C2168" s="381"/>
      <c r="D2168" s="381"/>
      <c r="E2168" s="381"/>
      <c r="F2168" s="381"/>
      <c r="G2168" s="381"/>
      <c r="H2168" s="381"/>
      <c r="I2168" s="382"/>
      <c r="L2168" s="146"/>
      <c r="M2168" s="146"/>
    </row>
    <row r="2169" spans="2:15" s="145" customFormat="1" x14ac:dyDescent="0.25">
      <c r="B2169" s="377" t="s">
        <v>324</v>
      </c>
      <c r="C2169" s="378"/>
      <c r="D2169" s="379"/>
      <c r="E2169" s="137" t="s">
        <v>325</v>
      </c>
      <c r="F2169" s="137" t="s">
        <v>326</v>
      </c>
      <c r="G2169" s="137" t="s">
        <v>130</v>
      </c>
      <c r="H2169" s="137" t="s">
        <v>327</v>
      </c>
      <c r="I2169" s="138" t="s">
        <v>314</v>
      </c>
      <c r="K2169" s="260"/>
      <c r="N2169" s="183"/>
      <c r="O2169" s="148"/>
    </row>
    <row r="2170" spans="2:15" ht="11.25" customHeight="1" x14ac:dyDescent="0.25">
      <c r="B2170" s="362" t="s">
        <v>711</v>
      </c>
      <c r="C2170" s="363"/>
      <c r="D2170" s="363"/>
      <c r="E2170" s="170">
        <v>1</v>
      </c>
      <c r="F2170" s="164"/>
      <c r="G2170" s="161"/>
      <c r="H2170" s="162">
        <v>35000</v>
      </c>
      <c r="I2170" s="143">
        <f>H2170*E2170</f>
        <v>35000</v>
      </c>
      <c r="K2170" s="281"/>
    </row>
    <row r="2171" spans="2:15" ht="10.5" customHeight="1" thickBot="1" x14ac:dyDescent="0.3">
      <c r="B2171" s="371" t="s">
        <v>318</v>
      </c>
      <c r="C2171" s="372"/>
      <c r="D2171" s="372"/>
      <c r="E2171" s="372"/>
      <c r="F2171" s="372"/>
      <c r="G2171" s="372"/>
      <c r="H2171" s="372"/>
      <c r="I2171" s="144">
        <f>SUM(I2170:I2170)</f>
        <v>35000</v>
      </c>
      <c r="K2171" s="281"/>
      <c r="N2171" s="150"/>
    </row>
    <row r="2172" spans="2:15" ht="6" customHeight="1" thickBot="1" x14ac:dyDescent="0.3">
      <c r="B2172" s="373"/>
      <c r="C2172" s="373"/>
      <c r="D2172" s="373"/>
      <c r="E2172" s="373"/>
      <c r="F2172" s="373"/>
      <c r="G2172" s="373"/>
      <c r="H2172" s="373"/>
      <c r="I2172" s="373"/>
    </row>
    <row r="2173" spans="2:15" s="145" customFormat="1" ht="20.100000000000001" customHeight="1" x14ac:dyDescent="0.25">
      <c r="B2173" s="380" t="s">
        <v>328</v>
      </c>
      <c r="C2173" s="381"/>
      <c r="D2173" s="381"/>
      <c r="E2173" s="381"/>
      <c r="F2173" s="381"/>
      <c r="G2173" s="381"/>
      <c r="H2173" s="381"/>
      <c r="I2173" s="382"/>
      <c r="K2173" s="147">
        <v>3064845</v>
      </c>
      <c r="N2173" s="148"/>
      <c r="O2173" s="149"/>
    </row>
    <row r="2174" spans="2:15" s="145" customFormat="1" ht="20.100000000000001" customHeight="1" x14ac:dyDescent="0.25">
      <c r="B2174" s="377" t="s">
        <v>329</v>
      </c>
      <c r="C2174" s="379"/>
      <c r="D2174" s="137" t="s">
        <v>322</v>
      </c>
      <c r="E2174" s="137" t="s">
        <v>330</v>
      </c>
      <c r="F2174" s="137" t="s">
        <v>331</v>
      </c>
      <c r="G2174" s="137" t="s">
        <v>332</v>
      </c>
      <c r="H2174" s="137" t="s">
        <v>313</v>
      </c>
      <c r="I2174" s="138" t="s">
        <v>314</v>
      </c>
      <c r="K2174" s="147">
        <f>+K2173-I2180</f>
        <v>0</v>
      </c>
      <c r="O2174" s="179"/>
    </row>
    <row r="2175" spans="2:15" s="151" customFormat="1" ht="9.75" customHeight="1" x14ac:dyDescent="0.25">
      <c r="B2175" s="367" t="s">
        <v>356</v>
      </c>
      <c r="C2175" s="368"/>
      <c r="D2175" s="180">
        <v>1</v>
      </c>
      <c r="E2175" s="141">
        <v>140000</v>
      </c>
      <c r="F2175" s="141">
        <f>+E2175*0.8</f>
        <v>112000</v>
      </c>
      <c r="G2175" s="178">
        <f>D2175*E2175+F2175*D2175</f>
        <v>252000</v>
      </c>
      <c r="H2175" s="184">
        <v>1.5</v>
      </c>
      <c r="I2175" s="143">
        <f>+G2175/H2175</f>
        <v>168000</v>
      </c>
      <c r="J2175" s="145"/>
      <c r="K2175" s="147"/>
    </row>
    <row r="2176" spans="2:15" s="151" customFormat="1" ht="11.25" customHeight="1" x14ac:dyDescent="0.25">
      <c r="B2176" s="367" t="s">
        <v>374</v>
      </c>
      <c r="C2176" s="368"/>
      <c r="D2176" s="180">
        <v>1</v>
      </c>
      <c r="E2176" s="141">
        <v>80000</v>
      </c>
      <c r="F2176" s="141">
        <f>+E2176*0.8</f>
        <v>64000</v>
      </c>
      <c r="G2176" s="178">
        <f>D2176*E2176+F2176*D2176</f>
        <v>144000</v>
      </c>
      <c r="H2176" s="184">
        <f>+H2175</f>
        <v>1.5</v>
      </c>
      <c r="I2176" s="143">
        <f>+G2176/H2176</f>
        <v>96000</v>
      </c>
      <c r="J2176" s="145"/>
      <c r="K2176" s="147"/>
      <c r="L2176" s="179"/>
      <c r="M2176" s="179"/>
    </row>
    <row r="2177" spans="2:14" s="145" customFormat="1" ht="10.5" customHeight="1" x14ac:dyDescent="0.25">
      <c r="B2177" s="367" t="s">
        <v>333</v>
      </c>
      <c r="C2177" s="368"/>
      <c r="D2177" s="180">
        <v>2</v>
      </c>
      <c r="E2177" s="141">
        <v>55000</v>
      </c>
      <c r="F2177" s="141">
        <f>+E2177*0.8</f>
        <v>44000</v>
      </c>
      <c r="G2177" s="178">
        <f>D2177*E2177+F2177*D2177</f>
        <v>198000</v>
      </c>
      <c r="H2177" s="184">
        <f>+H2176</f>
        <v>1.5</v>
      </c>
      <c r="I2177" s="143">
        <f>+G2177/H2177</f>
        <v>132000</v>
      </c>
      <c r="K2177" s="147"/>
    </row>
    <row r="2178" spans="2:14" ht="10.5" customHeight="1" thickBot="1" x14ac:dyDescent="0.3">
      <c r="B2178" s="371" t="s">
        <v>318</v>
      </c>
      <c r="C2178" s="372"/>
      <c r="D2178" s="372"/>
      <c r="E2178" s="372"/>
      <c r="F2178" s="372"/>
      <c r="G2178" s="372"/>
      <c r="H2178" s="372"/>
      <c r="I2178" s="144">
        <f>SUM(I2175:I2177)</f>
        <v>396000</v>
      </c>
      <c r="K2178" s="281"/>
      <c r="N2178" s="150"/>
    </row>
    <row r="2179" spans="2:14" ht="6" customHeight="1" thickBot="1" x14ac:dyDescent="0.3">
      <c r="B2179" s="373"/>
      <c r="C2179" s="373"/>
      <c r="D2179" s="373"/>
      <c r="E2179" s="373"/>
      <c r="F2179" s="373"/>
      <c r="G2179" s="373"/>
      <c r="H2179" s="373"/>
      <c r="I2179" s="373"/>
    </row>
    <row r="2180" spans="2:14" ht="10.5" customHeight="1" thickBot="1" x14ac:dyDescent="0.3">
      <c r="B2180" s="374" t="s">
        <v>334</v>
      </c>
      <c r="C2180" s="375"/>
      <c r="D2180" s="375"/>
      <c r="E2180" s="375"/>
      <c r="F2180" s="375"/>
      <c r="G2180" s="375"/>
      <c r="H2180" s="376"/>
      <c r="I2180" s="152">
        <f>ROUND(+I2161+I2166+I2171+I2178,0)</f>
        <v>3064845</v>
      </c>
      <c r="J2180" s="281"/>
      <c r="K2180" s="169"/>
      <c r="L2180" s="181"/>
      <c r="M2180" s="181"/>
      <c r="N2180" s="153"/>
    </row>
    <row r="2181" spans="2:14" ht="6" customHeight="1" thickBot="1" x14ac:dyDescent="0.3">
      <c r="B2181" s="373"/>
      <c r="C2181" s="373"/>
      <c r="D2181" s="373"/>
      <c r="E2181" s="373"/>
      <c r="F2181" s="373"/>
      <c r="G2181" s="373"/>
      <c r="H2181" s="373"/>
      <c r="I2181" s="373"/>
    </row>
    <row r="2182" spans="2:14" ht="8.25" customHeight="1" x14ac:dyDescent="0.25">
      <c r="B2182" s="433" t="s">
        <v>335</v>
      </c>
      <c r="C2182" s="417"/>
      <c r="D2182" s="418"/>
      <c r="E2182" s="418"/>
      <c r="F2182" s="419"/>
      <c r="G2182" s="369" t="s">
        <v>336</v>
      </c>
      <c r="H2182" s="370"/>
      <c r="I2182" s="370"/>
    </row>
    <row r="2183" spans="2:14" ht="33.75" customHeight="1" x14ac:dyDescent="0.25">
      <c r="B2183" s="434"/>
      <c r="C2183" s="420"/>
      <c r="D2183" s="421"/>
      <c r="E2183" s="421"/>
      <c r="F2183" s="422"/>
      <c r="G2183" s="430" t="s">
        <v>337</v>
      </c>
      <c r="H2183" s="431"/>
      <c r="I2183" s="431"/>
      <c r="L2183" s="181"/>
      <c r="M2183" s="181"/>
      <c r="N2183" s="179"/>
    </row>
    <row r="2184" spans="2:14" ht="13.5" customHeight="1" x14ac:dyDescent="0.25">
      <c r="B2184" s="434"/>
      <c r="C2184" s="420"/>
      <c r="D2184" s="421"/>
      <c r="E2184" s="421"/>
      <c r="F2184" s="422"/>
      <c r="G2184" s="154" t="s">
        <v>92</v>
      </c>
      <c r="H2184" s="432" t="s">
        <v>93</v>
      </c>
      <c r="I2184" s="432"/>
    </row>
    <row r="2185" spans="2:14" ht="16.5" customHeight="1" x14ac:dyDescent="0.25">
      <c r="B2185" s="435"/>
      <c r="C2185" s="420"/>
      <c r="D2185" s="421"/>
      <c r="E2185" s="421"/>
      <c r="F2185" s="422"/>
      <c r="G2185" s="155" t="s">
        <v>94</v>
      </c>
      <c r="H2185" s="156" t="s">
        <v>95</v>
      </c>
      <c r="I2185" s="157" t="s">
        <v>96</v>
      </c>
    </row>
    <row r="2186" spans="2:14" x14ac:dyDescent="0.25">
      <c r="B2186" s="268" t="s">
        <v>18</v>
      </c>
      <c r="C2186" s="427"/>
      <c r="D2186" s="428"/>
      <c r="E2186" s="428"/>
      <c r="F2186" s="429"/>
      <c r="G2186" s="155" t="s">
        <v>98</v>
      </c>
      <c r="H2186" s="157" t="s">
        <v>99</v>
      </c>
      <c r="I2186" s="157" t="s">
        <v>100</v>
      </c>
    </row>
    <row r="2187" spans="2:14" x14ac:dyDescent="0.25">
      <c r="B2187" s="269" t="s">
        <v>97</v>
      </c>
      <c r="C2187" s="427"/>
      <c r="D2187" s="428"/>
      <c r="E2187" s="428"/>
      <c r="F2187" s="429"/>
      <c r="G2187" s="154" t="s">
        <v>338</v>
      </c>
      <c r="H2187" s="426"/>
      <c r="I2187" s="426"/>
    </row>
    <row r="2188" spans="2:14" ht="15.75" thickBot="1" x14ac:dyDescent="0.3">
      <c r="B2188" s="270" t="s">
        <v>101</v>
      </c>
      <c r="C2188" s="423"/>
      <c r="D2188" s="439"/>
      <c r="E2188" s="439"/>
      <c r="F2188" s="440"/>
      <c r="G2188" s="154" t="s">
        <v>102</v>
      </c>
      <c r="H2188" s="441" t="s">
        <v>103</v>
      </c>
      <c r="I2188" s="442"/>
    </row>
    <row r="2189" spans="2:14" ht="45" customHeight="1" thickBot="1" x14ac:dyDescent="0.3">
      <c r="B2189" s="401"/>
      <c r="C2189" s="402"/>
      <c r="D2189" s="402"/>
      <c r="E2189" s="402"/>
      <c r="F2189" s="403" t="s">
        <v>0</v>
      </c>
      <c r="G2189" s="403"/>
      <c r="H2189" s="403"/>
      <c r="I2189" s="404"/>
    </row>
    <row r="2190" spans="2:14" ht="6" customHeight="1" thickBot="1" x14ac:dyDescent="0.3">
      <c r="B2190" s="373"/>
      <c r="C2190" s="373"/>
      <c r="D2190" s="373"/>
      <c r="E2190" s="373"/>
      <c r="F2190" s="373"/>
      <c r="G2190" s="373"/>
      <c r="H2190" s="373"/>
      <c r="I2190" s="373"/>
    </row>
    <row r="2191" spans="2:14" ht="10.5" customHeight="1" x14ac:dyDescent="0.25">
      <c r="B2191" s="405" t="s">
        <v>294</v>
      </c>
      <c r="C2191" s="406"/>
      <c r="D2191" s="407" t="s">
        <v>295</v>
      </c>
      <c r="E2191" s="409" t="s">
        <v>296</v>
      </c>
      <c r="F2191" s="410"/>
      <c r="G2191" s="410"/>
      <c r="H2191" s="410"/>
      <c r="I2191" s="411"/>
    </row>
    <row r="2192" spans="2:14" ht="9" customHeight="1" thickBot="1" x14ac:dyDescent="0.3">
      <c r="B2192" s="415"/>
      <c r="C2192" s="416"/>
      <c r="D2192" s="408"/>
      <c r="E2192" s="412"/>
      <c r="F2192" s="413"/>
      <c r="G2192" s="413"/>
      <c r="H2192" s="413"/>
      <c r="I2192" s="414"/>
    </row>
    <row r="2193" spans="2:14" ht="6" customHeight="1" thickBot="1" x14ac:dyDescent="0.3">
      <c r="B2193" s="373"/>
      <c r="C2193" s="373"/>
      <c r="D2193" s="373"/>
      <c r="E2193" s="373"/>
      <c r="F2193" s="373"/>
      <c r="G2193" s="373"/>
      <c r="H2193" s="373"/>
      <c r="I2193" s="373"/>
    </row>
    <row r="2194" spans="2:14" ht="17.25" customHeight="1" thickBot="1" x14ac:dyDescent="0.3">
      <c r="B2194" s="390" t="s">
        <v>297</v>
      </c>
      <c r="C2194" s="391"/>
      <c r="D2194" s="392"/>
      <c r="E2194" s="393"/>
      <c r="F2194" s="393"/>
      <c r="G2194" s="394"/>
      <c r="H2194" s="127" t="s">
        <v>298</v>
      </c>
      <c r="I2194" s="128"/>
    </row>
    <row r="2195" spans="2:14" ht="6" customHeight="1" thickBot="1" x14ac:dyDescent="0.3">
      <c r="B2195" s="373"/>
      <c r="C2195" s="373"/>
      <c r="D2195" s="373"/>
      <c r="E2195" s="373"/>
      <c r="F2195" s="373"/>
      <c r="G2195" s="373"/>
      <c r="H2195" s="373"/>
      <c r="I2195" s="373"/>
    </row>
    <row r="2196" spans="2:14" ht="19.5" customHeight="1" x14ac:dyDescent="0.25">
      <c r="B2196" s="261" t="s">
        <v>299</v>
      </c>
      <c r="C2196" s="129" t="s">
        <v>300</v>
      </c>
      <c r="D2196" s="130" t="s">
        <v>301</v>
      </c>
      <c r="E2196" s="130" t="s">
        <v>302</v>
      </c>
      <c r="F2196" s="398" t="s">
        <v>303</v>
      </c>
      <c r="G2196" s="399"/>
      <c r="H2196" s="400"/>
      <c r="I2196" s="131" t="s">
        <v>304</v>
      </c>
    </row>
    <row r="2197" spans="2:14" ht="11.25" customHeight="1" x14ac:dyDescent="0.25">
      <c r="B2197" s="262"/>
      <c r="C2197" s="132"/>
      <c r="D2197" s="132" t="s">
        <v>305</v>
      </c>
      <c r="E2197" s="132" t="s">
        <v>306</v>
      </c>
      <c r="F2197" s="395" t="s">
        <v>339</v>
      </c>
      <c r="G2197" s="396"/>
      <c r="H2197" s="397"/>
      <c r="I2197" s="133"/>
    </row>
    <row r="2198" spans="2:14" ht="28.5" customHeight="1" x14ac:dyDescent="0.25">
      <c r="B2198" s="263" t="s">
        <v>307</v>
      </c>
      <c r="C2198" s="383" t="s">
        <v>414</v>
      </c>
      <c r="D2198" s="384"/>
      <c r="E2198" s="384"/>
      <c r="F2198" s="384"/>
      <c r="G2198" s="384"/>
      <c r="H2198" s="384"/>
      <c r="I2198" s="385"/>
    </row>
    <row r="2199" spans="2:14" ht="10.5" customHeight="1" x14ac:dyDescent="0.25">
      <c r="B2199" s="264" t="s">
        <v>129</v>
      </c>
      <c r="C2199" s="388" t="s">
        <v>308</v>
      </c>
      <c r="D2199" s="389"/>
      <c r="E2199" s="389"/>
      <c r="F2199" s="389"/>
      <c r="G2199" s="389"/>
      <c r="H2199" s="389"/>
      <c r="I2199" s="134" t="s">
        <v>130</v>
      </c>
    </row>
    <row r="2200" spans="2:14" ht="50.25" customHeight="1" thickBot="1" x14ac:dyDescent="0.3">
      <c r="B2200" s="265">
        <v>7.1899999999999959</v>
      </c>
      <c r="C2200" s="386" t="s">
        <v>593</v>
      </c>
      <c r="D2200" s="387"/>
      <c r="E2200" s="387"/>
      <c r="F2200" s="387"/>
      <c r="G2200" s="387"/>
      <c r="H2200" s="387"/>
      <c r="I2200" s="135" t="s">
        <v>27</v>
      </c>
    </row>
    <row r="2201" spans="2:14" ht="6" customHeight="1" thickBot="1" x14ac:dyDescent="0.3">
      <c r="B2201" s="373"/>
      <c r="C2201" s="373"/>
      <c r="D2201" s="373"/>
      <c r="E2201" s="373"/>
      <c r="F2201" s="373"/>
      <c r="G2201" s="373"/>
      <c r="H2201" s="373"/>
      <c r="I2201" s="373"/>
    </row>
    <row r="2202" spans="2:14" x14ac:dyDescent="0.25">
      <c r="B2202" s="380" t="s">
        <v>309</v>
      </c>
      <c r="C2202" s="381"/>
      <c r="D2202" s="381"/>
      <c r="E2202" s="381"/>
      <c r="F2202" s="381"/>
      <c r="G2202" s="381"/>
      <c r="H2202" s="381"/>
      <c r="I2202" s="382"/>
      <c r="K2202" s="182"/>
    </row>
    <row r="2203" spans="2:14" ht="11.25" customHeight="1" x14ac:dyDescent="0.25">
      <c r="B2203" s="377" t="s">
        <v>310</v>
      </c>
      <c r="C2203" s="378"/>
      <c r="D2203" s="379"/>
      <c r="E2203" s="136"/>
      <c r="F2203" s="137" t="s">
        <v>311</v>
      </c>
      <c r="G2203" s="137" t="s">
        <v>312</v>
      </c>
      <c r="H2203" s="137" t="s">
        <v>313</v>
      </c>
      <c r="I2203" s="138" t="s">
        <v>314</v>
      </c>
      <c r="L2203" s="139"/>
      <c r="M2203" s="139"/>
    </row>
    <row r="2204" spans="2:14" ht="11.25" customHeight="1" x14ac:dyDescent="0.25">
      <c r="B2204" s="362" t="s">
        <v>315</v>
      </c>
      <c r="C2204" s="363"/>
      <c r="D2204" s="363"/>
      <c r="E2204" s="160"/>
      <c r="F2204" s="161" t="s">
        <v>316</v>
      </c>
      <c r="G2204" s="160">
        <v>5000</v>
      </c>
      <c r="H2204" s="142">
        <v>0.8</v>
      </c>
      <c r="I2204" s="143">
        <f>G2204*H2204</f>
        <v>4000</v>
      </c>
    </row>
    <row r="2205" spans="2:14" ht="16.5" customHeight="1" x14ac:dyDescent="0.25">
      <c r="B2205" s="362" t="s">
        <v>355</v>
      </c>
      <c r="C2205" s="363"/>
      <c r="D2205" s="363"/>
      <c r="E2205" s="160"/>
      <c r="F2205" s="161" t="s">
        <v>317</v>
      </c>
      <c r="G2205" s="160">
        <v>90000</v>
      </c>
      <c r="H2205" s="142">
        <f>+H2204</f>
        <v>0.8</v>
      </c>
      <c r="I2205" s="143">
        <f>G2205*H2205</f>
        <v>72000</v>
      </c>
    </row>
    <row r="2206" spans="2:14" ht="10.5" customHeight="1" thickBot="1" x14ac:dyDescent="0.3">
      <c r="B2206" s="371" t="s">
        <v>318</v>
      </c>
      <c r="C2206" s="372"/>
      <c r="D2206" s="372"/>
      <c r="E2206" s="372"/>
      <c r="F2206" s="372"/>
      <c r="G2206" s="372"/>
      <c r="H2206" s="372"/>
      <c r="I2206" s="144">
        <f>SUM(I2204:I2205)</f>
        <v>76000</v>
      </c>
      <c r="N2206" s="150"/>
    </row>
    <row r="2207" spans="2:14" ht="6" customHeight="1" thickBot="1" x14ac:dyDescent="0.3">
      <c r="B2207" s="373"/>
      <c r="C2207" s="373"/>
      <c r="D2207" s="373"/>
      <c r="E2207" s="373"/>
      <c r="F2207" s="373"/>
      <c r="G2207" s="373"/>
      <c r="H2207" s="373"/>
      <c r="I2207" s="373"/>
    </row>
    <row r="2208" spans="2:14" s="145" customFormat="1" x14ac:dyDescent="0.25">
      <c r="B2208" s="380" t="s">
        <v>319</v>
      </c>
      <c r="C2208" s="381"/>
      <c r="D2208" s="381"/>
      <c r="E2208" s="381"/>
      <c r="F2208" s="381"/>
      <c r="G2208" s="381"/>
      <c r="H2208" s="381"/>
      <c r="I2208" s="382"/>
    </row>
    <row r="2209" spans="2:15" s="145" customFormat="1" ht="15.75" customHeight="1" x14ac:dyDescent="0.25">
      <c r="B2209" s="377" t="s">
        <v>310</v>
      </c>
      <c r="C2209" s="378"/>
      <c r="D2209" s="379"/>
      <c r="E2209" s="137"/>
      <c r="F2209" s="137" t="s">
        <v>320</v>
      </c>
      <c r="G2209" s="137" t="s">
        <v>321</v>
      </c>
      <c r="H2209" s="137" t="s">
        <v>322</v>
      </c>
      <c r="I2209" s="138" t="s">
        <v>314</v>
      </c>
    </row>
    <row r="2210" spans="2:15" ht="78.75" customHeight="1" x14ac:dyDescent="0.25">
      <c r="B2210" s="436" t="s">
        <v>593</v>
      </c>
      <c r="C2210" s="437"/>
      <c r="D2210" s="438"/>
      <c r="E2210" s="163"/>
      <c r="F2210" s="161" t="s">
        <v>27</v>
      </c>
      <c r="G2210" s="160">
        <f>4608265-2844588+1+2363017-2281275+6608683-4824123+540000+2212920-4802908+1+837825+2995429-4478609+1+772396-50000+2002240+502778+90142+1842992-1681065+1-216428-1997195+1</f>
        <v>2200501</v>
      </c>
      <c r="H2210" s="142">
        <v>1</v>
      </c>
      <c r="I2210" s="143">
        <f>G2210*H2210</f>
        <v>2200501</v>
      </c>
      <c r="M2210">
        <v>4608265</v>
      </c>
    </row>
    <row r="2211" spans="2:15" ht="18" customHeight="1" thickBot="1" x14ac:dyDescent="0.3">
      <c r="B2211" s="371" t="s">
        <v>318</v>
      </c>
      <c r="C2211" s="372"/>
      <c r="D2211" s="372"/>
      <c r="E2211" s="372"/>
      <c r="F2211" s="372"/>
      <c r="G2211" s="372"/>
      <c r="H2211" s="372"/>
      <c r="I2211" s="144">
        <f>SUM(I2210:I2210)</f>
        <v>2200501</v>
      </c>
      <c r="N2211" s="150"/>
    </row>
    <row r="2212" spans="2:15" ht="6" customHeight="1" thickBot="1" x14ac:dyDescent="0.3">
      <c r="B2212" s="373"/>
      <c r="C2212" s="373"/>
      <c r="D2212" s="373"/>
      <c r="E2212" s="373"/>
      <c r="F2212" s="373"/>
      <c r="G2212" s="373"/>
      <c r="H2212" s="373"/>
      <c r="I2212" s="373"/>
    </row>
    <row r="2213" spans="2:15" s="145" customFormat="1" x14ac:dyDescent="0.25">
      <c r="B2213" s="380" t="s">
        <v>323</v>
      </c>
      <c r="C2213" s="381"/>
      <c r="D2213" s="381"/>
      <c r="E2213" s="381"/>
      <c r="F2213" s="381"/>
      <c r="G2213" s="381"/>
      <c r="H2213" s="381"/>
      <c r="I2213" s="382"/>
      <c r="L2213" s="146"/>
      <c r="M2213" s="146"/>
    </row>
    <row r="2214" spans="2:15" s="145" customFormat="1" x14ac:dyDescent="0.25">
      <c r="B2214" s="377" t="s">
        <v>324</v>
      </c>
      <c r="C2214" s="378"/>
      <c r="D2214" s="379"/>
      <c r="E2214" s="137" t="s">
        <v>325</v>
      </c>
      <c r="F2214" s="137" t="s">
        <v>326</v>
      </c>
      <c r="G2214" s="137" t="s">
        <v>130</v>
      </c>
      <c r="H2214" s="137" t="s">
        <v>327</v>
      </c>
      <c r="I2214" s="138" t="s">
        <v>314</v>
      </c>
      <c r="K2214" s="260"/>
      <c r="N2214" s="183"/>
      <c r="O2214" s="148"/>
    </row>
    <row r="2215" spans="2:15" ht="11.25" customHeight="1" x14ac:dyDescent="0.25">
      <c r="B2215" s="362" t="s">
        <v>711</v>
      </c>
      <c r="C2215" s="363"/>
      <c r="D2215" s="363"/>
      <c r="E2215" s="170">
        <v>1</v>
      </c>
      <c r="F2215" s="164"/>
      <c r="G2215" s="161"/>
      <c r="H2215" s="162">
        <v>25000</v>
      </c>
      <c r="I2215" s="143">
        <f>H2215*E2215</f>
        <v>25000</v>
      </c>
      <c r="K2215" s="281"/>
    </row>
    <row r="2216" spans="2:15" ht="10.5" customHeight="1" thickBot="1" x14ac:dyDescent="0.3">
      <c r="B2216" s="371" t="s">
        <v>318</v>
      </c>
      <c r="C2216" s="372"/>
      <c r="D2216" s="372"/>
      <c r="E2216" s="372"/>
      <c r="F2216" s="372"/>
      <c r="G2216" s="372"/>
      <c r="H2216" s="372"/>
      <c r="I2216" s="144">
        <f>SUM(I2215:I2215)</f>
        <v>25000</v>
      </c>
      <c r="K2216" s="281"/>
      <c r="N2216" s="150"/>
    </row>
    <row r="2217" spans="2:15" ht="6" customHeight="1" thickBot="1" x14ac:dyDescent="0.3">
      <c r="B2217" s="373"/>
      <c r="C2217" s="373"/>
      <c r="D2217" s="373"/>
      <c r="E2217" s="373"/>
      <c r="F2217" s="373"/>
      <c r="G2217" s="373"/>
      <c r="H2217" s="373"/>
      <c r="I2217" s="373"/>
    </row>
    <row r="2218" spans="2:15" s="145" customFormat="1" ht="20.100000000000001" customHeight="1" x14ac:dyDescent="0.25">
      <c r="B2218" s="380" t="s">
        <v>328</v>
      </c>
      <c r="C2218" s="381"/>
      <c r="D2218" s="381"/>
      <c r="E2218" s="381"/>
      <c r="F2218" s="381"/>
      <c r="G2218" s="381"/>
      <c r="H2218" s="381"/>
      <c r="I2218" s="382"/>
      <c r="K2218" s="147"/>
      <c r="N2218" s="148"/>
      <c r="O2218" s="149"/>
    </row>
    <row r="2219" spans="2:15" s="145" customFormat="1" ht="20.100000000000001" customHeight="1" x14ac:dyDescent="0.25">
      <c r="B2219" s="377" t="s">
        <v>329</v>
      </c>
      <c r="C2219" s="379"/>
      <c r="D2219" s="137" t="s">
        <v>322</v>
      </c>
      <c r="E2219" s="137" t="s">
        <v>330</v>
      </c>
      <c r="F2219" s="137" t="s">
        <v>331</v>
      </c>
      <c r="G2219" s="137" t="s">
        <v>332</v>
      </c>
      <c r="H2219" s="137" t="s">
        <v>313</v>
      </c>
      <c r="I2219" s="138" t="s">
        <v>314</v>
      </c>
      <c r="K2219" s="147">
        <v>0.5</v>
      </c>
      <c r="O2219" s="179"/>
    </row>
    <row r="2220" spans="2:15" s="151" customFormat="1" ht="9.75" customHeight="1" x14ac:dyDescent="0.25">
      <c r="B2220" s="367" t="s">
        <v>356</v>
      </c>
      <c r="C2220" s="368"/>
      <c r="D2220" s="180">
        <v>1</v>
      </c>
      <c r="E2220" s="141">
        <v>140000</v>
      </c>
      <c r="F2220" s="141">
        <f>+E2220*0.8</f>
        <v>112000</v>
      </c>
      <c r="G2220" s="178">
        <f>D2220*E2220+F2220*D2220</f>
        <v>252000</v>
      </c>
      <c r="H2220" s="184">
        <v>1.9</v>
      </c>
      <c r="I2220" s="143">
        <f>+G2220/H2220</f>
        <v>132631.57894736843</v>
      </c>
      <c r="J2220" s="145"/>
      <c r="K2220" s="147"/>
    </row>
    <row r="2221" spans="2:15" s="151" customFormat="1" ht="11.25" customHeight="1" x14ac:dyDescent="0.25">
      <c r="B2221" s="367" t="s">
        <v>374</v>
      </c>
      <c r="C2221" s="368"/>
      <c r="D2221" s="180">
        <v>1</v>
      </c>
      <c r="E2221" s="141">
        <v>80000</v>
      </c>
      <c r="F2221" s="141">
        <f>+E2221*0.8</f>
        <v>64000</v>
      </c>
      <c r="G2221" s="178">
        <f>D2221*E2221+F2221*D2221</f>
        <v>144000</v>
      </c>
      <c r="H2221" s="184">
        <f>+H2220</f>
        <v>1.9</v>
      </c>
      <c r="I2221" s="143">
        <f>+G2221/H2221</f>
        <v>75789.473684210534</v>
      </c>
      <c r="J2221" s="145"/>
      <c r="K2221" s="147"/>
      <c r="L2221" s="179"/>
      <c r="M2221" s="179"/>
    </row>
    <row r="2222" spans="2:15" s="145" customFormat="1" ht="10.5" customHeight="1" x14ac:dyDescent="0.25">
      <c r="B2222" s="367" t="s">
        <v>333</v>
      </c>
      <c r="C2222" s="368"/>
      <c r="D2222" s="180">
        <v>2</v>
      </c>
      <c r="E2222" s="141">
        <v>55000</v>
      </c>
      <c r="F2222" s="141">
        <f>+E2222*0.8</f>
        <v>44000</v>
      </c>
      <c r="G2222" s="178">
        <f>D2222*E2222+F2222*D2222</f>
        <v>198000</v>
      </c>
      <c r="H2222" s="184">
        <f>+H2221</f>
        <v>1.9</v>
      </c>
      <c r="I2222" s="143">
        <f>+G2222/H2222</f>
        <v>104210.52631578948</v>
      </c>
      <c r="K2222" s="147"/>
    </row>
    <row r="2223" spans="2:15" ht="10.5" customHeight="1" thickBot="1" x14ac:dyDescent="0.3">
      <c r="B2223" s="371" t="s">
        <v>318</v>
      </c>
      <c r="C2223" s="372"/>
      <c r="D2223" s="372"/>
      <c r="E2223" s="372"/>
      <c r="F2223" s="372"/>
      <c r="G2223" s="372"/>
      <c r="H2223" s="372"/>
      <c r="I2223" s="144">
        <f>SUM(I2220:I2222)</f>
        <v>312631.57894736843</v>
      </c>
      <c r="K2223" s="281"/>
      <c r="N2223" s="150"/>
    </row>
    <row r="2224" spans="2:15" ht="6" customHeight="1" thickBot="1" x14ac:dyDescent="0.3">
      <c r="B2224" s="373"/>
      <c r="C2224" s="373"/>
      <c r="D2224" s="373"/>
      <c r="E2224" s="373"/>
      <c r="F2224" s="373"/>
      <c r="G2224" s="373"/>
      <c r="H2224" s="373"/>
      <c r="I2224" s="373"/>
    </row>
    <row r="2225" spans="2:14" ht="10.5" customHeight="1" thickBot="1" x14ac:dyDescent="0.3">
      <c r="B2225" s="374" t="s">
        <v>334</v>
      </c>
      <c r="C2225" s="375"/>
      <c r="D2225" s="375"/>
      <c r="E2225" s="375"/>
      <c r="F2225" s="375"/>
      <c r="G2225" s="375"/>
      <c r="H2225" s="376"/>
      <c r="I2225" s="152">
        <f>ROUND(+I2206+I2211+I2216+I2223,0)</f>
        <v>2614133</v>
      </c>
      <c r="J2225" s="281"/>
      <c r="K2225" s="169"/>
      <c r="L2225" s="181"/>
      <c r="M2225" s="181"/>
      <c r="N2225" s="153"/>
    </row>
    <row r="2226" spans="2:14" ht="6" customHeight="1" thickBot="1" x14ac:dyDescent="0.3">
      <c r="B2226" s="373"/>
      <c r="C2226" s="373"/>
      <c r="D2226" s="373"/>
      <c r="E2226" s="373"/>
      <c r="F2226" s="373"/>
      <c r="G2226" s="373"/>
      <c r="H2226" s="373"/>
      <c r="I2226" s="373"/>
    </row>
    <row r="2227" spans="2:14" ht="8.25" customHeight="1" x14ac:dyDescent="0.25">
      <c r="B2227" s="433" t="s">
        <v>335</v>
      </c>
      <c r="C2227" s="417"/>
      <c r="D2227" s="418"/>
      <c r="E2227" s="418"/>
      <c r="F2227" s="419"/>
      <c r="G2227" s="369" t="s">
        <v>336</v>
      </c>
      <c r="H2227" s="370"/>
      <c r="I2227" s="370"/>
    </row>
    <row r="2228" spans="2:14" ht="33.75" customHeight="1" x14ac:dyDescent="0.25">
      <c r="B2228" s="434"/>
      <c r="C2228" s="420"/>
      <c r="D2228" s="421"/>
      <c r="E2228" s="421"/>
      <c r="F2228" s="422"/>
      <c r="G2228" s="430" t="s">
        <v>337</v>
      </c>
      <c r="H2228" s="431"/>
      <c r="I2228" s="431"/>
      <c r="L2228" s="181"/>
      <c r="M2228" s="181"/>
      <c r="N2228" s="179"/>
    </row>
    <row r="2229" spans="2:14" ht="13.5" customHeight="1" x14ac:dyDescent="0.25">
      <c r="B2229" s="434"/>
      <c r="C2229" s="420"/>
      <c r="D2229" s="421"/>
      <c r="E2229" s="421"/>
      <c r="F2229" s="422"/>
      <c r="G2229" s="154" t="s">
        <v>92</v>
      </c>
      <c r="H2229" s="432" t="s">
        <v>93</v>
      </c>
      <c r="I2229" s="432"/>
    </row>
    <row r="2230" spans="2:14" ht="16.5" customHeight="1" x14ac:dyDescent="0.25">
      <c r="B2230" s="435"/>
      <c r="C2230" s="420"/>
      <c r="D2230" s="421"/>
      <c r="E2230" s="421"/>
      <c r="F2230" s="422"/>
      <c r="G2230" s="155" t="s">
        <v>94</v>
      </c>
      <c r="H2230" s="156" t="s">
        <v>95</v>
      </c>
      <c r="I2230" s="157" t="s">
        <v>96</v>
      </c>
    </row>
    <row r="2231" spans="2:14" x14ac:dyDescent="0.25">
      <c r="B2231" s="268" t="s">
        <v>18</v>
      </c>
      <c r="C2231" s="427"/>
      <c r="D2231" s="428"/>
      <c r="E2231" s="428"/>
      <c r="F2231" s="429"/>
      <c r="G2231" s="155" t="s">
        <v>98</v>
      </c>
      <c r="H2231" s="157" t="s">
        <v>99</v>
      </c>
      <c r="I2231" s="157" t="s">
        <v>100</v>
      </c>
    </row>
    <row r="2232" spans="2:14" x14ac:dyDescent="0.25">
      <c r="B2232" s="269" t="s">
        <v>97</v>
      </c>
      <c r="C2232" s="427"/>
      <c r="D2232" s="428"/>
      <c r="E2232" s="428"/>
      <c r="F2232" s="429"/>
      <c r="G2232" s="154" t="s">
        <v>338</v>
      </c>
      <c r="H2232" s="426"/>
      <c r="I2232" s="426"/>
    </row>
    <row r="2233" spans="2:14" ht="15.75" thickBot="1" x14ac:dyDescent="0.3">
      <c r="B2233" s="270" t="s">
        <v>101</v>
      </c>
      <c r="C2233" s="423"/>
      <c r="D2233" s="424"/>
      <c r="E2233" s="424"/>
      <c r="F2233" s="425"/>
      <c r="G2233" s="154" t="s">
        <v>102</v>
      </c>
      <c r="H2233" s="426" t="s">
        <v>103</v>
      </c>
      <c r="I2233" s="426"/>
    </row>
    <row r="2234" spans="2:14" ht="45" customHeight="1" thickBot="1" x14ac:dyDescent="0.3">
      <c r="B2234" s="401"/>
      <c r="C2234" s="402"/>
      <c r="D2234" s="402"/>
      <c r="E2234" s="402"/>
      <c r="F2234" s="403" t="s">
        <v>0</v>
      </c>
      <c r="G2234" s="403"/>
      <c r="H2234" s="403"/>
      <c r="I2234" s="404"/>
    </row>
    <row r="2235" spans="2:14" ht="6" customHeight="1" thickBot="1" x14ac:dyDescent="0.3">
      <c r="B2235" s="373"/>
      <c r="C2235" s="373"/>
      <c r="D2235" s="373"/>
      <c r="E2235" s="373"/>
      <c r="F2235" s="373"/>
      <c r="G2235" s="373"/>
      <c r="H2235" s="373"/>
      <c r="I2235" s="373"/>
    </row>
    <row r="2236" spans="2:14" ht="10.5" customHeight="1" x14ac:dyDescent="0.25">
      <c r="B2236" s="405" t="s">
        <v>294</v>
      </c>
      <c r="C2236" s="406"/>
      <c r="D2236" s="407" t="s">
        <v>295</v>
      </c>
      <c r="E2236" s="409" t="s">
        <v>296</v>
      </c>
      <c r="F2236" s="410"/>
      <c r="G2236" s="410"/>
      <c r="H2236" s="410"/>
      <c r="I2236" s="411"/>
    </row>
    <row r="2237" spans="2:14" ht="9" customHeight="1" thickBot="1" x14ac:dyDescent="0.3">
      <c r="B2237" s="415"/>
      <c r="C2237" s="416"/>
      <c r="D2237" s="408"/>
      <c r="E2237" s="412"/>
      <c r="F2237" s="413"/>
      <c r="G2237" s="413"/>
      <c r="H2237" s="413"/>
      <c r="I2237" s="414"/>
    </row>
    <row r="2238" spans="2:14" ht="6" customHeight="1" thickBot="1" x14ac:dyDescent="0.3">
      <c r="B2238" s="373"/>
      <c r="C2238" s="373"/>
      <c r="D2238" s="373"/>
      <c r="E2238" s="373"/>
      <c r="F2238" s="373"/>
      <c r="G2238" s="373"/>
      <c r="H2238" s="373"/>
      <c r="I2238" s="373"/>
    </row>
    <row r="2239" spans="2:14" ht="17.25" customHeight="1" thickBot="1" x14ac:dyDescent="0.3">
      <c r="B2239" s="390" t="s">
        <v>297</v>
      </c>
      <c r="C2239" s="391"/>
      <c r="D2239" s="392"/>
      <c r="E2239" s="393"/>
      <c r="F2239" s="393"/>
      <c r="G2239" s="394"/>
      <c r="H2239" s="127" t="s">
        <v>298</v>
      </c>
      <c r="I2239" s="128"/>
    </row>
    <row r="2240" spans="2:14" ht="6" customHeight="1" thickBot="1" x14ac:dyDescent="0.3">
      <c r="B2240" s="373"/>
      <c r="C2240" s="373"/>
      <c r="D2240" s="373"/>
      <c r="E2240" s="373"/>
      <c r="F2240" s="373"/>
      <c r="G2240" s="373"/>
      <c r="H2240" s="373"/>
      <c r="I2240" s="373"/>
    </row>
    <row r="2241" spans="2:14" ht="19.5" customHeight="1" x14ac:dyDescent="0.25">
      <c r="B2241" s="261" t="s">
        <v>299</v>
      </c>
      <c r="C2241" s="129" t="s">
        <v>300</v>
      </c>
      <c r="D2241" s="130" t="s">
        <v>301</v>
      </c>
      <c r="E2241" s="130" t="s">
        <v>302</v>
      </c>
      <c r="F2241" s="398" t="s">
        <v>303</v>
      </c>
      <c r="G2241" s="399"/>
      <c r="H2241" s="400"/>
      <c r="I2241" s="131" t="s">
        <v>304</v>
      </c>
    </row>
    <row r="2242" spans="2:14" ht="11.25" customHeight="1" x14ac:dyDescent="0.25">
      <c r="B2242" s="262"/>
      <c r="C2242" s="132"/>
      <c r="D2242" s="132" t="s">
        <v>305</v>
      </c>
      <c r="E2242" s="132" t="s">
        <v>306</v>
      </c>
      <c r="F2242" s="395" t="s">
        <v>339</v>
      </c>
      <c r="G2242" s="396"/>
      <c r="H2242" s="397"/>
      <c r="I2242" s="133"/>
    </row>
    <row r="2243" spans="2:14" ht="28.5" customHeight="1" x14ac:dyDescent="0.25">
      <c r="B2243" s="263" t="s">
        <v>307</v>
      </c>
      <c r="C2243" s="383" t="s">
        <v>414</v>
      </c>
      <c r="D2243" s="384"/>
      <c r="E2243" s="384"/>
      <c r="F2243" s="384"/>
      <c r="G2243" s="384"/>
      <c r="H2243" s="384"/>
      <c r="I2243" s="385"/>
    </row>
    <row r="2244" spans="2:14" ht="10.5" customHeight="1" x14ac:dyDescent="0.25">
      <c r="B2244" s="264" t="s">
        <v>129</v>
      </c>
      <c r="C2244" s="388" t="s">
        <v>308</v>
      </c>
      <c r="D2244" s="389"/>
      <c r="E2244" s="389"/>
      <c r="F2244" s="389"/>
      <c r="G2244" s="389"/>
      <c r="H2244" s="389"/>
      <c r="I2244" s="134" t="s">
        <v>130</v>
      </c>
    </row>
    <row r="2245" spans="2:14" ht="50.25" customHeight="1" thickBot="1" x14ac:dyDescent="0.3">
      <c r="B2245" s="265">
        <v>7.1999999999999957</v>
      </c>
      <c r="C2245" s="386" t="s">
        <v>594</v>
      </c>
      <c r="D2245" s="387"/>
      <c r="E2245" s="387"/>
      <c r="F2245" s="387"/>
      <c r="G2245" s="387"/>
      <c r="H2245" s="387"/>
      <c r="I2245" s="135" t="s">
        <v>27</v>
      </c>
    </row>
    <row r="2246" spans="2:14" ht="6" customHeight="1" thickBot="1" x14ac:dyDescent="0.3">
      <c r="B2246" s="373"/>
      <c r="C2246" s="373"/>
      <c r="D2246" s="373"/>
      <c r="E2246" s="373"/>
      <c r="F2246" s="373"/>
      <c r="G2246" s="373"/>
      <c r="H2246" s="373"/>
      <c r="I2246" s="373"/>
    </row>
    <row r="2247" spans="2:14" x14ac:dyDescent="0.25">
      <c r="B2247" s="380" t="s">
        <v>309</v>
      </c>
      <c r="C2247" s="381"/>
      <c r="D2247" s="381"/>
      <c r="E2247" s="381"/>
      <c r="F2247" s="381"/>
      <c r="G2247" s="381"/>
      <c r="H2247" s="381"/>
      <c r="I2247" s="382"/>
      <c r="K2247" s="182"/>
    </row>
    <row r="2248" spans="2:14" ht="11.25" customHeight="1" x14ac:dyDescent="0.25">
      <c r="B2248" s="377" t="s">
        <v>310</v>
      </c>
      <c r="C2248" s="378"/>
      <c r="D2248" s="379"/>
      <c r="E2248" s="136"/>
      <c r="F2248" s="137" t="s">
        <v>311</v>
      </c>
      <c r="G2248" s="137" t="s">
        <v>312</v>
      </c>
      <c r="H2248" s="137" t="s">
        <v>313</v>
      </c>
      <c r="I2248" s="138" t="s">
        <v>314</v>
      </c>
      <c r="L2248" s="139"/>
      <c r="M2248" s="139"/>
    </row>
    <row r="2249" spans="2:14" ht="11.25" customHeight="1" x14ac:dyDescent="0.25">
      <c r="B2249" s="362" t="s">
        <v>315</v>
      </c>
      <c r="C2249" s="363"/>
      <c r="D2249" s="363"/>
      <c r="E2249" s="160"/>
      <c r="F2249" s="161" t="s">
        <v>316</v>
      </c>
      <c r="G2249" s="160">
        <v>5000</v>
      </c>
      <c r="H2249" s="142">
        <v>0.5</v>
      </c>
      <c r="I2249" s="143">
        <f>G2249*H2249</f>
        <v>2500</v>
      </c>
    </row>
    <row r="2250" spans="2:14" ht="16.5" customHeight="1" x14ac:dyDescent="0.25">
      <c r="B2250" s="362" t="s">
        <v>355</v>
      </c>
      <c r="C2250" s="363"/>
      <c r="D2250" s="363"/>
      <c r="E2250" s="160"/>
      <c r="F2250" s="161" t="s">
        <v>317</v>
      </c>
      <c r="G2250" s="160">
        <v>90000</v>
      </c>
      <c r="H2250" s="142">
        <f>+H2249</f>
        <v>0.5</v>
      </c>
      <c r="I2250" s="143">
        <f>G2250*H2250</f>
        <v>45000</v>
      </c>
    </row>
    <row r="2251" spans="2:14" ht="10.5" customHeight="1" thickBot="1" x14ac:dyDescent="0.3">
      <c r="B2251" s="371" t="s">
        <v>318</v>
      </c>
      <c r="C2251" s="372"/>
      <c r="D2251" s="372"/>
      <c r="E2251" s="372"/>
      <c r="F2251" s="372"/>
      <c r="G2251" s="372"/>
      <c r="H2251" s="372"/>
      <c r="I2251" s="144">
        <f>SUM(I2249:I2250)</f>
        <v>47500</v>
      </c>
      <c r="N2251" s="150"/>
    </row>
    <row r="2252" spans="2:14" ht="6" customHeight="1" thickBot="1" x14ac:dyDescent="0.3">
      <c r="B2252" s="373"/>
      <c r="C2252" s="373"/>
      <c r="D2252" s="373"/>
      <c r="E2252" s="373"/>
      <c r="F2252" s="373"/>
      <c r="G2252" s="373"/>
      <c r="H2252" s="373"/>
      <c r="I2252" s="373"/>
    </row>
    <row r="2253" spans="2:14" s="145" customFormat="1" x14ac:dyDescent="0.25">
      <c r="B2253" s="380" t="s">
        <v>319</v>
      </c>
      <c r="C2253" s="381"/>
      <c r="D2253" s="381"/>
      <c r="E2253" s="381"/>
      <c r="F2253" s="381"/>
      <c r="G2253" s="381"/>
      <c r="H2253" s="381"/>
      <c r="I2253" s="382"/>
    </row>
    <row r="2254" spans="2:14" s="145" customFormat="1" ht="15.75" customHeight="1" x14ac:dyDescent="0.25">
      <c r="B2254" s="377" t="s">
        <v>310</v>
      </c>
      <c r="C2254" s="378"/>
      <c r="D2254" s="379"/>
      <c r="E2254" s="137"/>
      <c r="F2254" s="137" t="s">
        <v>320</v>
      </c>
      <c r="G2254" s="137" t="s">
        <v>321</v>
      </c>
      <c r="H2254" s="137" t="s">
        <v>322</v>
      </c>
      <c r="I2254" s="138" t="s">
        <v>314</v>
      </c>
    </row>
    <row r="2255" spans="2:14" ht="78.75" customHeight="1" x14ac:dyDescent="0.25">
      <c r="B2255" s="436" t="s">
        <v>594</v>
      </c>
      <c r="C2255" s="437"/>
      <c r="D2255" s="438"/>
      <c r="E2255" s="163"/>
      <c r="F2255" s="161" t="s">
        <v>27</v>
      </c>
      <c r="G2255" s="160">
        <f>4608265-2844588+1+2363017-2281275+6608683-4824123+540000+2212920-4802908+1+837825+2995429-4478609+1+772396-50000+2002240+502778+90142+1842992-1681065+1-216428-1997195+1-1010579+1</f>
        <v>1189923</v>
      </c>
      <c r="H2255" s="142">
        <v>1</v>
      </c>
      <c r="I2255" s="143">
        <f>G2255*H2255</f>
        <v>1189923</v>
      </c>
      <c r="M2255">
        <v>4608265</v>
      </c>
    </row>
    <row r="2256" spans="2:14" ht="18" customHeight="1" thickBot="1" x14ac:dyDescent="0.3">
      <c r="B2256" s="371" t="s">
        <v>318</v>
      </c>
      <c r="C2256" s="372"/>
      <c r="D2256" s="372"/>
      <c r="E2256" s="372"/>
      <c r="F2256" s="372"/>
      <c r="G2256" s="372"/>
      <c r="H2256" s="372"/>
      <c r="I2256" s="144">
        <f>SUM(I2255:I2255)</f>
        <v>1189923</v>
      </c>
      <c r="N2256" s="150"/>
    </row>
    <row r="2257" spans="2:15" ht="6" customHeight="1" thickBot="1" x14ac:dyDescent="0.3">
      <c r="B2257" s="373"/>
      <c r="C2257" s="373"/>
      <c r="D2257" s="373"/>
      <c r="E2257" s="373"/>
      <c r="F2257" s="373"/>
      <c r="G2257" s="373"/>
      <c r="H2257" s="373"/>
      <c r="I2257" s="373"/>
    </row>
    <row r="2258" spans="2:15" s="145" customFormat="1" x14ac:dyDescent="0.25">
      <c r="B2258" s="380" t="s">
        <v>323</v>
      </c>
      <c r="C2258" s="381"/>
      <c r="D2258" s="381"/>
      <c r="E2258" s="381"/>
      <c r="F2258" s="381"/>
      <c r="G2258" s="381"/>
      <c r="H2258" s="381"/>
      <c r="I2258" s="382"/>
      <c r="L2258" s="146"/>
      <c r="M2258" s="146"/>
    </row>
    <row r="2259" spans="2:15" s="145" customFormat="1" x14ac:dyDescent="0.25">
      <c r="B2259" s="377" t="s">
        <v>324</v>
      </c>
      <c r="C2259" s="378"/>
      <c r="D2259" s="379"/>
      <c r="E2259" s="137" t="s">
        <v>325</v>
      </c>
      <c r="F2259" s="137" t="s">
        <v>326</v>
      </c>
      <c r="G2259" s="137" t="s">
        <v>130</v>
      </c>
      <c r="H2259" s="137" t="s">
        <v>327</v>
      </c>
      <c r="I2259" s="138" t="s">
        <v>314</v>
      </c>
      <c r="K2259" s="260"/>
      <c r="N2259" s="183"/>
      <c r="O2259" s="148"/>
    </row>
    <row r="2260" spans="2:15" ht="11.25" customHeight="1" x14ac:dyDescent="0.25">
      <c r="B2260" s="362" t="s">
        <v>711</v>
      </c>
      <c r="C2260" s="363"/>
      <c r="D2260" s="363"/>
      <c r="E2260" s="170">
        <v>1</v>
      </c>
      <c r="F2260" s="164"/>
      <c r="G2260" s="161"/>
      <c r="H2260" s="162">
        <v>25000</v>
      </c>
      <c r="I2260" s="143">
        <f>H2260*E2260</f>
        <v>25000</v>
      </c>
      <c r="K2260" s="281"/>
    </row>
    <row r="2261" spans="2:15" ht="10.5" customHeight="1" thickBot="1" x14ac:dyDescent="0.3">
      <c r="B2261" s="371" t="s">
        <v>318</v>
      </c>
      <c r="C2261" s="372"/>
      <c r="D2261" s="372"/>
      <c r="E2261" s="372"/>
      <c r="F2261" s="372"/>
      <c r="G2261" s="372"/>
      <c r="H2261" s="372"/>
      <c r="I2261" s="144">
        <f>SUM(I2260:I2260)</f>
        <v>25000</v>
      </c>
      <c r="K2261" s="281"/>
      <c r="N2261" s="150"/>
    </row>
    <row r="2262" spans="2:15" ht="6" customHeight="1" thickBot="1" x14ac:dyDescent="0.3">
      <c r="B2262" s="373"/>
      <c r="C2262" s="373"/>
      <c r="D2262" s="373"/>
      <c r="E2262" s="373"/>
      <c r="F2262" s="373"/>
      <c r="G2262" s="373"/>
      <c r="H2262" s="373"/>
      <c r="I2262" s="373"/>
    </row>
    <row r="2263" spans="2:15" s="145" customFormat="1" ht="20.100000000000001" customHeight="1" x14ac:dyDescent="0.25">
      <c r="B2263" s="380" t="s">
        <v>328</v>
      </c>
      <c r="C2263" s="381"/>
      <c r="D2263" s="381"/>
      <c r="E2263" s="381"/>
      <c r="F2263" s="381"/>
      <c r="G2263" s="381"/>
      <c r="H2263" s="381"/>
      <c r="I2263" s="382"/>
      <c r="K2263" s="147"/>
      <c r="N2263" s="148"/>
      <c r="O2263" s="149"/>
    </row>
    <row r="2264" spans="2:15" s="145" customFormat="1" ht="20.100000000000001" customHeight="1" x14ac:dyDescent="0.25">
      <c r="B2264" s="377" t="s">
        <v>329</v>
      </c>
      <c r="C2264" s="379"/>
      <c r="D2264" s="137" t="s">
        <v>322</v>
      </c>
      <c r="E2264" s="137" t="s">
        <v>330</v>
      </c>
      <c r="F2264" s="137" t="s">
        <v>331</v>
      </c>
      <c r="G2264" s="137" t="s">
        <v>332</v>
      </c>
      <c r="H2264" s="137" t="s">
        <v>313</v>
      </c>
      <c r="I2264" s="138" t="s">
        <v>314</v>
      </c>
      <c r="K2264" s="147">
        <v>1532422.5</v>
      </c>
      <c r="O2264" s="179"/>
    </row>
    <row r="2265" spans="2:15" s="151" customFormat="1" ht="9.75" customHeight="1" x14ac:dyDescent="0.25">
      <c r="B2265" s="367" t="s">
        <v>356</v>
      </c>
      <c r="C2265" s="368"/>
      <c r="D2265" s="180">
        <v>1</v>
      </c>
      <c r="E2265" s="141">
        <v>140000</v>
      </c>
      <c r="F2265" s="141">
        <f>+E2265*0.8</f>
        <v>112000</v>
      </c>
      <c r="G2265" s="178">
        <f>D2265*E2265+F2265*D2265</f>
        <v>252000</v>
      </c>
      <c r="H2265" s="184">
        <v>2.2000000000000002</v>
      </c>
      <c r="I2265" s="143">
        <f>+G2265/H2265</f>
        <v>114545.45454545453</v>
      </c>
      <c r="J2265" s="145"/>
      <c r="K2265" s="147"/>
    </row>
    <row r="2266" spans="2:15" s="151" customFormat="1" ht="11.25" customHeight="1" x14ac:dyDescent="0.25">
      <c r="B2266" s="367" t="s">
        <v>374</v>
      </c>
      <c r="C2266" s="368"/>
      <c r="D2266" s="180">
        <v>1</v>
      </c>
      <c r="E2266" s="141">
        <v>80000</v>
      </c>
      <c r="F2266" s="141">
        <f>+E2266*0.8</f>
        <v>64000</v>
      </c>
      <c r="G2266" s="178">
        <f>D2266*E2266+F2266*D2266</f>
        <v>144000</v>
      </c>
      <c r="H2266" s="184">
        <f>+H2265</f>
        <v>2.2000000000000002</v>
      </c>
      <c r="I2266" s="143">
        <f>+G2266/H2266</f>
        <v>65454.545454545449</v>
      </c>
      <c r="J2266" s="145"/>
      <c r="K2266" s="147"/>
      <c r="L2266" s="179"/>
      <c r="M2266" s="179"/>
    </row>
    <row r="2267" spans="2:15" s="145" customFormat="1" ht="10.5" customHeight="1" x14ac:dyDescent="0.25">
      <c r="B2267" s="367" t="s">
        <v>333</v>
      </c>
      <c r="C2267" s="368"/>
      <c r="D2267" s="180">
        <v>2</v>
      </c>
      <c r="E2267" s="141">
        <v>55000</v>
      </c>
      <c r="F2267" s="141">
        <f>+E2267*0.8</f>
        <v>44000</v>
      </c>
      <c r="G2267" s="178">
        <f>D2267*E2267+F2267*D2267</f>
        <v>198000</v>
      </c>
      <c r="H2267" s="184">
        <f>+H2266</f>
        <v>2.2000000000000002</v>
      </c>
      <c r="I2267" s="143">
        <f>+G2267/H2267</f>
        <v>90000</v>
      </c>
      <c r="K2267" s="147">
        <f>+K2264-I2270</f>
        <v>-0.5</v>
      </c>
    </row>
    <row r="2268" spans="2:15" ht="10.5" customHeight="1" thickBot="1" x14ac:dyDescent="0.3">
      <c r="B2268" s="371" t="s">
        <v>318</v>
      </c>
      <c r="C2268" s="372"/>
      <c r="D2268" s="372"/>
      <c r="E2268" s="372"/>
      <c r="F2268" s="372"/>
      <c r="G2268" s="372"/>
      <c r="H2268" s="372"/>
      <c r="I2268" s="144">
        <f>SUM(I2265:I2267)</f>
        <v>270000</v>
      </c>
      <c r="K2268" s="281"/>
      <c r="N2268" s="150"/>
    </row>
    <row r="2269" spans="2:15" ht="6" customHeight="1" thickBot="1" x14ac:dyDescent="0.3">
      <c r="B2269" s="373"/>
      <c r="C2269" s="373"/>
      <c r="D2269" s="373"/>
      <c r="E2269" s="373"/>
      <c r="F2269" s="373"/>
      <c r="G2269" s="373"/>
      <c r="H2269" s="373"/>
      <c r="I2269" s="373"/>
    </row>
    <row r="2270" spans="2:15" ht="10.5" customHeight="1" thickBot="1" x14ac:dyDescent="0.3">
      <c r="B2270" s="374" t="s">
        <v>334</v>
      </c>
      <c r="C2270" s="375"/>
      <c r="D2270" s="375"/>
      <c r="E2270" s="375"/>
      <c r="F2270" s="375"/>
      <c r="G2270" s="375"/>
      <c r="H2270" s="376"/>
      <c r="I2270" s="152">
        <f>ROUND(+I2251+I2256+I2261+I2268,0)</f>
        <v>1532423</v>
      </c>
      <c r="J2270" s="281"/>
      <c r="K2270" s="169"/>
      <c r="L2270" s="181"/>
      <c r="M2270" s="181"/>
      <c r="N2270" s="153"/>
    </row>
    <row r="2271" spans="2:15" ht="6" customHeight="1" thickBot="1" x14ac:dyDescent="0.3">
      <c r="B2271" s="373"/>
      <c r="C2271" s="373"/>
      <c r="D2271" s="373"/>
      <c r="E2271" s="373"/>
      <c r="F2271" s="373"/>
      <c r="G2271" s="373"/>
      <c r="H2271" s="373"/>
      <c r="I2271" s="373"/>
    </row>
    <row r="2272" spans="2:15" ht="8.25" customHeight="1" x14ac:dyDescent="0.25">
      <c r="B2272" s="433" t="s">
        <v>335</v>
      </c>
      <c r="C2272" s="417"/>
      <c r="D2272" s="418"/>
      <c r="E2272" s="418"/>
      <c r="F2272" s="419"/>
      <c r="G2272" s="369" t="s">
        <v>336</v>
      </c>
      <c r="H2272" s="370"/>
      <c r="I2272" s="370"/>
    </row>
    <row r="2273" spans="2:14" ht="33.75" customHeight="1" x14ac:dyDescent="0.25">
      <c r="B2273" s="434"/>
      <c r="C2273" s="420"/>
      <c r="D2273" s="421"/>
      <c r="E2273" s="421"/>
      <c r="F2273" s="422"/>
      <c r="G2273" s="430" t="s">
        <v>337</v>
      </c>
      <c r="H2273" s="431"/>
      <c r="I2273" s="431"/>
      <c r="L2273" s="181"/>
      <c r="M2273" s="181"/>
      <c r="N2273" s="179"/>
    </row>
    <row r="2274" spans="2:14" ht="13.5" customHeight="1" x14ac:dyDescent="0.25">
      <c r="B2274" s="434"/>
      <c r="C2274" s="420"/>
      <c r="D2274" s="421"/>
      <c r="E2274" s="421"/>
      <c r="F2274" s="422"/>
      <c r="G2274" s="154" t="s">
        <v>92</v>
      </c>
      <c r="H2274" s="432" t="s">
        <v>93</v>
      </c>
      <c r="I2274" s="432"/>
    </row>
    <row r="2275" spans="2:14" ht="16.5" customHeight="1" x14ac:dyDescent="0.25">
      <c r="B2275" s="435"/>
      <c r="C2275" s="420"/>
      <c r="D2275" s="421"/>
      <c r="E2275" s="421"/>
      <c r="F2275" s="422"/>
      <c r="G2275" s="155" t="s">
        <v>94</v>
      </c>
      <c r="H2275" s="156" t="s">
        <v>95</v>
      </c>
      <c r="I2275" s="157" t="s">
        <v>96</v>
      </c>
    </row>
    <row r="2276" spans="2:14" x14ac:dyDescent="0.25">
      <c r="B2276" s="268" t="s">
        <v>18</v>
      </c>
      <c r="C2276" s="427"/>
      <c r="D2276" s="428"/>
      <c r="E2276" s="428"/>
      <c r="F2276" s="429"/>
      <c r="G2276" s="155" t="s">
        <v>98</v>
      </c>
      <c r="H2276" s="157" t="s">
        <v>99</v>
      </c>
      <c r="I2276" s="157" t="s">
        <v>100</v>
      </c>
    </row>
    <row r="2277" spans="2:14" x14ac:dyDescent="0.25">
      <c r="B2277" s="269" t="s">
        <v>97</v>
      </c>
      <c r="C2277" s="427"/>
      <c r="D2277" s="428"/>
      <c r="E2277" s="428"/>
      <c r="F2277" s="429"/>
      <c r="G2277" s="154" t="s">
        <v>338</v>
      </c>
      <c r="H2277" s="426"/>
      <c r="I2277" s="426"/>
    </row>
    <row r="2278" spans="2:14" ht="15.75" thickBot="1" x14ac:dyDescent="0.3">
      <c r="B2278" s="270" t="s">
        <v>101</v>
      </c>
      <c r="C2278" s="423"/>
      <c r="D2278" s="424"/>
      <c r="E2278" s="424"/>
      <c r="F2278" s="425"/>
      <c r="G2278" s="154" t="s">
        <v>102</v>
      </c>
      <c r="H2278" s="426" t="s">
        <v>103</v>
      </c>
      <c r="I2278" s="426"/>
    </row>
    <row r="2279" spans="2:14" ht="45" customHeight="1" thickBot="1" x14ac:dyDescent="0.3">
      <c r="B2279" s="401"/>
      <c r="C2279" s="402"/>
      <c r="D2279" s="402"/>
      <c r="E2279" s="402"/>
      <c r="F2279" s="403" t="s">
        <v>0</v>
      </c>
      <c r="G2279" s="403"/>
      <c r="H2279" s="403"/>
      <c r="I2279" s="404"/>
    </row>
    <row r="2280" spans="2:14" ht="6" customHeight="1" thickBot="1" x14ac:dyDescent="0.3">
      <c r="B2280" s="373"/>
      <c r="C2280" s="373"/>
      <c r="D2280" s="373"/>
      <c r="E2280" s="373"/>
      <c r="F2280" s="373"/>
      <c r="G2280" s="373"/>
      <c r="H2280" s="373"/>
      <c r="I2280" s="373"/>
    </row>
    <row r="2281" spans="2:14" ht="10.5" customHeight="1" x14ac:dyDescent="0.25">
      <c r="B2281" s="405" t="s">
        <v>294</v>
      </c>
      <c r="C2281" s="406"/>
      <c r="D2281" s="407" t="s">
        <v>295</v>
      </c>
      <c r="E2281" s="409" t="s">
        <v>296</v>
      </c>
      <c r="F2281" s="410"/>
      <c r="G2281" s="410"/>
      <c r="H2281" s="410"/>
      <c r="I2281" s="411"/>
    </row>
    <row r="2282" spans="2:14" ht="9" customHeight="1" thickBot="1" x14ac:dyDescent="0.3">
      <c r="B2282" s="415"/>
      <c r="C2282" s="416"/>
      <c r="D2282" s="408"/>
      <c r="E2282" s="412"/>
      <c r="F2282" s="413"/>
      <c r="G2282" s="413"/>
      <c r="H2282" s="413"/>
      <c r="I2282" s="414"/>
    </row>
    <row r="2283" spans="2:14" ht="6" customHeight="1" thickBot="1" x14ac:dyDescent="0.3">
      <c r="B2283" s="373"/>
      <c r="C2283" s="373"/>
      <c r="D2283" s="373"/>
      <c r="E2283" s="373"/>
      <c r="F2283" s="373"/>
      <c r="G2283" s="373"/>
      <c r="H2283" s="373"/>
      <c r="I2283" s="373"/>
    </row>
    <row r="2284" spans="2:14" ht="17.25" customHeight="1" thickBot="1" x14ac:dyDescent="0.3">
      <c r="B2284" s="390" t="s">
        <v>297</v>
      </c>
      <c r="C2284" s="391"/>
      <c r="D2284" s="392"/>
      <c r="E2284" s="393"/>
      <c r="F2284" s="393"/>
      <c r="G2284" s="394"/>
      <c r="H2284" s="127" t="s">
        <v>298</v>
      </c>
      <c r="I2284" s="128"/>
    </row>
    <row r="2285" spans="2:14" ht="6" customHeight="1" thickBot="1" x14ac:dyDescent="0.3">
      <c r="B2285" s="373"/>
      <c r="C2285" s="373"/>
      <c r="D2285" s="373"/>
      <c r="E2285" s="373"/>
      <c r="F2285" s="373"/>
      <c r="G2285" s="373"/>
      <c r="H2285" s="373"/>
      <c r="I2285" s="373"/>
    </row>
    <row r="2286" spans="2:14" ht="19.5" customHeight="1" x14ac:dyDescent="0.25">
      <c r="B2286" s="261" t="s">
        <v>299</v>
      </c>
      <c r="C2286" s="129" t="s">
        <v>300</v>
      </c>
      <c r="D2286" s="130" t="s">
        <v>301</v>
      </c>
      <c r="E2286" s="130" t="s">
        <v>302</v>
      </c>
      <c r="F2286" s="398" t="s">
        <v>303</v>
      </c>
      <c r="G2286" s="399"/>
      <c r="H2286" s="400"/>
      <c r="I2286" s="131" t="s">
        <v>304</v>
      </c>
    </row>
    <row r="2287" spans="2:14" ht="11.25" customHeight="1" x14ac:dyDescent="0.25">
      <c r="B2287" s="262"/>
      <c r="C2287" s="132"/>
      <c r="D2287" s="132" t="s">
        <v>305</v>
      </c>
      <c r="E2287" s="132" t="s">
        <v>306</v>
      </c>
      <c r="F2287" s="395" t="s">
        <v>339</v>
      </c>
      <c r="G2287" s="396"/>
      <c r="H2287" s="397"/>
      <c r="I2287" s="133"/>
    </row>
    <row r="2288" spans="2:14" ht="28.5" customHeight="1" x14ac:dyDescent="0.25">
      <c r="B2288" s="263" t="s">
        <v>307</v>
      </c>
      <c r="C2288" s="383" t="s">
        <v>414</v>
      </c>
      <c r="D2288" s="384"/>
      <c r="E2288" s="384"/>
      <c r="F2288" s="384"/>
      <c r="G2288" s="384"/>
      <c r="H2288" s="384"/>
      <c r="I2288" s="385"/>
    </row>
    <row r="2289" spans="2:15" ht="10.5" customHeight="1" x14ac:dyDescent="0.25">
      <c r="B2289" s="264" t="s">
        <v>129</v>
      </c>
      <c r="C2289" s="388" t="s">
        <v>308</v>
      </c>
      <c r="D2289" s="389"/>
      <c r="E2289" s="389"/>
      <c r="F2289" s="389"/>
      <c r="G2289" s="389"/>
      <c r="H2289" s="389"/>
      <c r="I2289" s="134" t="s">
        <v>130</v>
      </c>
    </row>
    <row r="2290" spans="2:15" ht="50.25" customHeight="1" thickBot="1" x14ac:dyDescent="0.3">
      <c r="B2290" s="265">
        <v>7.2099999999999955</v>
      </c>
      <c r="C2290" s="386" t="s">
        <v>595</v>
      </c>
      <c r="D2290" s="387"/>
      <c r="E2290" s="387"/>
      <c r="F2290" s="387"/>
      <c r="G2290" s="387"/>
      <c r="H2290" s="387"/>
      <c r="I2290" s="135" t="s">
        <v>27</v>
      </c>
    </row>
    <row r="2291" spans="2:15" ht="6" customHeight="1" thickBot="1" x14ac:dyDescent="0.3">
      <c r="B2291" s="373"/>
      <c r="C2291" s="373"/>
      <c r="D2291" s="373"/>
      <c r="E2291" s="373"/>
      <c r="F2291" s="373"/>
      <c r="G2291" s="373"/>
      <c r="H2291" s="373"/>
      <c r="I2291" s="373"/>
    </row>
    <row r="2292" spans="2:15" x14ac:dyDescent="0.25">
      <c r="B2292" s="380" t="s">
        <v>309</v>
      </c>
      <c r="C2292" s="381"/>
      <c r="D2292" s="381"/>
      <c r="E2292" s="381"/>
      <c r="F2292" s="381"/>
      <c r="G2292" s="381"/>
      <c r="H2292" s="381"/>
      <c r="I2292" s="382"/>
      <c r="K2292" s="182"/>
    </row>
    <row r="2293" spans="2:15" ht="11.25" customHeight="1" x14ac:dyDescent="0.25">
      <c r="B2293" s="377" t="s">
        <v>310</v>
      </c>
      <c r="C2293" s="378"/>
      <c r="D2293" s="379"/>
      <c r="E2293" s="136"/>
      <c r="F2293" s="137" t="s">
        <v>311</v>
      </c>
      <c r="G2293" s="137" t="s">
        <v>312</v>
      </c>
      <c r="H2293" s="137" t="s">
        <v>313</v>
      </c>
      <c r="I2293" s="138" t="s">
        <v>314</v>
      </c>
      <c r="L2293" s="139"/>
      <c r="M2293" s="139"/>
    </row>
    <row r="2294" spans="2:15" ht="11.25" customHeight="1" x14ac:dyDescent="0.25">
      <c r="B2294" s="362" t="s">
        <v>315</v>
      </c>
      <c r="C2294" s="363"/>
      <c r="D2294" s="363"/>
      <c r="E2294" s="160"/>
      <c r="F2294" s="161" t="s">
        <v>316</v>
      </c>
      <c r="G2294" s="160">
        <v>5000</v>
      </c>
      <c r="H2294" s="142">
        <v>0.5</v>
      </c>
      <c r="I2294" s="143">
        <f>G2294*H2294</f>
        <v>2500</v>
      </c>
    </row>
    <row r="2295" spans="2:15" ht="16.5" customHeight="1" x14ac:dyDescent="0.25">
      <c r="B2295" s="362" t="s">
        <v>355</v>
      </c>
      <c r="C2295" s="363"/>
      <c r="D2295" s="363"/>
      <c r="E2295" s="160"/>
      <c r="F2295" s="161" t="s">
        <v>317</v>
      </c>
      <c r="G2295" s="160">
        <v>90000</v>
      </c>
      <c r="H2295" s="142">
        <f>+H2294</f>
        <v>0.5</v>
      </c>
      <c r="I2295" s="143">
        <f>G2295*H2295</f>
        <v>45000</v>
      </c>
    </row>
    <row r="2296" spans="2:15" ht="10.5" customHeight="1" thickBot="1" x14ac:dyDescent="0.3">
      <c r="B2296" s="371" t="s">
        <v>318</v>
      </c>
      <c r="C2296" s="372"/>
      <c r="D2296" s="372"/>
      <c r="E2296" s="372"/>
      <c r="F2296" s="372"/>
      <c r="G2296" s="372"/>
      <c r="H2296" s="372"/>
      <c r="I2296" s="144">
        <f>SUM(I2294:I2295)</f>
        <v>47500</v>
      </c>
      <c r="N2296" s="150"/>
    </row>
    <row r="2297" spans="2:15" ht="6" customHeight="1" thickBot="1" x14ac:dyDescent="0.3">
      <c r="B2297" s="373"/>
      <c r="C2297" s="373"/>
      <c r="D2297" s="373"/>
      <c r="E2297" s="373"/>
      <c r="F2297" s="373"/>
      <c r="G2297" s="373"/>
      <c r="H2297" s="373"/>
      <c r="I2297" s="373"/>
    </row>
    <row r="2298" spans="2:15" s="145" customFormat="1" x14ac:dyDescent="0.25">
      <c r="B2298" s="380" t="s">
        <v>319</v>
      </c>
      <c r="C2298" s="381"/>
      <c r="D2298" s="381"/>
      <c r="E2298" s="381"/>
      <c r="F2298" s="381"/>
      <c r="G2298" s="381"/>
      <c r="H2298" s="381"/>
      <c r="I2298" s="382"/>
    </row>
    <row r="2299" spans="2:15" s="145" customFormat="1" ht="15.75" customHeight="1" x14ac:dyDescent="0.25">
      <c r="B2299" s="377" t="s">
        <v>310</v>
      </c>
      <c r="C2299" s="378"/>
      <c r="D2299" s="379"/>
      <c r="E2299" s="137"/>
      <c r="F2299" s="137" t="s">
        <v>320</v>
      </c>
      <c r="G2299" s="137" t="s">
        <v>321</v>
      </c>
      <c r="H2299" s="137" t="s">
        <v>322</v>
      </c>
      <c r="I2299" s="138" t="s">
        <v>314</v>
      </c>
    </row>
    <row r="2300" spans="2:15" ht="78.75" customHeight="1" x14ac:dyDescent="0.25">
      <c r="B2300" s="436" t="s">
        <v>595</v>
      </c>
      <c r="C2300" s="437"/>
      <c r="D2300" s="438"/>
      <c r="E2300" s="163"/>
      <c r="F2300" s="161" t="s">
        <v>27</v>
      </c>
      <c r="G2300" s="160">
        <v>1189923</v>
      </c>
      <c r="H2300" s="142">
        <v>1</v>
      </c>
      <c r="I2300" s="143">
        <f>G2300*H2300</f>
        <v>1189923</v>
      </c>
      <c r="M2300">
        <v>4608265</v>
      </c>
    </row>
    <row r="2301" spans="2:15" ht="18" customHeight="1" thickBot="1" x14ac:dyDescent="0.3">
      <c r="B2301" s="371" t="s">
        <v>318</v>
      </c>
      <c r="C2301" s="372"/>
      <c r="D2301" s="372"/>
      <c r="E2301" s="372"/>
      <c r="F2301" s="372"/>
      <c r="G2301" s="372"/>
      <c r="H2301" s="372"/>
      <c r="I2301" s="144">
        <f>SUM(I2300:I2300)</f>
        <v>1189923</v>
      </c>
      <c r="N2301" s="150"/>
    </row>
    <row r="2302" spans="2:15" ht="6" customHeight="1" thickBot="1" x14ac:dyDescent="0.3">
      <c r="B2302" s="373"/>
      <c r="C2302" s="373"/>
      <c r="D2302" s="373"/>
      <c r="E2302" s="373"/>
      <c r="F2302" s="373"/>
      <c r="G2302" s="373"/>
      <c r="H2302" s="373"/>
      <c r="I2302" s="373"/>
    </row>
    <row r="2303" spans="2:15" s="145" customFormat="1" x14ac:dyDescent="0.25">
      <c r="B2303" s="380" t="s">
        <v>323</v>
      </c>
      <c r="C2303" s="381"/>
      <c r="D2303" s="381"/>
      <c r="E2303" s="381"/>
      <c r="F2303" s="381"/>
      <c r="G2303" s="381"/>
      <c r="H2303" s="381"/>
      <c r="I2303" s="382"/>
      <c r="L2303" s="146"/>
      <c r="M2303" s="146"/>
    </row>
    <row r="2304" spans="2:15" s="145" customFormat="1" x14ac:dyDescent="0.25">
      <c r="B2304" s="377" t="s">
        <v>324</v>
      </c>
      <c r="C2304" s="378"/>
      <c r="D2304" s="379"/>
      <c r="E2304" s="137" t="s">
        <v>325</v>
      </c>
      <c r="F2304" s="137" t="s">
        <v>326</v>
      </c>
      <c r="G2304" s="137" t="s">
        <v>130</v>
      </c>
      <c r="H2304" s="137" t="s">
        <v>327</v>
      </c>
      <c r="I2304" s="138" t="s">
        <v>314</v>
      </c>
      <c r="K2304" s="260"/>
      <c r="N2304" s="183"/>
      <c r="O2304" s="148"/>
    </row>
    <row r="2305" spans="2:15" ht="11.25" customHeight="1" x14ac:dyDescent="0.25">
      <c r="B2305" s="362" t="s">
        <v>711</v>
      </c>
      <c r="C2305" s="363"/>
      <c r="D2305" s="363"/>
      <c r="E2305" s="170">
        <v>1</v>
      </c>
      <c r="F2305" s="164"/>
      <c r="G2305" s="161"/>
      <c r="H2305" s="162">
        <v>25000</v>
      </c>
      <c r="I2305" s="143">
        <f>H2305*E2305</f>
        <v>25000</v>
      </c>
      <c r="K2305" s="281"/>
    </row>
    <row r="2306" spans="2:15" ht="10.5" customHeight="1" thickBot="1" x14ac:dyDescent="0.3">
      <c r="B2306" s="371" t="s">
        <v>318</v>
      </c>
      <c r="C2306" s="372"/>
      <c r="D2306" s="372"/>
      <c r="E2306" s="372"/>
      <c r="F2306" s="372"/>
      <c r="G2306" s="372"/>
      <c r="H2306" s="372"/>
      <c r="I2306" s="144">
        <f>SUM(I2305:I2305)</f>
        <v>25000</v>
      </c>
      <c r="K2306" s="281"/>
      <c r="N2306" s="150"/>
    </row>
    <row r="2307" spans="2:15" ht="6" customHeight="1" thickBot="1" x14ac:dyDescent="0.3">
      <c r="B2307" s="373"/>
      <c r="C2307" s="373"/>
      <c r="D2307" s="373"/>
      <c r="E2307" s="373"/>
      <c r="F2307" s="373"/>
      <c r="G2307" s="373"/>
      <c r="H2307" s="373"/>
      <c r="I2307" s="373"/>
    </row>
    <row r="2308" spans="2:15" s="145" customFormat="1" ht="20.100000000000001" customHeight="1" x14ac:dyDescent="0.25">
      <c r="B2308" s="380" t="s">
        <v>328</v>
      </c>
      <c r="C2308" s="381"/>
      <c r="D2308" s="381"/>
      <c r="E2308" s="381"/>
      <c r="F2308" s="381"/>
      <c r="G2308" s="381"/>
      <c r="H2308" s="381"/>
      <c r="I2308" s="382"/>
      <c r="K2308" s="147"/>
      <c r="N2308" s="148"/>
      <c r="O2308" s="149"/>
    </row>
    <row r="2309" spans="2:15" s="145" customFormat="1" ht="20.100000000000001" customHeight="1" x14ac:dyDescent="0.25">
      <c r="B2309" s="377" t="s">
        <v>329</v>
      </c>
      <c r="C2309" s="379"/>
      <c r="D2309" s="137" t="s">
        <v>322</v>
      </c>
      <c r="E2309" s="137" t="s">
        <v>330</v>
      </c>
      <c r="F2309" s="137" t="s">
        <v>331</v>
      </c>
      <c r="G2309" s="137" t="s">
        <v>332</v>
      </c>
      <c r="H2309" s="137" t="s">
        <v>313</v>
      </c>
      <c r="I2309" s="138" t="s">
        <v>314</v>
      </c>
      <c r="K2309" s="147"/>
      <c r="O2309" s="179"/>
    </row>
    <row r="2310" spans="2:15" s="151" customFormat="1" ht="9.75" customHeight="1" x14ac:dyDescent="0.25">
      <c r="B2310" s="367" t="s">
        <v>356</v>
      </c>
      <c r="C2310" s="368"/>
      <c r="D2310" s="180">
        <v>1</v>
      </c>
      <c r="E2310" s="141">
        <v>140000</v>
      </c>
      <c r="F2310" s="141">
        <f>+E2310*0.8</f>
        <v>112000</v>
      </c>
      <c r="G2310" s="178">
        <f>D2310*E2310+F2310*D2310</f>
        <v>252000</v>
      </c>
      <c r="H2310" s="184">
        <v>2.2000000000000002</v>
      </c>
      <c r="I2310" s="143">
        <f>+G2310/H2310</f>
        <v>114545.45454545453</v>
      </c>
      <c r="J2310" s="145"/>
      <c r="K2310" s="147"/>
    </row>
    <row r="2311" spans="2:15" s="151" customFormat="1" ht="11.25" customHeight="1" x14ac:dyDescent="0.25">
      <c r="B2311" s="367" t="s">
        <v>374</v>
      </c>
      <c r="C2311" s="368"/>
      <c r="D2311" s="180">
        <v>1</v>
      </c>
      <c r="E2311" s="141">
        <v>80000</v>
      </c>
      <c r="F2311" s="141">
        <f>+E2311*0.8</f>
        <v>64000</v>
      </c>
      <c r="G2311" s="178">
        <f>D2311*E2311+F2311*D2311</f>
        <v>144000</v>
      </c>
      <c r="H2311" s="184">
        <f>+H2310</f>
        <v>2.2000000000000002</v>
      </c>
      <c r="I2311" s="143">
        <f>+G2311/H2311</f>
        <v>65454.545454545449</v>
      </c>
      <c r="J2311" s="145"/>
      <c r="K2311" s="147"/>
      <c r="L2311" s="179"/>
      <c r="M2311" s="179"/>
    </row>
    <row r="2312" spans="2:15" s="145" customFormat="1" ht="10.5" customHeight="1" x14ac:dyDescent="0.25">
      <c r="B2312" s="367" t="s">
        <v>333</v>
      </c>
      <c r="C2312" s="368"/>
      <c r="D2312" s="180">
        <v>2</v>
      </c>
      <c r="E2312" s="141">
        <v>55000</v>
      </c>
      <c r="F2312" s="141">
        <f>+E2312*0.8</f>
        <v>44000</v>
      </c>
      <c r="G2312" s="178">
        <f>D2312*E2312+F2312*D2312</f>
        <v>198000</v>
      </c>
      <c r="H2312" s="184">
        <f>+H2311</f>
        <v>2.2000000000000002</v>
      </c>
      <c r="I2312" s="143">
        <f>+G2312/H2312</f>
        <v>90000</v>
      </c>
      <c r="K2312" s="147"/>
    </row>
    <row r="2313" spans="2:15" ht="10.5" customHeight="1" thickBot="1" x14ac:dyDescent="0.3">
      <c r="B2313" s="371" t="s">
        <v>318</v>
      </c>
      <c r="C2313" s="372"/>
      <c r="D2313" s="372"/>
      <c r="E2313" s="372"/>
      <c r="F2313" s="372"/>
      <c r="G2313" s="372"/>
      <c r="H2313" s="372"/>
      <c r="I2313" s="144">
        <f>SUM(I2310:I2312)</f>
        <v>270000</v>
      </c>
      <c r="K2313" s="281"/>
      <c r="N2313" s="150"/>
    </row>
    <row r="2314" spans="2:15" ht="6" customHeight="1" thickBot="1" x14ac:dyDescent="0.3">
      <c r="B2314" s="373"/>
      <c r="C2314" s="373"/>
      <c r="D2314" s="373"/>
      <c r="E2314" s="373"/>
      <c r="F2314" s="373"/>
      <c r="G2314" s="373"/>
      <c r="H2314" s="373"/>
      <c r="I2314" s="373"/>
    </row>
    <row r="2315" spans="2:15" ht="10.5" customHeight="1" thickBot="1" x14ac:dyDescent="0.3">
      <c r="B2315" s="374" t="s">
        <v>334</v>
      </c>
      <c r="C2315" s="375"/>
      <c r="D2315" s="375"/>
      <c r="E2315" s="375"/>
      <c r="F2315" s="375"/>
      <c r="G2315" s="375"/>
      <c r="H2315" s="376"/>
      <c r="I2315" s="152">
        <f>ROUND(+I2296+I2301+I2306+I2313,0)</f>
        <v>1532423</v>
      </c>
      <c r="J2315" s="281"/>
      <c r="K2315" s="169"/>
      <c r="L2315" s="181"/>
      <c r="M2315" s="181"/>
      <c r="N2315" s="153"/>
    </row>
    <row r="2316" spans="2:15" ht="6" customHeight="1" thickBot="1" x14ac:dyDescent="0.3">
      <c r="B2316" s="373"/>
      <c r="C2316" s="373"/>
      <c r="D2316" s="373"/>
      <c r="E2316" s="373"/>
      <c r="F2316" s="373"/>
      <c r="G2316" s="373"/>
      <c r="H2316" s="373"/>
      <c r="I2316" s="373"/>
    </row>
    <row r="2317" spans="2:15" ht="8.25" customHeight="1" x14ac:dyDescent="0.25">
      <c r="B2317" s="433" t="s">
        <v>335</v>
      </c>
      <c r="C2317" s="417"/>
      <c r="D2317" s="418"/>
      <c r="E2317" s="418"/>
      <c r="F2317" s="419"/>
      <c r="G2317" s="369" t="s">
        <v>336</v>
      </c>
      <c r="H2317" s="370"/>
      <c r="I2317" s="370"/>
    </row>
    <row r="2318" spans="2:15" ht="33.75" customHeight="1" x14ac:dyDescent="0.25">
      <c r="B2318" s="434"/>
      <c r="C2318" s="420"/>
      <c r="D2318" s="421"/>
      <c r="E2318" s="421"/>
      <c r="F2318" s="422"/>
      <c r="G2318" s="430" t="s">
        <v>337</v>
      </c>
      <c r="H2318" s="431"/>
      <c r="I2318" s="431"/>
      <c r="L2318" s="181"/>
      <c r="M2318" s="181"/>
      <c r="N2318" s="179"/>
    </row>
    <row r="2319" spans="2:15" ht="13.5" customHeight="1" x14ac:dyDescent="0.25">
      <c r="B2319" s="434"/>
      <c r="C2319" s="420"/>
      <c r="D2319" s="421"/>
      <c r="E2319" s="421"/>
      <c r="F2319" s="422"/>
      <c r="G2319" s="154" t="s">
        <v>92</v>
      </c>
      <c r="H2319" s="432" t="s">
        <v>93</v>
      </c>
      <c r="I2319" s="432"/>
    </row>
    <row r="2320" spans="2:15" ht="16.5" customHeight="1" x14ac:dyDescent="0.25">
      <c r="B2320" s="435"/>
      <c r="C2320" s="420"/>
      <c r="D2320" s="421"/>
      <c r="E2320" s="421"/>
      <c r="F2320" s="422"/>
      <c r="G2320" s="155" t="s">
        <v>94</v>
      </c>
      <c r="H2320" s="156" t="s">
        <v>95</v>
      </c>
      <c r="I2320" s="157" t="s">
        <v>96</v>
      </c>
    </row>
    <row r="2321" spans="2:9" x14ac:dyDescent="0.25">
      <c r="B2321" s="268" t="s">
        <v>18</v>
      </c>
      <c r="C2321" s="427"/>
      <c r="D2321" s="428"/>
      <c r="E2321" s="428"/>
      <c r="F2321" s="429"/>
      <c r="G2321" s="155" t="s">
        <v>98</v>
      </c>
      <c r="H2321" s="157" t="s">
        <v>99</v>
      </c>
      <c r="I2321" s="157" t="s">
        <v>100</v>
      </c>
    </row>
    <row r="2322" spans="2:9" x14ac:dyDescent="0.25">
      <c r="B2322" s="269" t="s">
        <v>97</v>
      </c>
      <c r="C2322" s="427"/>
      <c r="D2322" s="428"/>
      <c r="E2322" s="428"/>
      <c r="F2322" s="429"/>
      <c r="G2322" s="154" t="s">
        <v>338</v>
      </c>
      <c r="H2322" s="426"/>
      <c r="I2322" s="426"/>
    </row>
    <row r="2323" spans="2:9" ht="15.75" thickBot="1" x14ac:dyDescent="0.3">
      <c r="B2323" s="270" t="s">
        <v>101</v>
      </c>
      <c r="C2323" s="423"/>
      <c r="D2323" s="424"/>
      <c r="E2323" s="424"/>
      <c r="F2323" s="425"/>
      <c r="G2323" s="154" t="s">
        <v>102</v>
      </c>
      <c r="H2323" s="426" t="s">
        <v>103</v>
      </c>
      <c r="I2323" s="426"/>
    </row>
    <row r="2324" spans="2:9" ht="45" customHeight="1" thickBot="1" x14ac:dyDescent="0.3">
      <c r="B2324" s="401"/>
      <c r="C2324" s="402"/>
      <c r="D2324" s="402"/>
      <c r="E2324" s="402"/>
      <c r="F2324" s="403" t="s">
        <v>0</v>
      </c>
      <c r="G2324" s="403"/>
      <c r="H2324" s="403"/>
      <c r="I2324" s="404"/>
    </row>
    <row r="2325" spans="2:9" ht="6" customHeight="1" thickBot="1" x14ac:dyDescent="0.3">
      <c r="B2325" s="373"/>
      <c r="C2325" s="373"/>
      <c r="D2325" s="373"/>
      <c r="E2325" s="373"/>
      <c r="F2325" s="373"/>
      <c r="G2325" s="373"/>
      <c r="H2325" s="373"/>
      <c r="I2325" s="373"/>
    </row>
    <row r="2326" spans="2:9" ht="10.5" customHeight="1" x14ac:dyDescent="0.25">
      <c r="B2326" s="405" t="s">
        <v>294</v>
      </c>
      <c r="C2326" s="406"/>
      <c r="D2326" s="407" t="s">
        <v>295</v>
      </c>
      <c r="E2326" s="409" t="s">
        <v>296</v>
      </c>
      <c r="F2326" s="410"/>
      <c r="G2326" s="410"/>
      <c r="H2326" s="410"/>
      <c r="I2326" s="411"/>
    </row>
    <row r="2327" spans="2:9" ht="9" customHeight="1" thickBot="1" x14ac:dyDescent="0.3">
      <c r="B2327" s="415"/>
      <c r="C2327" s="416"/>
      <c r="D2327" s="408"/>
      <c r="E2327" s="412"/>
      <c r="F2327" s="413"/>
      <c r="G2327" s="413"/>
      <c r="H2327" s="413"/>
      <c r="I2327" s="414"/>
    </row>
    <row r="2328" spans="2:9" ht="6" customHeight="1" thickBot="1" x14ac:dyDescent="0.3">
      <c r="B2328" s="373"/>
      <c r="C2328" s="373"/>
      <c r="D2328" s="373"/>
      <c r="E2328" s="373"/>
      <c r="F2328" s="373"/>
      <c r="G2328" s="373"/>
      <c r="H2328" s="373"/>
      <c r="I2328" s="373"/>
    </row>
    <row r="2329" spans="2:9" ht="17.25" customHeight="1" thickBot="1" x14ac:dyDescent="0.3">
      <c r="B2329" s="390" t="s">
        <v>297</v>
      </c>
      <c r="C2329" s="391"/>
      <c r="D2329" s="392"/>
      <c r="E2329" s="393"/>
      <c r="F2329" s="393"/>
      <c r="G2329" s="394"/>
      <c r="H2329" s="127" t="s">
        <v>298</v>
      </c>
      <c r="I2329" s="128"/>
    </row>
    <row r="2330" spans="2:9" ht="6" customHeight="1" thickBot="1" x14ac:dyDescent="0.3">
      <c r="B2330" s="373"/>
      <c r="C2330" s="373"/>
      <c r="D2330" s="373"/>
      <c r="E2330" s="373"/>
      <c r="F2330" s="373"/>
      <c r="G2330" s="373"/>
      <c r="H2330" s="373"/>
      <c r="I2330" s="373"/>
    </row>
    <row r="2331" spans="2:9" ht="19.5" customHeight="1" x14ac:dyDescent="0.25">
      <c r="B2331" s="261" t="s">
        <v>299</v>
      </c>
      <c r="C2331" s="129" t="s">
        <v>300</v>
      </c>
      <c r="D2331" s="130" t="s">
        <v>301</v>
      </c>
      <c r="E2331" s="130" t="s">
        <v>302</v>
      </c>
      <c r="F2331" s="398" t="s">
        <v>303</v>
      </c>
      <c r="G2331" s="399"/>
      <c r="H2331" s="400"/>
      <c r="I2331" s="131" t="s">
        <v>304</v>
      </c>
    </row>
    <row r="2332" spans="2:9" ht="11.25" customHeight="1" x14ac:dyDescent="0.25">
      <c r="B2332" s="262"/>
      <c r="C2332" s="132"/>
      <c r="D2332" s="132" t="s">
        <v>305</v>
      </c>
      <c r="E2332" s="132" t="s">
        <v>306</v>
      </c>
      <c r="F2332" s="395" t="s">
        <v>339</v>
      </c>
      <c r="G2332" s="396"/>
      <c r="H2332" s="397"/>
      <c r="I2332" s="133"/>
    </row>
    <row r="2333" spans="2:9" ht="28.5" customHeight="1" x14ac:dyDescent="0.25">
      <c r="B2333" s="263" t="s">
        <v>307</v>
      </c>
      <c r="C2333" s="383" t="s">
        <v>414</v>
      </c>
      <c r="D2333" s="384"/>
      <c r="E2333" s="384"/>
      <c r="F2333" s="384"/>
      <c r="G2333" s="384"/>
      <c r="H2333" s="384"/>
      <c r="I2333" s="385"/>
    </row>
    <row r="2334" spans="2:9" ht="10.5" customHeight="1" x14ac:dyDescent="0.25">
      <c r="B2334" s="264" t="s">
        <v>129</v>
      </c>
      <c r="C2334" s="388" t="s">
        <v>308</v>
      </c>
      <c r="D2334" s="389"/>
      <c r="E2334" s="389"/>
      <c r="F2334" s="389"/>
      <c r="G2334" s="389"/>
      <c r="H2334" s="389"/>
      <c r="I2334" s="134" t="s">
        <v>130</v>
      </c>
    </row>
    <row r="2335" spans="2:9" ht="50.25" customHeight="1" thickBot="1" x14ac:dyDescent="0.3">
      <c r="B2335" s="265">
        <v>7.2199999999999953</v>
      </c>
      <c r="C2335" s="386" t="s">
        <v>596</v>
      </c>
      <c r="D2335" s="387"/>
      <c r="E2335" s="387"/>
      <c r="F2335" s="387"/>
      <c r="G2335" s="387"/>
      <c r="H2335" s="387"/>
      <c r="I2335" s="135" t="s">
        <v>27</v>
      </c>
    </row>
    <row r="2336" spans="2:9" ht="6" customHeight="1" thickBot="1" x14ac:dyDescent="0.3">
      <c r="B2336" s="373"/>
      <c r="C2336" s="373"/>
      <c r="D2336" s="373"/>
      <c r="E2336" s="373"/>
      <c r="F2336" s="373"/>
      <c r="G2336" s="373"/>
      <c r="H2336" s="373"/>
      <c r="I2336" s="373"/>
    </row>
    <row r="2337" spans="2:15" x14ac:dyDescent="0.25">
      <c r="B2337" s="380" t="s">
        <v>309</v>
      </c>
      <c r="C2337" s="381"/>
      <c r="D2337" s="381"/>
      <c r="E2337" s="381"/>
      <c r="F2337" s="381"/>
      <c r="G2337" s="381"/>
      <c r="H2337" s="381"/>
      <c r="I2337" s="382"/>
      <c r="K2337" s="182"/>
    </row>
    <row r="2338" spans="2:15" ht="11.25" customHeight="1" x14ac:dyDescent="0.25">
      <c r="B2338" s="377" t="s">
        <v>310</v>
      </c>
      <c r="C2338" s="378"/>
      <c r="D2338" s="379"/>
      <c r="E2338" s="136"/>
      <c r="F2338" s="137" t="s">
        <v>311</v>
      </c>
      <c r="G2338" s="137" t="s">
        <v>312</v>
      </c>
      <c r="H2338" s="137" t="s">
        <v>313</v>
      </c>
      <c r="I2338" s="138" t="s">
        <v>314</v>
      </c>
      <c r="L2338" s="139"/>
      <c r="M2338" s="139"/>
    </row>
    <row r="2339" spans="2:15" ht="11.25" customHeight="1" x14ac:dyDescent="0.25">
      <c r="B2339" s="362" t="s">
        <v>315</v>
      </c>
      <c r="C2339" s="363"/>
      <c r="D2339" s="363"/>
      <c r="E2339" s="160"/>
      <c r="F2339" s="161" t="s">
        <v>316</v>
      </c>
      <c r="G2339" s="160">
        <v>5000</v>
      </c>
      <c r="H2339" s="142">
        <v>0.9</v>
      </c>
      <c r="I2339" s="143">
        <f>G2339*H2339</f>
        <v>4500</v>
      </c>
    </row>
    <row r="2340" spans="2:15" ht="16.5" customHeight="1" x14ac:dyDescent="0.25">
      <c r="B2340" s="362" t="s">
        <v>355</v>
      </c>
      <c r="C2340" s="363"/>
      <c r="D2340" s="363"/>
      <c r="E2340" s="160"/>
      <c r="F2340" s="161" t="s">
        <v>317</v>
      </c>
      <c r="G2340" s="160">
        <v>90000</v>
      </c>
      <c r="H2340" s="142">
        <f>+H2339</f>
        <v>0.9</v>
      </c>
      <c r="I2340" s="143">
        <f>G2340*H2340</f>
        <v>81000</v>
      </c>
    </row>
    <row r="2341" spans="2:15" ht="10.5" customHeight="1" thickBot="1" x14ac:dyDescent="0.3">
      <c r="B2341" s="371" t="s">
        <v>318</v>
      </c>
      <c r="C2341" s="372"/>
      <c r="D2341" s="372"/>
      <c r="E2341" s="372"/>
      <c r="F2341" s="372"/>
      <c r="G2341" s="372"/>
      <c r="H2341" s="372"/>
      <c r="I2341" s="144">
        <f>SUM(I2339:I2340)</f>
        <v>85500</v>
      </c>
      <c r="N2341" s="150"/>
    </row>
    <row r="2342" spans="2:15" ht="6" customHeight="1" thickBot="1" x14ac:dyDescent="0.3">
      <c r="B2342" s="373"/>
      <c r="C2342" s="373"/>
      <c r="D2342" s="373"/>
      <c r="E2342" s="373"/>
      <c r="F2342" s="373"/>
      <c r="G2342" s="373"/>
      <c r="H2342" s="373"/>
      <c r="I2342" s="373"/>
    </row>
    <row r="2343" spans="2:15" s="145" customFormat="1" x14ac:dyDescent="0.25">
      <c r="B2343" s="380" t="s">
        <v>319</v>
      </c>
      <c r="C2343" s="381"/>
      <c r="D2343" s="381"/>
      <c r="E2343" s="381"/>
      <c r="F2343" s="381"/>
      <c r="G2343" s="381"/>
      <c r="H2343" s="381"/>
      <c r="I2343" s="382"/>
    </row>
    <row r="2344" spans="2:15" s="145" customFormat="1" ht="15.75" customHeight="1" x14ac:dyDescent="0.25">
      <c r="B2344" s="377" t="s">
        <v>310</v>
      </c>
      <c r="C2344" s="378"/>
      <c r="D2344" s="379"/>
      <c r="E2344" s="137"/>
      <c r="F2344" s="137" t="s">
        <v>320</v>
      </c>
      <c r="G2344" s="137" t="s">
        <v>321</v>
      </c>
      <c r="H2344" s="137" t="s">
        <v>322</v>
      </c>
      <c r="I2344" s="138" t="s">
        <v>314</v>
      </c>
    </row>
    <row r="2345" spans="2:15" ht="78.75" customHeight="1" x14ac:dyDescent="0.25">
      <c r="B2345" s="436" t="s">
        <v>596</v>
      </c>
      <c r="C2345" s="437"/>
      <c r="D2345" s="438"/>
      <c r="E2345" s="163"/>
      <c r="F2345" s="161" t="s">
        <v>27</v>
      </c>
      <c r="G2345" s="160">
        <f>1189923+2431175+100</f>
        <v>3621198</v>
      </c>
      <c r="H2345" s="142">
        <v>1</v>
      </c>
      <c r="I2345" s="143">
        <f>G2345*H2345</f>
        <v>3621198</v>
      </c>
      <c r="M2345">
        <v>4608265</v>
      </c>
    </row>
    <row r="2346" spans="2:15" ht="18" customHeight="1" thickBot="1" x14ac:dyDescent="0.3">
      <c r="B2346" s="371" t="s">
        <v>318</v>
      </c>
      <c r="C2346" s="372"/>
      <c r="D2346" s="372"/>
      <c r="E2346" s="372"/>
      <c r="F2346" s="372"/>
      <c r="G2346" s="372"/>
      <c r="H2346" s="372"/>
      <c r="I2346" s="144">
        <f>SUM(I2345:I2345)</f>
        <v>3621198</v>
      </c>
      <c r="N2346" s="150"/>
    </row>
    <row r="2347" spans="2:15" ht="6" customHeight="1" thickBot="1" x14ac:dyDescent="0.3">
      <c r="B2347" s="373"/>
      <c r="C2347" s="373"/>
      <c r="D2347" s="373"/>
      <c r="E2347" s="373"/>
      <c r="F2347" s="373"/>
      <c r="G2347" s="373"/>
      <c r="H2347" s="373"/>
      <c r="I2347" s="373"/>
    </row>
    <row r="2348" spans="2:15" s="145" customFormat="1" x14ac:dyDescent="0.25">
      <c r="B2348" s="380" t="s">
        <v>323</v>
      </c>
      <c r="C2348" s="381"/>
      <c r="D2348" s="381"/>
      <c r="E2348" s="381"/>
      <c r="F2348" s="381"/>
      <c r="G2348" s="381"/>
      <c r="H2348" s="381"/>
      <c r="I2348" s="382"/>
      <c r="L2348" s="146"/>
      <c r="M2348" s="146"/>
    </row>
    <row r="2349" spans="2:15" s="145" customFormat="1" x14ac:dyDescent="0.25">
      <c r="B2349" s="377" t="s">
        <v>324</v>
      </c>
      <c r="C2349" s="378"/>
      <c r="D2349" s="379"/>
      <c r="E2349" s="137" t="s">
        <v>325</v>
      </c>
      <c r="F2349" s="137" t="s">
        <v>326</v>
      </c>
      <c r="G2349" s="137" t="s">
        <v>130</v>
      </c>
      <c r="H2349" s="137" t="s">
        <v>327</v>
      </c>
      <c r="I2349" s="138" t="s">
        <v>314</v>
      </c>
      <c r="K2349" s="260"/>
      <c r="N2349" s="183"/>
      <c r="O2349" s="148"/>
    </row>
    <row r="2350" spans="2:15" ht="11.25" customHeight="1" x14ac:dyDescent="0.25">
      <c r="B2350" s="362" t="s">
        <v>711</v>
      </c>
      <c r="C2350" s="363"/>
      <c r="D2350" s="363"/>
      <c r="E2350" s="170">
        <v>1</v>
      </c>
      <c r="F2350" s="164"/>
      <c r="G2350" s="161"/>
      <c r="H2350" s="162">
        <v>35000</v>
      </c>
      <c r="I2350" s="143">
        <f>H2350*E2350</f>
        <v>35000</v>
      </c>
      <c r="K2350" s="281"/>
    </row>
    <row r="2351" spans="2:15" ht="10.5" customHeight="1" thickBot="1" x14ac:dyDescent="0.3">
      <c r="B2351" s="371" t="s">
        <v>318</v>
      </c>
      <c r="C2351" s="372"/>
      <c r="D2351" s="372"/>
      <c r="E2351" s="372"/>
      <c r="F2351" s="372"/>
      <c r="G2351" s="372"/>
      <c r="H2351" s="372"/>
      <c r="I2351" s="144">
        <f>SUM(I2350:I2350)</f>
        <v>35000</v>
      </c>
      <c r="K2351" s="281"/>
      <c r="N2351" s="150"/>
    </row>
    <row r="2352" spans="2:15" ht="6" customHeight="1" thickBot="1" x14ac:dyDescent="0.3">
      <c r="B2352" s="373"/>
      <c r="C2352" s="373"/>
      <c r="D2352" s="373"/>
      <c r="E2352" s="373"/>
      <c r="F2352" s="373"/>
      <c r="G2352" s="373"/>
      <c r="H2352" s="373"/>
      <c r="I2352" s="373"/>
    </row>
    <row r="2353" spans="2:15" s="145" customFormat="1" ht="20.100000000000001" customHeight="1" x14ac:dyDescent="0.25">
      <c r="B2353" s="380" t="s">
        <v>328</v>
      </c>
      <c r="C2353" s="381"/>
      <c r="D2353" s="381"/>
      <c r="E2353" s="381"/>
      <c r="F2353" s="381"/>
      <c r="G2353" s="381"/>
      <c r="H2353" s="381"/>
      <c r="I2353" s="382"/>
      <c r="K2353" s="147"/>
      <c r="N2353" s="148"/>
      <c r="O2353" s="149"/>
    </row>
    <row r="2354" spans="2:15" s="145" customFormat="1" ht="20.100000000000001" customHeight="1" x14ac:dyDescent="0.25">
      <c r="B2354" s="377" t="s">
        <v>329</v>
      </c>
      <c r="C2354" s="379"/>
      <c r="D2354" s="137" t="s">
        <v>322</v>
      </c>
      <c r="E2354" s="137" t="s">
        <v>330</v>
      </c>
      <c r="F2354" s="137" t="s">
        <v>331</v>
      </c>
      <c r="G2354" s="137" t="s">
        <v>332</v>
      </c>
      <c r="H2354" s="137" t="s">
        <v>313</v>
      </c>
      <c r="I2354" s="138" t="s">
        <v>314</v>
      </c>
      <c r="K2354" s="147">
        <f>+I2360-K2356</f>
        <v>0.5</v>
      </c>
      <c r="O2354" s="179"/>
    </row>
    <row r="2355" spans="2:15" s="151" customFormat="1" ht="9.75" customHeight="1" x14ac:dyDescent="0.25">
      <c r="B2355" s="367" t="s">
        <v>356</v>
      </c>
      <c r="C2355" s="368"/>
      <c r="D2355" s="180">
        <v>1</v>
      </c>
      <c r="E2355" s="141">
        <v>140000</v>
      </c>
      <c r="F2355" s="141">
        <f>+E2355*0.8</f>
        <v>112000</v>
      </c>
      <c r="G2355" s="178">
        <f>D2355*E2355+F2355*D2355</f>
        <v>252000</v>
      </c>
      <c r="H2355" s="184">
        <v>1.2</v>
      </c>
      <c r="I2355" s="143">
        <f>+G2355/H2355</f>
        <v>210000</v>
      </c>
      <c r="J2355" s="145"/>
      <c r="K2355" s="147"/>
    </row>
    <row r="2356" spans="2:15" s="151" customFormat="1" ht="13.5" customHeight="1" x14ac:dyDescent="0.25">
      <c r="B2356" s="367" t="s">
        <v>374</v>
      </c>
      <c r="C2356" s="368"/>
      <c r="D2356" s="180">
        <v>1</v>
      </c>
      <c r="E2356" s="141">
        <v>80000</v>
      </c>
      <c r="F2356" s="141">
        <f>+E2356*0.8</f>
        <v>64000</v>
      </c>
      <c r="G2356" s="178">
        <f>D2356*E2356+F2356*D2356</f>
        <v>144000</v>
      </c>
      <c r="H2356" s="184">
        <f>+H2355</f>
        <v>1.2</v>
      </c>
      <c r="I2356" s="143">
        <f>+G2356/H2356</f>
        <v>120000</v>
      </c>
      <c r="J2356" s="145"/>
      <c r="K2356" s="147">
        <v>4236697.5</v>
      </c>
      <c r="L2356" s="179"/>
      <c r="M2356" s="179"/>
    </row>
    <row r="2357" spans="2:15" s="145" customFormat="1" ht="10.5" customHeight="1" x14ac:dyDescent="0.25">
      <c r="B2357" s="367" t="s">
        <v>333</v>
      </c>
      <c r="C2357" s="368"/>
      <c r="D2357" s="180">
        <v>2</v>
      </c>
      <c r="E2357" s="141">
        <v>55000</v>
      </c>
      <c r="F2357" s="141">
        <f>+E2357*0.8</f>
        <v>44000</v>
      </c>
      <c r="G2357" s="178">
        <f>D2357*E2357+F2357*D2357</f>
        <v>198000</v>
      </c>
      <c r="H2357" s="184">
        <f>+H2356</f>
        <v>1.2</v>
      </c>
      <c r="I2357" s="143">
        <f>+G2357/H2357</f>
        <v>165000</v>
      </c>
      <c r="K2357" s="147"/>
    </row>
    <row r="2358" spans="2:15" ht="10.5" customHeight="1" thickBot="1" x14ac:dyDescent="0.3">
      <c r="B2358" s="371" t="s">
        <v>318</v>
      </c>
      <c r="C2358" s="372"/>
      <c r="D2358" s="372"/>
      <c r="E2358" s="372"/>
      <c r="F2358" s="372"/>
      <c r="G2358" s="372"/>
      <c r="H2358" s="372"/>
      <c r="I2358" s="144">
        <f>SUM(I2355:I2357)</f>
        <v>495000</v>
      </c>
      <c r="K2358" s="281"/>
      <c r="N2358" s="150"/>
    </row>
    <row r="2359" spans="2:15" ht="6" customHeight="1" thickBot="1" x14ac:dyDescent="0.3">
      <c r="B2359" s="373"/>
      <c r="C2359" s="373"/>
      <c r="D2359" s="373"/>
      <c r="E2359" s="373"/>
      <c r="F2359" s="373"/>
      <c r="G2359" s="373"/>
      <c r="H2359" s="373"/>
      <c r="I2359" s="373"/>
    </row>
    <row r="2360" spans="2:15" ht="10.5" customHeight="1" thickBot="1" x14ac:dyDescent="0.3">
      <c r="B2360" s="374" t="s">
        <v>334</v>
      </c>
      <c r="C2360" s="375"/>
      <c r="D2360" s="375"/>
      <c r="E2360" s="375"/>
      <c r="F2360" s="375"/>
      <c r="G2360" s="375"/>
      <c r="H2360" s="376"/>
      <c r="I2360" s="152">
        <f>ROUND(+I2341+I2346+I2351+I2358,0)</f>
        <v>4236698</v>
      </c>
      <c r="J2360" s="281"/>
      <c r="K2360" s="169"/>
      <c r="L2360" s="181"/>
      <c r="M2360" s="181"/>
      <c r="N2360" s="153"/>
    </row>
    <row r="2361" spans="2:15" ht="6" customHeight="1" thickBot="1" x14ac:dyDescent="0.3">
      <c r="B2361" s="373"/>
      <c r="C2361" s="373"/>
      <c r="D2361" s="373"/>
      <c r="E2361" s="373"/>
      <c r="F2361" s="373"/>
      <c r="G2361" s="373"/>
      <c r="H2361" s="373"/>
      <c r="I2361" s="373"/>
    </row>
    <row r="2362" spans="2:15" ht="8.25" customHeight="1" x14ac:dyDescent="0.25">
      <c r="B2362" s="433" t="s">
        <v>335</v>
      </c>
      <c r="C2362" s="417"/>
      <c r="D2362" s="418"/>
      <c r="E2362" s="418"/>
      <c r="F2362" s="419"/>
      <c r="G2362" s="369" t="s">
        <v>336</v>
      </c>
      <c r="H2362" s="370"/>
      <c r="I2362" s="370"/>
    </row>
    <row r="2363" spans="2:15" ht="33.75" customHeight="1" x14ac:dyDescent="0.25">
      <c r="B2363" s="434"/>
      <c r="C2363" s="420"/>
      <c r="D2363" s="421"/>
      <c r="E2363" s="421"/>
      <c r="F2363" s="422"/>
      <c r="G2363" s="430" t="s">
        <v>337</v>
      </c>
      <c r="H2363" s="431"/>
      <c r="I2363" s="431"/>
      <c r="L2363" s="181"/>
      <c r="M2363" s="181"/>
      <c r="N2363" s="179"/>
    </row>
    <row r="2364" spans="2:15" ht="13.5" customHeight="1" x14ac:dyDescent="0.25">
      <c r="B2364" s="434"/>
      <c r="C2364" s="420"/>
      <c r="D2364" s="421"/>
      <c r="E2364" s="421"/>
      <c r="F2364" s="422"/>
      <c r="G2364" s="154" t="s">
        <v>92</v>
      </c>
      <c r="H2364" s="432" t="s">
        <v>93</v>
      </c>
      <c r="I2364" s="432"/>
    </row>
    <row r="2365" spans="2:15" ht="16.5" customHeight="1" x14ac:dyDescent="0.25">
      <c r="B2365" s="435"/>
      <c r="C2365" s="420"/>
      <c r="D2365" s="421"/>
      <c r="E2365" s="421"/>
      <c r="F2365" s="422"/>
      <c r="G2365" s="155" t="s">
        <v>94</v>
      </c>
      <c r="H2365" s="156" t="s">
        <v>95</v>
      </c>
      <c r="I2365" s="157" t="s">
        <v>96</v>
      </c>
    </row>
    <row r="2366" spans="2:15" x14ac:dyDescent="0.25">
      <c r="B2366" s="268" t="s">
        <v>18</v>
      </c>
      <c r="C2366" s="427"/>
      <c r="D2366" s="428"/>
      <c r="E2366" s="428"/>
      <c r="F2366" s="429"/>
      <c r="G2366" s="155" t="s">
        <v>98</v>
      </c>
      <c r="H2366" s="157" t="s">
        <v>99</v>
      </c>
      <c r="I2366" s="157" t="s">
        <v>100</v>
      </c>
    </row>
    <row r="2367" spans="2:15" x14ac:dyDescent="0.25">
      <c r="B2367" s="269" t="s">
        <v>97</v>
      </c>
      <c r="C2367" s="427"/>
      <c r="D2367" s="428"/>
      <c r="E2367" s="428"/>
      <c r="F2367" s="429"/>
      <c r="G2367" s="154" t="s">
        <v>338</v>
      </c>
      <c r="H2367" s="426"/>
      <c r="I2367" s="426"/>
    </row>
    <row r="2368" spans="2:15" ht="15.75" thickBot="1" x14ac:dyDescent="0.3">
      <c r="B2368" s="270" t="s">
        <v>101</v>
      </c>
      <c r="C2368" s="423"/>
      <c r="D2368" s="424"/>
      <c r="E2368" s="424"/>
      <c r="F2368" s="425"/>
      <c r="G2368" s="154" t="s">
        <v>102</v>
      </c>
      <c r="H2368" s="426" t="s">
        <v>103</v>
      </c>
      <c r="I2368" s="426"/>
    </row>
    <row r="2369" spans="2:13" ht="45" customHeight="1" thickBot="1" x14ac:dyDescent="0.3">
      <c r="B2369" s="401"/>
      <c r="C2369" s="402"/>
      <c r="D2369" s="402"/>
      <c r="E2369" s="402"/>
      <c r="F2369" s="403" t="s">
        <v>0</v>
      </c>
      <c r="G2369" s="403"/>
      <c r="H2369" s="403"/>
      <c r="I2369" s="404"/>
    </row>
    <row r="2370" spans="2:13" ht="6" customHeight="1" thickBot="1" x14ac:dyDescent="0.3">
      <c r="B2370" s="373"/>
      <c r="C2370" s="373"/>
      <c r="D2370" s="373"/>
      <c r="E2370" s="373"/>
      <c r="F2370" s="373"/>
      <c r="G2370" s="373"/>
      <c r="H2370" s="373"/>
      <c r="I2370" s="373"/>
    </row>
    <row r="2371" spans="2:13" ht="10.5" customHeight="1" x14ac:dyDescent="0.25">
      <c r="B2371" s="405" t="s">
        <v>294</v>
      </c>
      <c r="C2371" s="406"/>
      <c r="D2371" s="407" t="s">
        <v>295</v>
      </c>
      <c r="E2371" s="409" t="s">
        <v>296</v>
      </c>
      <c r="F2371" s="410"/>
      <c r="G2371" s="410"/>
      <c r="H2371" s="410"/>
      <c r="I2371" s="411"/>
    </row>
    <row r="2372" spans="2:13" ht="9" customHeight="1" thickBot="1" x14ac:dyDescent="0.3">
      <c r="B2372" s="415"/>
      <c r="C2372" s="416"/>
      <c r="D2372" s="408"/>
      <c r="E2372" s="412"/>
      <c r="F2372" s="413"/>
      <c r="G2372" s="413"/>
      <c r="H2372" s="413"/>
      <c r="I2372" s="414"/>
    </row>
    <row r="2373" spans="2:13" ht="6" customHeight="1" thickBot="1" x14ac:dyDescent="0.3">
      <c r="B2373" s="373"/>
      <c r="C2373" s="373"/>
      <c r="D2373" s="373"/>
      <c r="E2373" s="373"/>
      <c r="F2373" s="373"/>
      <c r="G2373" s="373"/>
      <c r="H2373" s="373"/>
      <c r="I2373" s="373"/>
    </row>
    <row r="2374" spans="2:13" ht="17.25" customHeight="1" thickBot="1" x14ac:dyDescent="0.3">
      <c r="B2374" s="390" t="s">
        <v>297</v>
      </c>
      <c r="C2374" s="391"/>
      <c r="D2374" s="392"/>
      <c r="E2374" s="393"/>
      <c r="F2374" s="393"/>
      <c r="G2374" s="394"/>
      <c r="H2374" s="127" t="s">
        <v>298</v>
      </c>
      <c r="I2374" s="128"/>
    </row>
    <row r="2375" spans="2:13" ht="6" customHeight="1" thickBot="1" x14ac:dyDescent="0.3">
      <c r="B2375" s="373"/>
      <c r="C2375" s="373"/>
      <c r="D2375" s="373"/>
      <c r="E2375" s="373"/>
      <c r="F2375" s="373"/>
      <c r="G2375" s="373"/>
      <c r="H2375" s="373"/>
      <c r="I2375" s="373"/>
    </row>
    <row r="2376" spans="2:13" ht="19.5" customHeight="1" x14ac:dyDescent="0.25">
      <c r="B2376" s="261" t="s">
        <v>299</v>
      </c>
      <c r="C2376" s="129" t="s">
        <v>300</v>
      </c>
      <c r="D2376" s="130" t="s">
        <v>301</v>
      </c>
      <c r="E2376" s="130" t="s">
        <v>302</v>
      </c>
      <c r="F2376" s="398" t="s">
        <v>303</v>
      </c>
      <c r="G2376" s="399"/>
      <c r="H2376" s="400"/>
      <c r="I2376" s="131" t="s">
        <v>304</v>
      </c>
    </row>
    <row r="2377" spans="2:13" ht="11.25" customHeight="1" x14ac:dyDescent="0.25">
      <c r="B2377" s="262"/>
      <c r="C2377" s="132"/>
      <c r="D2377" s="132" t="s">
        <v>305</v>
      </c>
      <c r="E2377" s="132" t="s">
        <v>306</v>
      </c>
      <c r="F2377" s="395" t="s">
        <v>339</v>
      </c>
      <c r="G2377" s="396"/>
      <c r="H2377" s="397"/>
      <c r="I2377" s="133"/>
    </row>
    <row r="2378" spans="2:13" ht="28.5" customHeight="1" x14ac:dyDescent="0.25">
      <c r="B2378" s="263" t="s">
        <v>307</v>
      </c>
      <c r="C2378" s="383" t="s">
        <v>414</v>
      </c>
      <c r="D2378" s="384"/>
      <c r="E2378" s="384"/>
      <c r="F2378" s="384"/>
      <c r="G2378" s="384"/>
      <c r="H2378" s="384"/>
      <c r="I2378" s="385"/>
    </row>
    <row r="2379" spans="2:13" ht="10.5" customHeight="1" x14ac:dyDescent="0.25">
      <c r="B2379" s="264" t="s">
        <v>129</v>
      </c>
      <c r="C2379" s="388" t="s">
        <v>308</v>
      </c>
      <c r="D2379" s="389"/>
      <c r="E2379" s="389"/>
      <c r="F2379" s="389"/>
      <c r="G2379" s="389"/>
      <c r="H2379" s="389"/>
      <c r="I2379" s="134" t="s">
        <v>130</v>
      </c>
    </row>
    <row r="2380" spans="2:13" ht="50.25" customHeight="1" thickBot="1" x14ac:dyDescent="0.3">
      <c r="B2380" s="265">
        <v>7.2299999999999951</v>
      </c>
      <c r="C2380" s="386" t="s">
        <v>597</v>
      </c>
      <c r="D2380" s="387"/>
      <c r="E2380" s="387"/>
      <c r="F2380" s="387"/>
      <c r="G2380" s="387"/>
      <c r="H2380" s="387"/>
      <c r="I2380" s="135" t="s">
        <v>27</v>
      </c>
    </row>
    <row r="2381" spans="2:13" ht="6" customHeight="1" thickBot="1" x14ac:dyDescent="0.3">
      <c r="B2381" s="373"/>
      <c r="C2381" s="373"/>
      <c r="D2381" s="373"/>
      <c r="E2381" s="373"/>
      <c r="F2381" s="373"/>
      <c r="G2381" s="373"/>
      <c r="H2381" s="373"/>
      <c r="I2381" s="373"/>
    </row>
    <row r="2382" spans="2:13" x14ac:dyDescent="0.25">
      <c r="B2382" s="380" t="s">
        <v>309</v>
      </c>
      <c r="C2382" s="381"/>
      <c r="D2382" s="381"/>
      <c r="E2382" s="381"/>
      <c r="F2382" s="381"/>
      <c r="G2382" s="381"/>
      <c r="H2382" s="381"/>
      <c r="I2382" s="382"/>
      <c r="K2382" s="182"/>
    </row>
    <row r="2383" spans="2:13" ht="11.25" customHeight="1" x14ac:dyDescent="0.25">
      <c r="B2383" s="377" t="s">
        <v>310</v>
      </c>
      <c r="C2383" s="378"/>
      <c r="D2383" s="379"/>
      <c r="E2383" s="136"/>
      <c r="F2383" s="137" t="s">
        <v>311</v>
      </c>
      <c r="G2383" s="137" t="s">
        <v>312</v>
      </c>
      <c r="H2383" s="137" t="s">
        <v>313</v>
      </c>
      <c r="I2383" s="138" t="s">
        <v>314</v>
      </c>
      <c r="L2383" s="139"/>
      <c r="M2383" s="139"/>
    </row>
    <row r="2384" spans="2:13" ht="11.25" customHeight="1" x14ac:dyDescent="0.25">
      <c r="B2384" s="362" t="s">
        <v>315</v>
      </c>
      <c r="C2384" s="363"/>
      <c r="D2384" s="363"/>
      <c r="E2384" s="160"/>
      <c r="F2384" s="161" t="s">
        <v>316</v>
      </c>
      <c r="G2384" s="160">
        <v>5000</v>
      </c>
      <c r="H2384" s="142">
        <v>0.9</v>
      </c>
      <c r="I2384" s="143">
        <f>G2384*H2384</f>
        <v>4500</v>
      </c>
    </row>
    <row r="2385" spans="2:15" ht="16.5" customHeight="1" x14ac:dyDescent="0.25">
      <c r="B2385" s="362" t="s">
        <v>355</v>
      </c>
      <c r="C2385" s="363"/>
      <c r="D2385" s="363"/>
      <c r="E2385" s="160"/>
      <c r="F2385" s="161" t="s">
        <v>317</v>
      </c>
      <c r="G2385" s="160">
        <v>90000</v>
      </c>
      <c r="H2385" s="142">
        <f>+H2384</f>
        <v>0.9</v>
      </c>
      <c r="I2385" s="143">
        <f>G2385*H2385</f>
        <v>81000</v>
      </c>
    </row>
    <row r="2386" spans="2:15" ht="10.5" customHeight="1" thickBot="1" x14ac:dyDescent="0.3">
      <c r="B2386" s="371" t="s">
        <v>318</v>
      </c>
      <c r="C2386" s="372"/>
      <c r="D2386" s="372"/>
      <c r="E2386" s="372"/>
      <c r="F2386" s="372"/>
      <c r="G2386" s="372"/>
      <c r="H2386" s="372"/>
      <c r="I2386" s="144">
        <f>SUM(I2384:I2385)</f>
        <v>85500</v>
      </c>
      <c r="N2386" s="150"/>
    </row>
    <row r="2387" spans="2:15" ht="6" customHeight="1" thickBot="1" x14ac:dyDescent="0.3">
      <c r="B2387" s="373"/>
      <c r="C2387" s="373"/>
      <c r="D2387" s="373"/>
      <c r="E2387" s="373"/>
      <c r="F2387" s="373"/>
      <c r="G2387" s="373"/>
      <c r="H2387" s="373"/>
      <c r="I2387" s="373"/>
    </row>
    <row r="2388" spans="2:15" s="145" customFormat="1" x14ac:dyDescent="0.25">
      <c r="B2388" s="380" t="s">
        <v>319</v>
      </c>
      <c r="C2388" s="381"/>
      <c r="D2388" s="381"/>
      <c r="E2388" s="381"/>
      <c r="F2388" s="381"/>
      <c r="G2388" s="381"/>
      <c r="H2388" s="381"/>
      <c r="I2388" s="382"/>
    </row>
    <row r="2389" spans="2:15" s="145" customFormat="1" ht="15.75" customHeight="1" x14ac:dyDescent="0.25">
      <c r="B2389" s="377" t="s">
        <v>310</v>
      </c>
      <c r="C2389" s="378"/>
      <c r="D2389" s="379"/>
      <c r="E2389" s="137"/>
      <c r="F2389" s="137" t="s">
        <v>320</v>
      </c>
      <c r="G2389" s="137" t="s">
        <v>321</v>
      </c>
      <c r="H2389" s="137" t="s">
        <v>322</v>
      </c>
      <c r="I2389" s="138" t="s">
        <v>314</v>
      </c>
    </row>
    <row r="2390" spans="2:15" ht="78.75" customHeight="1" x14ac:dyDescent="0.25">
      <c r="B2390" s="436" t="s">
        <v>597</v>
      </c>
      <c r="C2390" s="437"/>
      <c r="D2390" s="438"/>
      <c r="E2390" s="163"/>
      <c r="F2390" s="161" t="s">
        <v>27</v>
      </c>
      <c r="G2390" s="160">
        <f>1189923+3062272</f>
        <v>4252195</v>
      </c>
      <c r="H2390" s="142">
        <v>1</v>
      </c>
      <c r="I2390" s="143">
        <f>G2390*H2390</f>
        <v>4252195</v>
      </c>
      <c r="M2390">
        <v>4608265</v>
      </c>
    </row>
    <row r="2391" spans="2:15" ht="18" customHeight="1" thickBot="1" x14ac:dyDescent="0.3">
      <c r="B2391" s="371" t="s">
        <v>318</v>
      </c>
      <c r="C2391" s="372"/>
      <c r="D2391" s="372"/>
      <c r="E2391" s="372"/>
      <c r="F2391" s="372"/>
      <c r="G2391" s="372"/>
      <c r="H2391" s="372"/>
      <c r="I2391" s="144">
        <f>SUM(I2390:I2390)</f>
        <v>4252195</v>
      </c>
      <c r="N2391" s="150"/>
    </row>
    <row r="2392" spans="2:15" ht="6" customHeight="1" thickBot="1" x14ac:dyDescent="0.3">
      <c r="B2392" s="373"/>
      <c r="C2392" s="373"/>
      <c r="D2392" s="373"/>
      <c r="E2392" s="373"/>
      <c r="F2392" s="373"/>
      <c r="G2392" s="373"/>
      <c r="H2392" s="373"/>
      <c r="I2392" s="373"/>
    </row>
    <row r="2393" spans="2:15" s="145" customFormat="1" x14ac:dyDescent="0.25">
      <c r="B2393" s="380" t="s">
        <v>323</v>
      </c>
      <c r="C2393" s="381"/>
      <c r="D2393" s="381"/>
      <c r="E2393" s="381"/>
      <c r="F2393" s="381"/>
      <c r="G2393" s="381"/>
      <c r="H2393" s="381"/>
      <c r="I2393" s="382"/>
      <c r="L2393" s="146"/>
      <c r="M2393" s="146"/>
    </row>
    <row r="2394" spans="2:15" s="145" customFormat="1" x14ac:dyDescent="0.25">
      <c r="B2394" s="377" t="s">
        <v>324</v>
      </c>
      <c r="C2394" s="378"/>
      <c r="D2394" s="379"/>
      <c r="E2394" s="137" t="s">
        <v>325</v>
      </c>
      <c r="F2394" s="137" t="s">
        <v>326</v>
      </c>
      <c r="G2394" s="137" t="s">
        <v>130</v>
      </c>
      <c r="H2394" s="137" t="s">
        <v>327</v>
      </c>
      <c r="I2394" s="138" t="s">
        <v>314</v>
      </c>
      <c r="K2394" s="260"/>
      <c r="N2394" s="183"/>
      <c r="O2394" s="148"/>
    </row>
    <row r="2395" spans="2:15" ht="11.25" customHeight="1" x14ac:dyDescent="0.25">
      <c r="B2395" s="362" t="s">
        <v>711</v>
      </c>
      <c r="C2395" s="363"/>
      <c r="D2395" s="363"/>
      <c r="E2395" s="170">
        <v>1</v>
      </c>
      <c r="F2395" s="164"/>
      <c r="G2395" s="161"/>
      <c r="H2395" s="162">
        <v>35000</v>
      </c>
      <c r="I2395" s="143">
        <f>H2395*E2395</f>
        <v>35000</v>
      </c>
      <c r="K2395" s="281"/>
    </row>
    <row r="2396" spans="2:15" ht="10.5" customHeight="1" thickBot="1" x14ac:dyDescent="0.3">
      <c r="B2396" s="371" t="s">
        <v>318</v>
      </c>
      <c r="C2396" s="372"/>
      <c r="D2396" s="372"/>
      <c r="E2396" s="372"/>
      <c r="F2396" s="372"/>
      <c r="G2396" s="372"/>
      <c r="H2396" s="372"/>
      <c r="I2396" s="144">
        <f>SUM(I2395:I2395)</f>
        <v>35000</v>
      </c>
      <c r="K2396" s="281"/>
      <c r="N2396" s="150"/>
    </row>
    <row r="2397" spans="2:15" ht="6" customHeight="1" thickBot="1" x14ac:dyDescent="0.3">
      <c r="B2397" s="373"/>
      <c r="C2397" s="373"/>
      <c r="D2397" s="373"/>
      <c r="E2397" s="373"/>
      <c r="F2397" s="373"/>
      <c r="G2397" s="373"/>
      <c r="H2397" s="373"/>
      <c r="I2397" s="373"/>
    </row>
    <row r="2398" spans="2:15" s="145" customFormat="1" ht="20.100000000000001" customHeight="1" x14ac:dyDescent="0.25">
      <c r="B2398" s="380" t="s">
        <v>328</v>
      </c>
      <c r="C2398" s="381"/>
      <c r="D2398" s="381"/>
      <c r="E2398" s="381"/>
      <c r="F2398" s="381"/>
      <c r="G2398" s="381"/>
      <c r="H2398" s="381"/>
      <c r="I2398" s="382"/>
      <c r="K2398" s="147">
        <f>+K2399-I2405</f>
        <v>0</v>
      </c>
      <c r="N2398" s="148"/>
      <c r="O2398" s="149"/>
    </row>
    <row r="2399" spans="2:15" s="145" customFormat="1" ht="20.100000000000001" customHeight="1" x14ac:dyDescent="0.25">
      <c r="B2399" s="377" t="s">
        <v>329</v>
      </c>
      <c r="C2399" s="379"/>
      <c r="D2399" s="137" t="s">
        <v>322</v>
      </c>
      <c r="E2399" s="137" t="s">
        <v>330</v>
      </c>
      <c r="F2399" s="137" t="s">
        <v>331</v>
      </c>
      <c r="G2399" s="137" t="s">
        <v>332</v>
      </c>
      <c r="H2399" s="137" t="s">
        <v>313</v>
      </c>
      <c r="I2399" s="138" t="s">
        <v>314</v>
      </c>
      <c r="K2399" s="147">
        <v>4867695</v>
      </c>
      <c r="O2399" s="179"/>
    </row>
    <row r="2400" spans="2:15" s="151" customFormat="1" ht="9.75" customHeight="1" x14ac:dyDescent="0.25">
      <c r="B2400" s="367" t="s">
        <v>356</v>
      </c>
      <c r="C2400" s="368"/>
      <c r="D2400" s="180">
        <v>1</v>
      </c>
      <c r="E2400" s="141">
        <v>140000</v>
      </c>
      <c r="F2400" s="141">
        <f>+E2400*0.8</f>
        <v>112000</v>
      </c>
      <c r="G2400" s="178">
        <f>D2400*E2400+F2400*D2400</f>
        <v>252000</v>
      </c>
      <c r="H2400" s="184">
        <v>1.2</v>
      </c>
      <c r="I2400" s="143">
        <f>+G2400/H2400</f>
        <v>210000</v>
      </c>
      <c r="J2400" s="145"/>
      <c r="K2400" s="147"/>
    </row>
    <row r="2401" spans="2:14" s="151" customFormat="1" ht="11.25" customHeight="1" x14ac:dyDescent="0.25">
      <c r="B2401" s="367" t="s">
        <v>374</v>
      </c>
      <c r="C2401" s="368"/>
      <c r="D2401" s="180">
        <v>1</v>
      </c>
      <c r="E2401" s="141">
        <v>80000</v>
      </c>
      <c r="F2401" s="141">
        <f>+E2401*0.8</f>
        <v>64000</v>
      </c>
      <c r="G2401" s="178">
        <f>D2401*E2401+F2401*D2401</f>
        <v>144000</v>
      </c>
      <c r="H2401" s="184">
        <f>+H2400</f>
        <v>1.2</v>
      </c>
      <c r="I2401" s="143">
        <f>+G2401/H2401</f>
        <v>120000</v>
      </c>
      <c r="J2401" s="145"/>
      <c r="K2401" s="147"/>
      <c r="L2401" s="179"/>
      <c r="M2401" s="179"/>
    </row>
    <row r="2402" spans="2:14" s="145" customFormat="1" ht="10.5" customHeight="1" x14ac:dyDescent="0.25">
      <c r="B2402" s="367" t="s">
        <v>333</v>
      </c>
      <c r="C2402" s="368"/>
      <c r="D2402" s="180">
        <v>2</v>
      </c>
      <c r="E2402" s="141">
        <v>55000</v>
      </c>
      <c r="F2402" s="141">
        <f>+E2402*0.8</f>
        <v>44000</v>
      </c>
      <c r="G2402" s="178">
        <f>D2402*E2402+F2402*D2402</f>
        <v>198000</v>
      </c>
      <c r="H2402" s="184">
        <f>+H2401</f>
        <v>1.2</v>
      </c>
      <c r="I2402" s="143">
        <f>+G2402/H2402</f>
        <v>165000</v>
      </c>
      <c r="K2402" s="147"/>
    </row>
    <row r="2403" spans="2:14" ht="10.5" customHeight="1" thickBot="1" x14ac:dyDescent="0.3">
      <c r="B2403" s="371" t="s">
        <v>318</v>
      </c>
      <c r="C2403" s="372"/>
      <c r="D2403" s="372"/>
      <c r="E2403" s="372"/>
      <c r="F2403" s="372"/>
      <c r="G2403" s="372"/>
      <c r="H2403" s="372"/>
      <c r="I2403" s="144">
        <f>SUM(I2400:I2402)</f>
        <v>495000</v>
      </c>
      <c r="K2403" s="281"/>
      <c r="N2403" s="150"/>
    </row>
    <row r="2404" spans="2:14" ht="6" customHeight="1" thickBot="1" x14ac:dyDescent="0.3">
      <c r="B2404" s="373"/>
      <c r="C2404" s="373"/>
      <c r="D2404" s="373"/>
      <c r="E2404" s="373"/>
      <c r="F2404" s="373"/>
      <c r="G2404" s="373"/>
      <c r="H2404" s="373"/>
      <c r="I2404" s="373"/>
    </row>
    <row r="2405" spans="2:14" ht="10.5" customHeight="1" thickBot="1" x14ac:dyDescent="0.3">
      <c r="B2405" s="374" t="s">
        <v>334</v>
      </c>
      <c r="C2405" s="375"/>
      <c r="D2405" s="375"/>
      <c r="E2405" s="375"/>
      <c r="F2405" s="375"/>
      <c r="G2405" s="375"/>
      <c r="H2405" s="376"/>
      <c r="I2405" s="152">
        <f>ROUND(+I2386+I2391+I2396+I2403,0)</f>
        <v>4867695</v>
      </c>
      <c r="J2405" s="281"/>
      <c r="K2405" s="169"/>
      <c r="L2405" s="181"/>
      <c r="M2405" s="181"/>
      <c r="N2405" s="153"/>
    </row>
    <row r="2406" spans="2:14" ht="6" customHeight="1" thickBot="1" x14ac:dyDescent="0.3">
      <c r="B2406" s="373"/>
      <c r="C2406" s="373"/>
      <c r="D2406" s="373"/>
      <c r="E2406" s="373"/>
      <c r="F2406" s="373"/>
      <c r="G2406" s="373"/>
      <c r="H2406" s="373"/>
      <c r="I2406" s="373"/>
    </row>
    <row r="2407" spans="2:14" ht="8.25" customHeight="1" x14ac:dyDescent="0.25">
      <c r="B2407" s="433" t="s">
        <v>335</v>
      </c>
      <c r="C2407" s="417"/>
      <c r="D2407" s="418"/>
      <c r="E2407" s="418"/>
      <c r="F2407" s="419"/>
      <c r="G2407" s="369" t="s">
        <v>336</v>
      </c>
      <c r="H2407" s="370"/>
      <c r="I2407" s="370"/>
    </row>
    <row r="2408" spans="2:14" ht="33.75" customHeight="1" x14ac:dyDescent="0.25">
      <c r="B2408" s="434"/>
      <c r="C2408" s="420"/>
      <c r="D2408" s="421"/>
      <c r="E2408" s="421"/>
      <c r="F2408" s="422"/>
      <c r="G2408" s="430" t="s">
        <v>337</v>
      </c>
      <c r="H2408" s="431"/>
      <c r="I2408" s="431"/>
      <c r="L2408" s="181"/>
      <c r="M2408" s="181"/>
      <c r="N2408" s="179"/>
    </row>
    <row r="2409" spans="2:14" ht="13.5" customHeight="1" x14ac:dyDescent="0.25">
      <c r="B2409" s="434"/>
      <c r="C2409" s="420"/>
      <c r="D2409" s="421"/>
      <c r="E2409" s="421"/>
      <c r="F2409" s="422"/>
      <c r="G2409" s="154" t="s">
        <v>92</v>
      </c>
      <c r="H2409" s="432" t="s">
        <v>93</v>
      </c>
      <c r="I2409" s="432"/>
    </row>
    <row r="2410" spans="2:14" ht="16.5" customHeight="1" x14ac:dyDescent="0.25">
      <c r="B2410" s="435"/>
      <c r="C2410" s="420"/>
      <c r="D2410" s="421"/>
      <c r="E2410" s="421"/>
      <c r="F2410" s="422"/>
      <c r="G2410" s="155" t="s">
        <v>94</v>
      </c>
      <c r="H2410" s="156" t="s">
        <v>95</v>
      </c>
      <c r="I2410" s="157" t="s">
        <v>96</v>
      </c>
    </row>
    <row r="2411" spans="2:14" x14ac:dyDescent="0.25">
      <c r="B2411" s="268" t="s">
        <v>18</v>
      </c>
      <c r="C2411" s="427"/>
      <c r="D2411" s="428"/>
      <c r="E2411" s="428"/>
      <c r="F2411" s="429"/>
      <c r="G2411" s="155" t="s">
        <v>98</v>
      </c>
      <c r="H2411" s="157" t="s">
        <v>99</v>
      </c>
      <c r="I2411" s="157" t="s">
        <v>100</v>
      </c>
    </row>
    <row r="2412" spans="2:14" x14ac:dyDescent="0.25">
      <c r="B2412" s="269" t="s">
        <v>97</v>
      </c>
      <c r="C2412" s="427"/>
      <c r="D2412" s="428"/>
      <c r="E2412" s="428"/>
      <c r="F2412" s="429"/>
      <c r="G2412" s="154" t="s">
        <v>338</v>
      </c>
      <c r="H2412" s="426"/>
      <c r="I2412" s="426"/>
    </row>
    <row r="2413" spans="2:14" ht="15.75" thickBot="1" x14ac:dyDescent="0.3">
      <c r="B2413" s="270" t="s">
        <v>101</v>
      </c>
      <c r="C2413" s="423"/>
      <c r="D2413" s="424"/>
      <c r="E2413" s="424"/>
      <c r="F2413" s="425"/>
      <c r="G2413" s="154" t="s">
        <v>102</v>
      </c>
      <c r="H2413" s="426" t="s">
        <v>103</v>
      </c>
      <c r="I2413" s="426"/>
    </row>
    <row r="2414" spans="2:14" ht="45" customHeight="1" thickBot="1" x14ac:dyDescent="0.3">
      <c r="B2414" s="401"/>
      <c r="C2414" s="402"/>
      <c r="D2414" s="402"/>
      <c r="E2414" s="402"/>
      <c r="F2414" s="403" t="s">
        <v>0</v>
      </c>
      <c r="G2414" s="403"/>
      <c r="H2414" s="403"/>
      <c r="I2414" s="404"/>
    </row>
    <row r="2415" spans="2:14" ht="6" customHeight="1" thickBot="1" x14ac:dyDescent="0.3">
      <c r="B2415" s="373"/>
      <c r="C2415" s="373"/>
      <c r="D2415" s="373"/>
      <c r="E2415" s="373"/>
      <c r="F2415" s="373"/>
      <c r="G2415" s="373"/>
      <c r="H2415" s="373"/>
      <c r="I2415" s="373"/>
    </row>
    <row r="2416" spans="2:14" ht="10.5" customHeight="1" x14ac:dyDescent="0.25">
      <c r="B2416" s="405" t="s">
        <v>294</v>
      </c>
      <c r="C2416" s="406"/>
      <c r="D2416" s="407" t="s">
        <v>295</v>
      </c>
      <c r="E2416" s="409" t="s">
        <v>296</v>
      </c>
      <c r="F2416" s="410"/>
      <c r="G2416" s="410"/>
      <c r="H2416" s="410"/>
      <c r="I2416" s="411"/>
    </row>
    <row r="2417" spans="2:14" ht="9" customHeight="1" thickBot="1" x14ac:dyDescent="0.3">
      <c r="B2417" s="415"/>
      <c r="C2417" s="416"/>
      <c r="D2417" s="408"/>
      <c r="E2417" s="412"/>
      <c r="F2417" s="413"/>
      <c r="G2417" s="413"/>
      <c r="H2417" s="413"/>
      <c r="I2417" s="414"/>
    </row>
    <row r="2418" spans="2:14" ht="6" customHeight="1" thickBot="1" x14ac:dyDescent="0.3">
      <c r="B2418" s="373"/>
      <c r="C2418" s="373"/>
      <c r="D2418" s="373"/>
      <c r="E2418" s="373"/>
      <c r="F2418" s="373"/>
      <c r="G2418" s="373"/>
      <c r="H2418" s="373"/>
      <c r="I2418" s="373"/>
    </row>
    <row r="2419" spans="2:14" ht="17.25" customHeight="1" thickBot="1" x14ac:dyDescent="0.3">
      <c r="B2419" s="390" t="s">
        <v>297</v>
      </c>
      <c r="C2419" s="391"/>
      <c r="D2419" s="392"/>
      <c r="E2419" s="393"/>
      <c r="F2419" s="393"/>
      <c r="G2419" s="394"/>
      <c r="H2419" s="127" t="s">
        <v>298</v>
      </c>
      <c r="I2419" s="128"/>
    </row>
    <row r="2420" spans="2:14" ht="6" customHeight="1" thickBot="1" x14ac:dyDescent="0.3">
      <c r="B2420" s="373"/>
      <c r="C2420" s="373"/>
      <c r="D2420" s="373"/>
      <c r="E2420" s="373"/>
      <c r="F2420" s="373"/>
      <c r="G2420" s="373"/>
      <c r="H2420" s="373"/>
      <c r="I2420" s="373"/>
    </row>
    <row r="2421" spans="2:14" ht="19.5" customHeight="1" x14ac:dyDescent="0.25">
      <c r="B2421" s="261" t="s">
        <v>299</v>
      </c>
      <c r="C2421" s="129" t="s">
        <v>300</v>
      </c>
      <c r="D2421" s="130" t="s">
        <v>301</v>
      </c>
      <c r="E2421" s="130" t="s">
        <v>302</v>
      </c>
      <c r="F2421" s="398" t="s">
        <v>303</v>
      </c>
      <c r="G2421" s="399"/>
      <c r="H2421" s="400"/>
      <c r="I2421" s="131" t="s">
        <v>304</v>
      </c>
    </row>
    <row r="2422" spans="2:14" ht="11.25" customHeight="1" x14ac:dyDescent="0.25">
      <c r="B2422" s="262"/>
      <c r="C2422" s="132"/>
      <c r="D2422" s="132" t="s">
        <v>305</v>
      </c>
      <c r="E2422" s="132" t="s">
        <v>306</v>
      </c>
      <c r="F2422" s="395" t="s">
        <v>339</v>
      </c>
      <c r="G2422" s="396"/>
      <c r="H2422" s="397"/>
      <c r="I2422" s="133"/>
    </row>
    <row r="2423" spans="2:14" ht="28.5" customHeight="1" x14ac:dyDescent="0.25">
      <c r="B2423" s="263" t="s">
        <v>307</v>
      </c>
      <c r="C2423" s="383" t="s">
        <v>414</v>
      </c>
      <c r="D2423" s="384"/>
      <c r="E2423" s="384"/>
      <c r="F2423" s="384"/>
      <c r="G2423" s="384"/>
      <c r="H2423" s="384"/>
      <c r="I2423" s="385"/>
    </row>
    <row r="2424" spans="2:14" ht="10.5" customHeight="1" x14ac:dyDescent="0.25">
      <c r="B2424" s="264" t="s">
        <v>129</v>
      </c>
      <c r="C2424" s="388" t="s">
        <v>308</v>
      </c>
      <c r="D2424" s="389"/>
      <c r="E2424" s="389"/>
      <c r="F2424" s="389"/>
      <c r="G2424" s="389"/>
      <c r="H2424" s="389"/>
      <c r="I2424" s="134" t="s">
        <v>130</v>
      </c>
    </row>
    <row r="2425" spans="2:14" ht="50.25" customHeight="1" thickBot="1" x14ac:dyDescent="0.3">
      <c r="B2425" s="265">
        <v>7.2399999999999949</v>
      </c>
      <c r="C2425" s="386" t="s">
        <v>598</v>
      </c>
      <c r="D2425" s="387"/>
      <c r="E2425" s="387"/>
      <c r="F2425" s="387"/>
      <c r="G2425" s="387"/>
      <c r="H2425" s="387"/>
      <c r="I2425" s="135" t="s">
        <v>27</v>
      </c>
    </row>
    <row r="2426" spans="2:14" ht="6" customHeight="1" thickBot="1" x14ac:dyDescent="0.3">
      <c r="B2426" s="373"/>
      <c r="C2426" s="373"/>
      <c r="D2426" s="373"/>
      <c r="E2426" s="373"/>
      <c r="F2426" s="373"/>
      <c r="G2426" s="373"/>
      <c r="H2426" s="373"/>
      <c r="I2426" s="373"/>
    </row>
    <row r="2427" spans="2:14" x14ac:dyDescent="0.25">
      <c r="B2427" s="380" t="s">
        <v>309</v>
      </c>
      <c r="C2427" s="381"/>
      <c r="D2427" s="381"/>
      <c r="E2427" s="381"/>
      <c r="F2427" s="381"/>
      <c r="G2427" s="381"/>
      <c r="H2427" s="381"/>
      <c r="I2427" s="382"/>
      <c r="K2427" s="182"/>
    </row>
    <row r="2428" spans="2:14" ht="11.25" customHeight="1" x14ac:dyDescent="0.25">
      <c r="B2428" s="377" t="s">
        <v>310</v>
      </c>
      <c r="C2428" s="378"/>
      <c r="D2428" s="379"/>
      <c r="E2428" s="136"/>
      <c r="F2428" s="137" t="s">
        <v>311</v>
      </c>
      <c r="G2428" s="137" t="s">
        <v>312</v>
      </c>
      <c r="H2428" s="137" t="s">
        <v>313</v>
      </c>
      <c r="I2428" s="138" t="s">
        <v>314</v>
      </c>
      <c r="L2428" s="139"/>
      <c r="M2428" s="139"/>
    </row>
    <row r="2429" spans="2:14" ht="11.25" customHeight="1" x14ac:dyDescent="0.25">
      <c r="B2429" s="362" t="s">
        <v>315</v>
      </c>
      <c r="C2429" s="363"/>
      <c r="D2429" s="363"/>
      <c r="E2429" s="160"/>
      <c r="F2429" s="161" t="s">
        <v>316</v>
      </c>
      <c r="G2429" s="160">
        <v>5000</v>
      </c>
      <c r="H2429" s="142">
        <v>1.5</v>
      </c>
      <c r="I2429" s="143">
        <f>G2429*H2429</f>
        <v>7500</v>
      </c>
    </row>
    <row r="2430" spans="2:14" ht="16.5" customHeight="1" x14ac:dyDescent="0.25">
      <c r="B2430" s="362" t="s">
        <v>355</v>
      </c>
      <c r="C2430" s="363"/>
      <c r="D2430" s="363"/>
      <c r="E2430" s="160"/>
      <c r="F2430" s="161" t="s">
        <v>317</v>
      </c>
      <c r="G2430" s="160">
        <v>90000</v>
      </c>
      <c r="H2430" s="142">
        <f>+H2429</f>
        <v>1.5</v>
      </c>
      <c r="I2430" s="143">
        <f>G2430*H2430</f>
        <v>135000</v>
      </c>
    </row>
    <row r="2431" spans="2:14" ht="10.5" customHeight="1" thickBot="1" x14ac:dyDescent="0.3">
      <c r="B2431" s="371" t="s">
        <v>318</v>
      </c>
      <c r="C2431" s="372"/>
      <c r="D2431" s="372"/>
      <c r="E2431" s="372"/>
      <c r="F2431" s="372"/>
      <c r="G2431" s="372"/>
      <c r="H2431" s="372"/>
      <c r="I2431" s="144">
        <f>SUM(I2429:I2430)</f>
        <v>142500</v>
      </c>
      <c r="N2431" s="150"/>
    </row>
    <row r="2432" spans="2:14" ht="6" customHeight="1" thickBot="1" x14ac:dyDescent="0.3">
      <c r="B2432" s="373"/>
      <c r="C2432" s="373"/>
      <c r="D2432" s="373"/>
      <c r="E2432" s="373"/>
      <c r="F2432" s="373"/>
      <c r="G2432" s="373"/>
      <c r="H2432" s="373"/>
      <c r="I2432" s="373"/>
    </row>
    <row r="2433" spans="2:15" s="145" customFormat="1" x14ac:dyDescent="0.25">
      <c r="B2433" s="380" t="s">
        <v>319</v>
      </c>
      <c r="C2433" s="381"/>
      <c r="D2433" s="381"/>
      <c r="E2433" s="381"/>
      <c r="F2433" s="381"/>
      <c r="G2433" s="381"/>
      <c r="H2433" s="381"/>
      <c r="I2433" s="382"/>
    </row>
    <row r="2434" spans="2:15" s="145" customFormat="1" ht="15.75" customHeight="1" x14ac:dyDescent="0.25">
      <c r="B2434" s="377" t="s">
        <v>310</v>
      </c>
      <c r="C2434" s="378"/>
      <c r="D2434" s="379"/>
      <c r="E2434" s="137"/>
      <c r="F2434" s="137" t="s">
        <v>320</v>
      </c>
      <c r="G2434" s="137" t="s">
        <v>321</v>
      </c>
      <c r="H2434" s="137" t="s">
        <v>322</v>
      </c>
      <c r="I2434" s="138" t="s">
        <v>314</v>
      </c>
    </row>
    <row r="2435" spans="2:15" ht="78.75" customHeight="1" x14ac:dyDescent="0.25">
      <c r="B2435" s="436" t="s">
        <v>598</v>
      </c>
      <c r="C2435" s="437"/>
      <c r="D2435" s="438"/>
      <c r="E2435" s="163"/>
      <c r="F2435" s="161" t="s">
        <v>27</v>
      </c>
      <c r="G2435" s="160">
        <f>1189923+3062272+1305423</f>
        <v>5557618</v>
      </c>
      <c r="H2435" s="142">
        <v>1</v>
      </c>
      <c r="I2435" s="143">
        <f>G2435*H2435</f>
        <v>5557618</v>
      </c>
      <c r="M2435">
        <v>4608265</v>
      </c>
    </row>
    <row r="2436" spans="2:15" ht="18" customHeight="1" thickBot="1" x14ac:dyDescent="0.3">
      <c r="B2436" s="371" t="s">
        <v>318</v>
      </c>
      <c r="C2436" s="372"/>
      <c r="D2436" s="372"/>
      <c r="E2436" s="372"/>
      <c r="F2436" s="372"/>
      <c r="G2436" s="372"/>
      <c r="H2436" s="372"/>
      <c r="I2436" s="144">
        <f>SUM(I2435:I2435)</f>
        <v>5557618</v>
      </c>
      <c r="N2436" s="150"/>
    </row>
    <row r="2437" spans="2:15" ht="6" customHeight="1" thickBot="1" x14ac:dyDescent="0.3">
      <c r="B2437" s="373"/>
      <c r="C2437" s="373"/>
      <c r="D2437" s="373"/>
      <c r="E2437" s="373"/>
      <c r="F2437" s="373"/>
      <c r="G2437" s="373"/>
      <c r="H2437" s="373"/>
      <c r="I2437" s="373"/>
    </row>
    <row r="2438" spans="2:15" s="145" customFormat="1" x14ac:dyDescent="0.25">
      <c r="B2438" s="380" t="s">
        <v>323</v>
      </c>
      <c r="C2438" s="381"/>
      <c r="D2438" s="381"/>
      <c r="E2438" s="381"/>
      <c r="F2438" s="381"/>
      <c r="G2438" s="381"/>
      <c r="H2438" s="381"/>
      <c r="I2438" s="382"/>
      <c r="L2438" s="146"/>
      <c r="M2438" s="146"/>
    </row>
    <row r="2439" spans="2:15" s="145" customFormat="1" x14ac:dyDescent="0.25">
      <c r="B2439" s="377" t="s">
        <v>324</v>
      </c>
      <c r="C2439" s="378"/>
      <c r="D2439" s="379"/>
      <c r="E2439" s="137" t="s">
        <v>325</v>
      </c>
      <c r="F2439" s="137" t="s">
        <v>326</v>
      </c>
      <c r="G2439" s="137" t="s">
        <v>130</v>
      </c>
      <c r="H2439" s="137" t="s">
        <v>327</v>
      </c>
      <c r="I2439" s="138" t="s">
        <v>314</v>
      </c>
      <c r="K2439" s="260"/>
      <c r="N2439" s="183"/>
      <c r="O2439" s="148"/>
    </row>
    <row r="2440" spans="2:15" ht="11.25" customHeight="1" x14ac:dyDescent="0.25">
      <c r="B2440" s="362" t="s">
        <v>711</v>
      </c>
      <c r="C2440" s="363"/>
      <c r="D2440" s="363"/>
      <c r="E2440" s="170">
        <v>1</v>
      </c>
      <c r="F2440" s="164"/>
      <c r="G2440" s="161"/>
      <c r="H2440" s="162">
        <v>40000</v>
      </c>
      <c r="I2440" s="143">
        <f>H2440*E2440</f>
        <v>40000</v>
      </c>
      <c r="K2440" s="281"/>
    </row>
    <row r="2441" spans="2:15" ht="10.5" customHeight="1" thickBot="1" x14ac:dyDescent="0.3">
      <c r="B2441" s="371" t="s">
        <v>318</v>
      </c>
      <c r="C2441" s="372"/>
      <c r="D2441" s="372"/>
      <c r="E2441" s="372"/>
      <c r="F2441" s="372"/>
      <c r="G2441" s="372"/>
      <c r="H2441" s="372"/>
      <c r="I2441" s="144">
        <f>SUM(I2440:I2440)</f>
        <v>40000</v>
      </c>
      <c r="K2441" s="281"/>
      <c r="N2441" s="150"/>
    </row>
    <row r="2442" spans="2:15" ht="6" customHeight="1" thickBot="1" x14ac:dyDescent="0.3">
      <c r="B2442" s="373"/>
      <c r="C2442" s="373"/>
      <c r="D2442" s="373"/>
      <c r="E2442" s="373"/>
      <c r="F2442" s="373"/>
      <c r="G2442" s="373"/>
      <c r="H2442" s="373"/>
      <c r="I2442" s="373"/>
    </row>
    <row r="2443" spans="2:15" s="145" customFormat="1" ht="20.100000000000001" customHeight="1" x14ac:dyDescent="0.25">
      <c r="B2443" s="380" t="s">
        <v>328</v>
      </c>
      <c r="C2443" s="381"/>
      <c r="D2443" s="381"/>
      <c r="E2443" s="381"/>
      <c r="F2443" s="381"/>
      <c r="G2443" s="381"/>
      <c r="H2443" s="381"/>
      <c r="I2443" s="382"/>
      <c r="K2443" s="147">
        <f>+K2444-I2450</f>
        <v>-0.5</v>
      </c>
      <c r="N2443" s="148"/>
      <c r="O2443" s="149"/>
    </row>
    <row r="2444" spans="2:15" s="145" customFormat="1" ht="20.100000000000001" customHeight="1" x14ac:dyDescent="0.25">
      <c r="B2444" s="377" t="s">
        <v>329</v>
      </c>
      <c r="C2444" s="379"/>
      <c r="D2444" s="137" t="s">
        <v>322</v>
      </c>
      <c r="E2444" s="137" t="s">
        <v>330</v>
      </c>
      <c r="F2444" s="137" t="s">
        <v>331</v>
      </c>
      <c r="G2444" s="137" t="s">
        <v>332</v>
      </c>
      <c r="H2444" s="137" t="s">
        <v>313</v>
      </c>
      <c r="I2444" s="138" t="s">
        <v>314</v>
      </c>
      <c r="K2444" s="147">
        <v>6400117.5</v>
      </c>
      <c r="O2444" s="179"/>
    </row>
    <row r="2445" spans="2:15" s="151" customFormat="1" ht="9.75" customHeight="1" x14ac:dyDescent="0.25">
      <c r="B2445" s="367" t="s">
        <v>356</v>
      </c>
      <c r="C2445" s="368"/>
      <c r="D2445" s="180">
        <v>1</v>
      </c>
      <c r="E2445" s="141">
        <v>140000</v>
      </c>
      <c r="F2445" s="141">
        <f>+E2445*0.8</f>
        <v>112000</v>
      </c>
      <c r="G2445" s="178">
        <f>D2445*E2445+F2445*D2445</f>
        <v>252000</v>
      </c>
      <c r="H2445" s="184">
        <v>0.9</v>
      </c>
      <c r="I2445" s="143">
        <f>+G2445/H2445</f>
        <v>280000</v>
      </c>
      <c r="J2445" s="145"/>
      <c r="K2445" s="147"/>
    </row>
    <row r="2446" spans="2:15" s="151" customFormat="1" ht="11.25" customHeight="1" x14ac:dyDescent="0.25">
      <c r="B2446" s="367" t="s">
        <v>374</v>
      </c>
      <c r="C2446" s="368"/>
      <c r="D2446" s="180">
        <v>1</v>
      </c>
      <c r="E2446" s="141">
        <v>80000</v>
      </c>
      <c r="F2446" s="141">
        <f>+E2446*0.8</f>
        <v>64000</v>
      </c>
      <c r="G2446" s="178">
        <f>D2446*E2446+F2446*D2446</f>
        <v>144000</v>
      </c>
      <c r="H2446" s="184">
        <f>+H2445</f>
        <v>0.9</v>
      </c>
      <c r="I2446" s="143">
        <f>+G2446/H2446</f>
        <v>160000</v>
      </c>
      <c r="J2446" s="145"/>
      <c r="K2446" s="147"/>
      <c r="L2446" s="179"/>
      <c r="M2446" s="179"/>
    </row>
    <row r="2447" spans="2:15" s="145" customFormat="1" ht="10.5" customHeight="1" x14ac:dyDescent="0.25">
      <c r="B2447" s="367" t="s">
        <v>333</v>
      </c>
      <c r="C2447" s="368"/>
      <c r="D2447" s="180">
        <v>2</v>
      </c>
      <c r="E2447" s="141">
        <v>55000</v>
      </c>
      <c r="F2447" s="141">
        <f>+E2447*0.8</f>
        <v>44000</v>
      </c>
      <c r="G2447" s="178">
        <f>D2447*E2447+F2447*D2447</f>
        <v>198000</v>
      </c>
      <c r="H2447" s="184">
        <f>+H2446</f>
        <v>0.9</v>
      </c>
      <c r="I2447" s="143">
        <f>+G2447/H2447</f>
        <v>220000</v>
      </c>
      <c r="K2447" s="147"/>
    </row>
    <row r="2448" spans="2:15" ht="10.5" customHeight="1" thickBot="1" x14ac:dyDescent="0.3">
      <c r="B2448" s="371" t="s">
        <v>318</v>
      </c>
      <c r="C2448" s="372"/>
      <c r="D2448" s="372"/>
      <c r="E2448" s="372"/>
      <c r="F2448" s="372"/>
      <c r="G2448" s="372"/>
      <c r="H2448" s="372"/>
      <c r="I2448" s="144">
        <f>SUM(I2445:I2447)</f>
        <v>660000</v>
      </c>
      <c r="K2448" s="281"/>
      <c r="N2448" s="150"/>
    </row>
    <row r="2449" spans="2:14" ht="6" customHeight="1" thickBot="1" x14ac:dyDescent="0.3">
      <c r="B2449" s="373"/>
      <c r="C2449" s="373"/>
      <c r="D2449" s="373"/>
      <c r="E2449" s="373"/>
      <c r="F2449" s="373"/>
      <c r="G2449" s="373"/>
      <c r="H2449" s="373"/>
      <c r="I2449" s="373"/>
    </row>
    <row r="2450" spans="2:14" ht="10.5" customHeight="1" thickBot="1" x14ac:dyDescent="0.3">
      <c r="B2450" s="374" t="s">
        <v>334</v>
      </c>
      <c r="C2450" s="375"/>
      <c r="D2450" s="375"/>
      <c r="E2450" s="375"/>
      <c r="F2450" s="375"/>
      <c r="G2450" s="375"/>
      <c r="H2450" s="376"/>
      <c r="I2450" s="152">
        <f>ROUND(+I2431+I2436+I2441+I2448,0)</f>
        <v>6400118</v>
      </c>
      <c r="J2450" s="281"/>
      <c r="K2450" s="169"/>
      <c r="L2450" s="181"/>
      <c r="M2450" s="181"/>
      <c r="N2450" s="153"/>
    </row>
    <row r="2451" spans="2:14" ht="6" customHeight="1" thickBot="1" x14ac:dyDescent="0.3">
      <c r="B2451" s="373"/>
      <c r="C2451" s="373"/>
      <c r="D2451" s="373"/>
      <c r="E2451" s="373"/>
      <c r="F2451" s="373"/>
      <c r="G2451" s="373"/>
      <c r="H2451" s="373"/>
      <c r="I2451" s="373"/>
    </row>
    <row r="2452" spans="2:14" ht="8.25" customHeight="1" x14ac:dyDescent="0.25">
      <c r="B2452" s="433" t="s">
        <v>335</v>
      </c>
      <c r="C2452" s="417"/>
      <c r="D2452" s="418"/>
      <c r="E2452" s="418"/>
      <c r="F2452" s="419"/>
      <c r="G2452" s="369" t="s">
        <v>336</v>
      </c>
      <c r="H2452" s="370"/>
      <c r="I2452" s="370"/>
    </row>
    <row r="2453" spans="2:14" ht="33.75" customHeight="1" x14ac:dyDescent="0.25">
      <c r="B2453" s="434"/>
      <c r="C2453" s="420"/>
      <c r="D2453" s="421"/>
      <c r="E2453" s="421"/>
      <c r="F2453" s="422"/>
      <c r="G2453" s="430" t="s">
        <v>337</v>
      </c>
      <c r="H2453" s="431"/>
      <c r="I2453" s="431"/>
      <c r="L2453" s="181"/>
      <c r="M2453" s="181"/>
      <c r="N2453" s="179"/>
    </row>
    <row r="2454" spans="2:14" ht="13.5" customHeight="1" x14ac:dyDescent="0.25">
      <c r="B2454" s="434"/>
      <c r="C2454" s="420"/>
      <c r="D2454" s="421"/>
      <c r="E2454" s="421"/>
      <c r="F2454" s="422"/>
      <c r="G2454" s="154" t="s">
        <v>92</v>
      </c>
      <c r="H2454" s="432" t="s">
        <v>93</v>
      </c>
      <c r="I2454" s="432"/>
    </row>
    <row r="2455" spans="2:14" ht="16.5" customHeight="1" x14ac:dyDescent="0.25">
      <c r="B2455" s="435"/>
      <c r="C2455" s="420"/>
      <c r="D2455" s="421"/>
      <c r="E2455" s="421"/>
      <c r="F2455" s="422"/>
      <c r="G2455" s="155" t="s">
        <v>94</v>
      </c>
      <c r="H2455" s="156" t="s">
        <v>95</v>
      </c>
      <c r="I2455" s="157" t="s">
        <v>96</v>
      </c>
    </row>
    <row r="2456" spans="2:14" x14ac:dyDescent="0.25">
      <c r="B2456" s="268" t="s">
        <v>18</v>
      </c>
      <c r="C2456" s="427"/>
      <c r="D2456" s="428"/>
      <c r="E2456" s="428"/>
      <c r="F2456" s="429"/>
      <c r="G2456" s="155" t="s">
        <v>98</v>
      </c>
      <c r="H2456" s="157" t="s">
        <v>99</v>
      </c>
      <c r="I2456" s="157" t="s">
        <v>100</v>
      </c>
    </row>
    <row r="2457" spans="2:14" x14ac:dyDescent="0.25">
      <c r="B2457" s="269" t="s">
        <v>97</v>
      </c>
      <c r="C2457" s="427"/>
      <c r="D2457" s="428"/>
      <c r="E2457" s="428"/>
      <c r="F2457" s="429"/>
      <c r="G2457" s="154" t="s">
        <v>338</v>
      </c>
      <c r="H2457" s="426"/>
      <c r="I2457" s="426"/>
    </row>
    <row r="2458" spans="2:14" ht="15.75" thickBot="1" x14ac:dyDescent="0.3">
      <c r="B2458" s="270" t="s">
        <v>101</v>
      </c>
      <c r="C2458" s="423"/>
      <c r="D2458" s="424"/>
      <c r="E2458" s="424"/>
      <c r="F2458" s="425"/>
      <c r="G2458" s="154" t="s">
        <v>102</v>
      </c>
      <c r="H2458" s="426" t="s">
        <v>103</v>
      </c>
      <c r="I2458" s="426"/>
    </row>
    <row r="2459" spans="2:14" ht="45" customHeight="1" thickBot="1" x14ac:dyDescent="0.3">
      <c r="B2459" s="401"/>
      <c r="C2459" s="402"/>
      <c r="D2459" s="402"/>
      <c r="E2459" s="402"/>
      <c r="F2459" s="403" t="s">
        <v>0</v>
      </c>
      <c r="G2459" s="403"/>
      <c r="H2459" s="403"/>
      <c r="I2459" s="404"/>
    </row>
    <row r="2460" spans="2:14" ht="6" customHeight="1" thickBot="1" x14ac:dyDescent="0.3">
      <c r="B2460" s="373"/>
      <c r="C2460" s="373"/>
      <c r="D2460" s="373"/>
      <c r="E2460" s="373"/>
      <c r="F2460" s="373"/>
      <c r="G2460" s="373"/>
      <c r="H2460" s="373"/>
      <c r="I2460" s="373"/>
    </row>
    <row r="2461" spans="2:14" ht="10.5" customHeight="1" x14ac:dyDescent="0.25">
      <c r="B2461" s="405" t="s">
        <v>294</v>
      </c>
      <c r="C2461" s="406"/>
      <c r="D2461" s="407" t="s">
        <v>295</v>
      </c>
      <c r="E2461" s="409" t="s">
        <v>296</v>
      </c>
      <c r="F2461" s="410"/>
      <c r="G2461" s="410"/>
      <c r="H2461" s="410"/>
      <c r="I2461" s="411"/>
    </row>
    <row r="2462" spans="2:14" ht="9" customHeight="1" thickBot="1" x14ac:dyDescent="0.3">
      <c r="B2462" s="415"/>
      <c r="C2462" s="416"/>
      <c r="D2462" s="408"/>
      <c r="E2462" s="412"/>
      <c r="F2462" s="413"/>
      <c r="G2462" s="413"/>
      <c r="H2462" s="413"/>
      <c r="I2462" s="414"/>
    </row>
    <row r="2463" spans="2:14" ht="6" customHeight="1" thickBot="1" x14ac:dyDescent="0.3">
      <c r="B2463" s="373"/>
      <c r="C2463" s="373"/>
      <c r="D2463" s="373"/>
      <c r="E2463" s="373"/>
      <c r="F2463" s="373"/>
      <c r="G2463" s="373"/>
      <c r="H2463" s="373"/>
      <c r="I2463" s="373"/>
    </row>
    <row r="2464" spans="2:14" ht="17.25" customHeight="1" thickBot="1" x14ac:dyDescent="0.3">
      <c r="B2464" s="390" t="s">
        <v>297</v>
      </c>
      <c r="C2464" s="391"/>
      <c r="D2464" s="392"/>
      <c r="E2464" s="393"/>
      <c r="F2464" s="393"/>
      <c r="G2464" s="394"/>
      <c r="H2464" s="127" t="s">
        <v>298</v>
      </c>
      <c r="I2464" s="128"/>
    </row>
    <row r="2465" spans="2:14" ht="6" customHeight="1" thickBot="1" x14ac:dyDescent="0.3">
      <c r="B2465" s="373"/>
      <c r="C2465" s="373"/>
      <c r="D2465" s="373"/>
      <c r="E2465" s="373"/>
      <c r="F2465" s="373"/>
      <c r="G2465" s="373"/>
      <c r="H2465" s="373"/>
      <c r="I2465" s="373"/>
    </row>
    <row r="2466" spans="2:14" ht="19.5" customHeight="1" x14ac:dyDescent="0.25">
      <c r="B2466" s="261" t="s">
        <v>299</v>
      </c>
      <c r="C2466" s="129" t="s">
        <v>300</v>
      </c>
      <c r="D2466" s="130" t="s">
        <v>301</v>
      </c>
      <c r="E2466" s="130" t="s">
        <v>302</v>
      </c>
      <c r="F2466" s="398" t="s">
        <v>303</v>
      </c>
      <c r="G2466" s="399"/>
      <c r="H2466" s="400"/>
      <c r="I2466" s="131" t="s">
        <v>304</v>
      </c>
    </row>
    <row r="2467" spans="2:14" ht="11.25" customHeight="1" x14ac:dyDescent="0.25">
      <c r="B2467" s="262"/>
      <c r="C2467" s="132"/>
      <c r="D2467" s="132" t="s">
        <v>305</v>
      </c>
      <c r="E2467" s="132" t="s">
        <v>306</v>
      </c>
      <c r="F2467" s="395" t="s">
        <v>339</v>
      </c>
      <c r="G2467" s="396"/>
      <c r="H2467" s="397"/>
      <c r="I2467" s="133"/>
    </row>
    <row r="2468" spans="2:14" ht="28.5" customHeight="1" x14ac:dyDescent="0.25">
      <c r="B2468" s="263" t="s">
        <v>307</v>
      </c>
      <c r="C2468" s="383" t="s">
        <v>414</v>
      </c>
      <c r="D2468" s="384"/>
      <c r="E2468" s="384"/>
      <c r="F2468" s="384"/>
      <c r="G2468" s="384"/>
      <c r="H2468" s="384"/>
      <c r="I2468" s="385"/>
    </row>
    <row r="2469" spans="2:14" ht="10.5" customHeight="1" x14ac:dyDescent="0.25">
      <c r="B2469" s="264" t="s">
        <v>129</v>
      </c>
      <c r="C2469" s="388" t="s">
        <v>308</v>
      </c>
      <c r="D2469" s="389"/>
      <c r="E2469" s="389"/>
      <c r="F2469" s="389"/>
      <c r="G2469" s="389"/>
      <c r="H2469" s="389"/>
      <c r="I2469" s="134" t="s">
        <v>130</v>
      </c>
    </row>
    <row r="2470" spans="2:14" ht="50.25" customHeight="1" thickBot="1" x14ac:dyDescent="0.3">
      <c r="B2470" s="265">
        <v>7.2499999999999947</v>
      </c>
      <c r="C2470" s="386" t="s">
        <v>599</v>
      </c>
      <c r="D2470" s="387"/>
      <c r="E2470" s="387"/>
      <c r="F2470" s="387"/>
      <c r="G2470" s="387"/>
      <c r="H2470" s="387"/>
      <c r="I2470" s="135" t="s">
        <v>27</v>
      </c>
    </row>
    <row r="2471" spans="2:14" ht="6" customHeight="1" thickBot="1" x14ac:dyDescent="0.3">
      <c r="B2471" s="373"/>
      <c r="C2471" s="373"/>
      <c r="D2471" s="373"/>
      <c r="E2471" s="373"/>
      <c r="F2471" s="373"/>
      <c r="G2471" s="373"/>
      <c r="H2471" s="373"/>
      <c r="I2471" s="373"/>
    </row>
    <row r="2472" spans="2:14" x14ac:dyDescent="0.25">
      <c r="B2472" s="380" t="s">
        <v>309</v>
      </c>
      <c r="C2472" s="381"/>
      <c r="D2472" s="381"/>
      <c r="E2472" s="381"/>
      <c r="F2472" s="381"/>
      <c r="G2472" s="381"/>
      <c r="H2472" s="381"/>
      <c r="I2472" s="382"/>
      <c r="K2472" s="182"/>
    </row>
    <row r="2473" spans="2:14" ht="11.25" customHeight="1" x14ac:dyDescent="0.25">
      <c r="B2473" s="377" t="s">
        <v>310</v>
      </c>
      <c r="C2473" s="378"/>
      <c r="D2473" s="379"/>
      <c r="E2473" s="136"/>
      <c r="F2473" s="137" t="s">
        <v>311</v>
      </c>
      <c r="G2473" s="137" t="s">
        <v>312</v>
      </c>
      <c r="H2473" s="137" t="s">
        <v>313</v>
      </c>
      <c r="I2473" s="138" t="s">
        <v>314</v>
      </c>
      <c r="L2473" s="139"/>
      <c r="M2473" s="139"/>
    </row>
    <row r="2474" spans="2:14" ht="11.25" customHeight="1" x14ac:dyDescent="0.25">
      <c r="B2474" s="362" t="s">
        <v>315</v>
      </c>
      <c r="C2474" s="363"/>
      <c r="D2474" s="363"/>
      <c r="E2474" s="160"/>
      <c r="F2474" s="161" t="s">
        <v>316</v>
      </c>
      <c r="G2474" s="160">
        <v>5000</v>
      </c>
      <c r="H2474" s="142">
        <v>1.5</v>
      </c>
      <c r="I2474" s="143">
        <f>G2474*H2474</f>
        <v>7500</v>
      </c>
    </row>
    <row r="2475" spans="2:14" ht="16.5" customHeight="1" x14ac:dyDescent="0.25">
      <c r="B2475" s="362" t="s">
        <v>355</v>
      </c>
      <c r="C2475" s="363"/>
      <c r="D2475" s="363"/>
      <c r="E2475" s="160"/>
      <c r="F2475" s="161" t="s">
        <v>317</v>
      </c>
      <c r="G2475" s="160">
        <v>90000</v>
      </c>
      <c r="H2475" s="142">
        <f>+H2474</f>
        <v>1.5</v>
      </c>
      <c r="I2475" s="143">
        <f>G2475*H2475</f>
        <v>135000</v>
      </c>
    </row>
    <row r="2476" spans="2:14" ht="10.5" customHeight="1" thickBot="1" x14ac:dyDescent="0.3">
      <c r="B2476" s="371" t="s">
        <v>318</v>
      </c>
      <c r="C2476" s="372"/>
      <c r="D2476" s="372"/>
      <c r="E2476" s="372"/>
      <c r="F2476" s="372"/>
      <c r="G2476" s="372"/>
      <c r="H2476" s="372"/>
      <c r="I2476" s="144">
        <f>SUM(I2474:I2475)</f>
        <v>142500</v>
      </c>
      <c r="N2476" s="150"/>
    </row>
    <row r="2477" spans="2:14" ht="6" customHeight="1" thickBot="1" x14ac:dyDescent="0.3">
      <c r="B2477" s="373"/>
      <c r="C2477" s="373"/>
      <c r="D2477" s="373"/>
      <c r="E2477" s="373"/>
      <c r="F2477" s="373"/>
      <c r="G2477" s="373"/>
      <c r="H2477" s="373"/>
      <c r="I2477" s="373"/>
    </row>
    <row r="2478" spans="2:14" s="145" customFormat="1" x14ac:dyDescent="0.25">
      <c r="B2478" s="380" t="s">
        <v>319</v>
      </c>
      <c r="C2478" s="381"/>
      <c r="D2478" s="381"/>
      <c r="E2478" s="381"/>
      <c r="F2478" s="381"/>
      <c r="G2478" s="381"/>
      <c r="H2478" s="381"/>
      <c r="I2478" s="382"/>
    </row>
    <row r="2479" spans="2:14" s="145" customFormat="1" ht="15.75" customHeight="1" x14ac:dyDescent="0.25">
      <c r="B2479" s="377" t="s">
        <v>310</v>
      </c>
      <c r="C2479" s="378"/>
      <c r="D2479" s="379"/>
      <c r="E2479" s="137"/>
      <c r="F2479" s="137" t="s">
        <v>320</v>
      </c>
      <c r="G2479" s="137" t="s">
        <v>321</v>
      </c>
      <c r="H2479" s="137" t="s">
        <v>322</v>
      </c>
      <c r="I2479" s="138" t="s">
        <v>314</v>
      </c>
    </row>
    <row r="2480" spans="2:14" ht="78.75" customHeight="1" x14ac:dyDescent="0.25">
      <c r="B2480" s="436" t="s">
        <v>599</v>
      </c>
      <c r="C2480" s="437"/>
      <c r="D2480" s="438"/>
      <c r="E2480" s="163"/>
      <c r="F2480" s="161" t="s">
        <v>27</v>
      </c>
      <c r="G2480" s="160">
        <f>1189923+3062272+1673635</f>
        <v>5925830</v>
      </c>
      <c r="H2480" s="142">
        <v>1</v>
      </c>
      <c r="I2480" s="143">
        <f>G2480*H2480</f>
        <v>5925830</v>
      </c>
      <c r="M2480">
        <v>4608265</v>
      </c>
    </row>
    <row r="2481" spans="2:15" ht="18" customHeight="1" thickBot="1" x14ac:dyDescent="0.3">
      <c r="B2481" s="371" t="s">
        <v>318</v>
      </c>
      <c r="C2481" s="372"/>
      <c r="D2481" s="372"/>
      <c r="E2481" s="372"/>
      <c r="F2481" s="372"/>
      <c r="G2481" s="372"/>
      <c r="H2481" s="372"/>
      <c r="I2481" s="144">
        <f>SUM(I2480:I2480)</f>
        <v>5925830</v>
      </c>
      <c r="N2481" s="150"/>
    </row>
    <row r="2482" spans="2:15" ht="6" customHeight="1" thickBot="1" x14ac:dyDescent="0.3">
      <c r="B2482" s="373"/>
      <c r="C2482" s="373"/>
      <c r="D2482" s="373"/>
      <c r="E2482" s="373"/>
      <c r="F2482" s="373"/>
      <c r="G2482" s="373"/>
      <c r="H2482" s="373"/>
      <c r="I2482" s="373"/>
    </row>
    <row r="2483" spans="2:15" s="145" customFormat="1" x14ac:dyDescent="0.25">
      <c r="B2483" s="380" t="s">
        <v>323</v>
      </c>
      <c r="C2483" s="381"/>
      <c r="D2483" s="381"/>
      <c r="E2483" s="381"/>
      <c r="F2483" s="381"/>
      <c r="G2483" s="381"/>
      <c r="H2483" s="381"/>
      <c r="I2483" s="382"/>
      <c r="L2483" s="146"/>
      <c r="M2483" s="146"/>
    </row>
    <row r="2484" spans="2:15" s="145" customFormat="1" x14ac:dyDescent="0.25">
      <c r="B2484" s="377" t="s">
        <v>324</v>
      </c>
      <c r="C2484" s="378"/>
      <c r="D2484" s="379"/>
      <c r="E2484" s="137" t="s">
        <v>325</v>
      </c>
      <c r="F2484" s="137" t="s">
        <v>326</v>
      </c>
      <c r="G2484" s="137" t="s">
        <v>130</v>
      </c>
      <c r="H2484" s="137" t="s">
        <v>327</v>
      </c>
      <c r="I2484" s="138" t="s">
        <v>314</v>
      </c>
      <c r="K2484" s="260"/>
      <c r="N2484" s="183"/>
      <c r="O2484" s="148"/>
    </row>
    <row r="2485" spans="2:15" ht="11.25" customHeight="1" x14ac:dyDescent="0.25">
      <c r="B2485" s="362" t="s">
        <v>711</v>
      </c>
      <c r="C2485" s="363"/>
      <c r="D2485" s="363"/>
      <c r="E2485" s="170">
        <v>1</v>
      </c>
      <c r="F2485" s="164"/>
      <c r="G2485" s="161"/>
      <c r="H2485" s="162">
        <v>40000</v>
      </c>
      <c r="I2485" s="143">
        <f>H2485*E2485</f>
        <v>40000</v>
      </c>
      <c r="K2485" s="281"/>
    </row>
    <row r="2486" spans="2:15" ht="10.5" customHeight="1" thickBot="1" x14ac:dyDescent="0.3">
      <c r="B2486" s="371" t="s">
        <v>318</v>
      </c>
      <c r="C2486" s="372"/>
      <c r="D2486" s="372"/>
      <c r="E2486" s="372"/>
      <c r="F2486" s="372"/>
      <c r="G2486" s="372"/>
      <c r="H2486" s="372"/>
      <c r="I2486" s="144">
        <f>SUM(I2485:I2485)</f>
        <v>40000</v>
      </c>
      <c r="K2486" s="281">
        <f>+I2495-K2488</f>
        <v>0</v>
      </c>
      <c r="N2486" s="150"/>
    </row>
    <row r="2487" spans="2:15" ht="6" customHeight="1" thickBot="1" x14ac:dyDescent="0.3">
      <c r="B2487" s="373"/>
      <c r="C2487" s="373"/>
      <c r="D2487" s="373"/>
      <c r="E2487" s="373"/>
      <c r="F2487" s="373"/>
      <c r="G2487" s="373"/>
      <c r="H2487" s="373"/>
      <c r="I2487" s="373"/>
    </row>
    <row r="2488" spans="2:15" s="145" customFormat="1" ht="20.100000000000001" customHeight="1" x14ac:dyDescent="0.25">
      <c r="B2488" s="380" t="s">
        <v>328</v>
      </c>
      <c r="C2488" s="381"/>
      <c r="D2488" s="381"/>
      <c r="E2488" s="381"/>
      <c r="F2488" s="381"/>
      <c r="G2488" s="381"/>
      <c r="H2488" s="381"/>
      <c r="I2488" s="382"/>
      <c r="K2488" s="147">
        <v>6850830</v>
      </c>
      <c r="N2488" s="148"/>
      <c r="O2488" s="149"/>
    </row>
    <row r="2489" spans="2:15" s="145" customFormat="1" ht="20.100000000000001" customHeight="1" x14ac:dyDescent="0.25">
      <c r="B2489" s="377" t="s">
        <v>329</v>
      </c>
      <c r="C2489" s="379"/>
      <c r="D2489" s="137" t="s">
        <v>322</v>
      </c>
      <c r="E2489" s="137" t="s">
        <v>330</v>
      </c>
      <c r="F2489" s="137" t="s">
        <v>331</v>
      </c>
      <c r="G2489" s="137" t="s">
        <v>332</v>
      </c>
      <c r="H2489" s="137" t="s">
        <v>313</v>
      </c>
      <c r="I2489" s="138" t="s">
        <v>314</v>
      </c>
      <c r="K2489" s="147"/>
      <c r="O2489" s="179"/>
    </row>
    <row r="2490" spans="2:15" s="151" customFormat="1" ht="9.75" customHeight="1" x14ac:dyDescent="0.25">
      <c r="B2490" s="367" t="s">
        <v>356</v>
      </c>
      <c r="C2490" s="368"/>
      <c r="D2490" s="180">
        <v>1</v>
      </c>
      <c r="E2490" s="141">
        <v>140000</v>
      </c>
      <c r="F2490" s="141">
        <f>+E2490*0.8</f>
        <v>112000</v>
      </c>
      <c r="G2490" s="178">
        <f>D2490*E2490+F2490*D2490</f>
        <v>252000</v>
      </c>
      <c r="H2490" s="184">
        <v>0.8</v>
      </c>
      <c r="I2490" s="143">
        <f>+G2490/H2490</f>
        <v>315000</v>
      </c>
      <c r="J2490" s="145"/>
      <c r="K2490" s="147"/>
    </row>
    <row r="2491" spans="2:15" s="151" customFormat="1" ht="11.25" customHeight="1" x14ac:dyDescent="0.25">
      <c r="B2491" s="367" t="s">
        <v>374</v>
      </c>
      <c r="C2491" s="368"/>
      <c r="D2491" s="180">
        <v>1</v>
      </c>
      <c r="E2491" s="141">
        <v>80000</v>
      </c>
      <c r="F2491" s="141">
        <f>+E2491*0.8</f>
        <v>64000</v>
      </c>
      <c r="G2491" s="178">
        <f>D2491*E2491+F2491*D2491</f>
        <v>144000</v>
      </c>
      <c r="H2491" s="184">
        <f>+H2490</f>
        <v>0.8</v>
      </c>
      <c r="I2491" s="143">
        <f>+G2491/H2491</f>
        <v>180000</v>
      </c>
      <c r="J2491" s="145"/>
      <c r="K2491" s="147"/>
      <c r="L2491" s="179"/>
      <c r="M2491" s="179"/>
    </row>
    <row r="2492" spans="2:15" s="145" customFormat="1" ht="10.5" customHeight="1" x14ac:dyDescent="0.25">
      <c r="B2492" s="367" t="s">
        <v>333</v>
      </c>
      <c r="C2492" s="368"/>
      <c r="D2492" s="180">
        <v>2</v>
      </c>
      <c r="E2492" s="141">
        <v>55000</v>
      </c>
      <c r="F2492" s="141">
        <f>+E2492*0.8</f>
        <v>44000</v>
      </c>
      <c r="G2492" s="178">
        <f>D2492*E2492+F2492*D2492</f>
        <v>198000</v>
      </c>
      <c r="H2492" s="184">
        <f>+H2491</f>
        <v>0.8</v>
      </c>
      <c r="I2492" s="143">
        <f>+G2492/H2492</f>
        <v>247500</v>
      </c>
      <c r="K2492" s="147"/>
    </row>
    <row r="2493" spans="2:15" ht="10.5" customHeight="1" thickBot="1" x14ac:dyDescent="0.3">
      <c r="B2493" s="371" t="s">
        <v>318</v>
      </c>
      <c r="C2493" s="372"/>
      <c r="D2493" s="372"/>
      <c r="E2493" s="372"/>
      <c r="F2493" s="372"/>
      <c r="G2493" s="372"/>
      <c r="H2493" s="372"/>
      <c r="I2493" s="144">
        <f>SUM(I2490:I2492)</f>
        <v>742500</v>
      </c>
      <c r="K2493" s="281"/>
      <c r="N2493" s="150"/>
    </row>
    <row r="2494" spans="2:15" ht="6" customHeight="1" thickBot="1" x14ac:dyDescent="0.3">
      <c r="B2494" s="373"/>
      <c r="C2494" s="373"/>
      <c r="D2494" s="373"/>
      <c r="E2494" s="373"/>
      <c r="F2494" s="373"/>
      <c r="G2494" s="373"/>
      <c r="H2494" s="373"/>
      <c r="I2494" s="373"/>
    </row>
    <row r="2495" spans="2:15" ht="10.5" customHeight="1" thickBot="1" x14ac:dyDescent="0.3">
      <c r="B2495" s="374" t="s">
        <v>334</v>
      </c>
      <c r="C2495" s="375"/>
      <c r="D2495" s="375"/>
      <c r="E2495" s="375"/>
      <c r="F2495" s="375"/>
      <c r="G2495" s="375"/>
      <c r="H2495" s="376"/>
      <c r="I2495" s="152">
        <f>ROUND(+I2476+I2481+I2486+I2493,0)</f>
        <v>6850830</v>
      </c>
      <c r="J2495" s="281"/>
      <c r="K2495" s="169"/>
      <c r="L2495" s="181"/>
      <c r="M2495" s="181"/>
      <c r="N2495" s="153"/>
    </row>
    <row r="2496" spans="2:15" ht="6" customHeight="1" thickBot="1" x14ac:dyDescent="0.3">
      <c r="B2496" s="373"/>
      <c r="C2496" s="373"/>
      <c r="D2496" s="373"/>
      <c r="E2496" s="373"/>
      <c r="F2496" s="373"/>
      <c r="G2496" s="373"/>
      <c r="H2496" s="373"/>
      <c r="I2496" s="373"/>
    </row>
    <row r="2497" spans="2:14" ht="8.25" customHeight="1" x14ac:dyDescent="0.25">
      <c r="B2497" s="433" t="s">
        <v>335</v>
      </c>
      <c r="C2497" s="417"/>
      <c r="D2497" s="418"/>
      <c r="E2497" s="418"/>
      <c r="F2497" s="419"/>
      <c r="G2497" s="369" t="s">
        <v>336</v>
      </c>
      <c r="H2497" s="370"/>
      <c r="I2497" s="370"/>
    </row>
    <row r="2498" spans="2:14" ht="33.75" customHeight="1" x14ac:dyDescent="0.25">
      <c r="B2498" s="434"/>
      <c r="C2498" s="420"/>
      <c r="D2498" s="421"/>
      <c r="E2498" s="421"/>
      <c r="F2498" s="422"/>
      <c r="G2498" s="430" t="s">
        <v>337</v>
      </c>
      <c r="H2498" s="431"/>
      <c r="I2498" s="431"/>
      <c r="L2498" s="181"/>
      <c r="M2498" s="181"/>
      <c r="N2498" s="179"/>
    </row>
    <row r="2499" spans="2:14" ht="13.5" customHeight="1" x14ac:dyDescent="0.25">
      <c r="B2499" s="434"/>
      <c r="C2499" s="420"/>
      <c r="D2499" s="421"/>
      <c r="E2499" s="421"/>
      <c r="F2499" s="422"/>
      <c r="G2499" s="154" t="s">
        <v>92</v>
      </c>
      <c r="H2499" s="432" t="s">
        <v>93</v>
      </c>
      <c r="I2499" s="432"/>
    </row>
    <row r="2500" spans="2:14" ht="16.5" customHeight="1" x14ac:dyDescent="0.25">
      <c r="B2500" s="435"/>
      <c r="C2500" s="420"/>
      <c r="D2500" s="421"/>
      <c r="E2500" s="421"/>
      <c r="F2500" s="422"/>
      <c r="G2500" s="155" t="s">
        <v>94</v>
      </c>
      <c r="H2500" s="156" t="s">
        <v>95</v>
      </c>
      <c r="I2500" s="157" t="s">
        <v>96</v>
      </c>
    </row>
    <row r="2501" spans="2:14" x14ac:dyDescent="0.25">
      <c r="B2501" s="268" t="s">
        <v>18</v>
      </c>
      <c r="C2501" s="427"/>
      <c r="D2501" s="428"/>
      <c r="E2501" s="428"/>
      <c r="F2501" s="429"/>
      <c r="G2501" s="155" t="s">
        <v>98</v>
      </c>
      <c r="H2501" s="157" t="s">
        <v>99</v>
      </c>
      <c r="I2501" s="157" t="s">
        <v>100</v>
      </c>
    </row>
    <row r="2502" spans="2:14" x14ac:dyDescent="0.25">
      <c r="B2502" s="269" t="s">
        <v>97</v>
      </c>
      <c r="C2502" s="427"/>
      <c r="D2502" s="428"/>
      <c r="E2502" s="428"/>
      <c r="F2502" s="429"/>
      <c r="G2502" s="154" t="s">
        <v>338</v>
      </c>
      <c r="H2502" s="426"/>
      <c r="I2502" s="426"/>
    </row>
    <row r="2503" spans="2:14" ht="15.75" thickBot="1" x14ac:dyDescent="0.3">
      <c r="B2503" s="270" t="s">
        <v>101</v>
      </c>
      <c r="C2503" s="423"/>
      <c r="D2503" s="424"/>
      <c r="E2503" s="424"/>
      <c r="F2503" s="425"/>
      <c r="G2503" s="154" t="s">
        <v>102</v>
      </c>
      <c r="H2503" s="426" t="s">
        <v>103</v>
      </c>
      <c r="I2503" s="426"/>
    </row>
    <row r="2504" spans="2:14" ht="45" customHeight="1" thickBot="1" x14ac:dyDescent="0.3">
      <c r="B2504" s="401"/>
      <c r="C2504" s="402"/>
      <c r="D2504" s="402"/>
      <c r="E2504" s="402"/>
      <c r="F2504" s="403" t="s">
        <v>0</v>
      </c>
      <c r="G2504" s="403"/>
      <c r="H2504" s="403"/>
      <c r="I2504" s="404"/>
    </row>
    <row r="2505" spans="2:14" ht="6" customHeight="1" thickBot="1" x14ac:dyDescent="0.3">
      <c r="B2505" s="373"/>
      <c r="C2505" s="373"/>
      <c r="D2505" s="373"/>
      <c r="E2505" s="373"/>
      <c r="F2505" s="373"/>
      <c r="G2505" s="373"/>
      <c r="H2505" s="373"/>
      <c r="I2505" s="373"/>
    </row>
    <row r="2506" spans="2:14" ht="10.5" customHeight="1" x14ac:dyDescent="0.25">
      <c r="B2506" s="405" t="s">
        <v>294</v>
      </c>
      <c r="C2506" s="406"/>
      <c r="D2506" s="407" t="s">
        <v>295</v>
      </c>
      <c r="E2506" s="409" t="s">
        <v>296</v>
      </c>
      <c r="F2506" s="410"/>
      <c r="G2506" s="410"/>
      <c r="H2506" s="410"/>
      <c r="I2506" s="411"/>
    </row>
    <row r="2507" spans="2:14" ht="9" customHeight="1" thickBot="1" x14ac:dyDescent="0.3">
      <c r="B2507" s="415"/>
      <c r="C2507" s="416"/>
      <c r="D2507" s="408"/>
      <c r="E2507" s="412"/>
      <c r="F2507" s="413"/>
      <c r="G2507" s="413"/>
      <c r="H2507" s="413"/>
      <c r="I2507" s="414"/>
    </row>
    <row r="2508" spans="2:14" ht="6" customHeight="1" thickBot="1" x14ac:dyDescent="0.3">
      <c r="B2508" s="373"/>
      <c r="C2508" s="373"/>
      <c r="D2508" s="373"/>
      <c r="E2508" s="373"/>
      <c r="F2508" s="373"/>
      <c r="G2508" s="373"/>
      <c r="H2508" s="373"/>
      <c r="I2508" s="373"/>
    </row>
    <row r="2509" spans="2:14" ht="17.25" customHeight="1" thickBot="1" x14ac:dyDescent="0.3">
      <c r="B2509" s="390" t="s">
        <v>297</v>
      </c>
      <c r="C2509" s="391"/>
      <c r="D2509" s="392"/>
      <c r="E2509" s="393"/>
      <c r="F2509" s="393"/>
      <c r="G2509" s="394"/>
      <c r="H2509" s="127" t="s">
        <v>298</v>
      </c>
      <c r="I2509" s="128"/>
    </row>
    <row r="2510" spans="2:14" ht="6" customHeight="1" thickBot="1" x14ac:dyDescent="0.3">
      <c r="B2510" s="373"/>
      <c r="C2510" s="373"/>
      <c r="D2510" s="373"/>
      <c r="E2510" s="373"/>
      <c r="F2510" s="373"/>
      <c r="G2510" s="373"/>
      <c r="H2510" s="373"/>
      <c r="I2510" s="373"/>
    </row>
    <row r="2511" spans="2:14" ht="19.5" customHeight="1" x14ac:dyDescent="0.25">
      <c r="B2511" s="261" t="s">
        <v>299</v>
      </c>
      <c r="C2511" s="129" t="s">
        <v>300</v>
      </c>
      <c r="D2511" s="130" t="s">
        <v>301</v>
      </c>
      <c r="E2511" s="130" t="s">
        <v>302</v>
      </c>
      <c r="F2511" s="398" t="s">
        <v>303</v>
      </c>
      <c r="G2511" s="399"/>
      <c r="H2511" s="400"/>
      <c r="I2511" s="131" t="s">
        <v>304</v>
      </c>
    </row>
    <row r="2512" spans="2:14" ht="11.25" customHeight="1" x14ac:dyDescent="0.25">
      <c r="B2512" s="262"/>
      <c r="C2512" s="132"/>
      <c r="D2512" s="132" t="s">
        <v>305</v>
      </c>
      <c r="E2512" s="132" t="s">
        <v>306</v>
      </c>
      <c r="F2512" s="395" t="s">
        <v>339</v>
      </c>
      <c r="G2512" s="396"/>
      <c r="H2512" s="397"/>
      <c r="I2512" s="133"/>
    </row>
    <row r="2513" spans="2:14" ht="28.5" customHeight="1" x14ac:dyDescent="0.25">
      <c r="B2513" s="263" t="s">
        <v>307</v>
      </c>
      <c r="C2513" s="383" t="s">
        <v>414</v>
      </c>
      <c r="D2513" s="384"/>
      <c r="E2513" s="384"/>
      <c r="F2513" s="384"/>
      <c r="G2513" s="384"/>
      <c r="H2513" s="384"/>
      <c r="I2513" s="385"/>
    </row>
    <row r="2514" spans="2:14" ht="10.5" customHeight="1" x14ac:dyDescent="0.25">
      <c r="B2514" s="264" t="s">
        <v>129</v>
      </c>
      <c r="C2514" s="388" t="s">
        <v>308</v>
      </c>
      <c r="D2514" s="389"/>
      <c r="E2514" s="389"/>
      <c r="F2514" s="389"/>
      <c r="G2514" s="389"/>
      <c r="H2514" s="389"/>
      <c r="I2514" s="134" t="s">
        <v>130</v>
      </c>
    </row>
    <row r="2515" spans="2:14" ht="50.25" customHeight="1" thickBot="1" x14ac:dyDescent="0.3">
      <c r="B2515" s="265">
        <v>7.2599999999999945</v>
      </c>
      <c r="C2515" s="386" t="s">
        <v>600</v>
      </c>
      <c r="D2515" s="387"/>
      <c r="E2515" s="387"/>
      <c r="F2515" s="387"/>
      <c r="G2515" s="387"/>
      <c r="H2515" s="387"/>
      <c r="I2515" s="135" t="s">
        <v>27</v>
      </c>
    </row>
    <row r="2516" spans="2:14" ht="6" customHeight="1" thickBot="1" x14ac:dyDescent="0.3">
      <c r="B2516" s="373"/>
      <c r="C2516" s="373"/>
      <c r="D2516" s="373"/>
      <c r="E2516" s="373"/>
      <c r="F2516" s="373"/>
      <c r="G2516" s="373"/>
      <c r="H2516" s="373"/>
      <c r="I2516" s="373"/>
    </row>
    <row r="2517" spans="2:14" x14ac:dyDescent="0.25">
      <c r="B2517" s="380" t="s">
        <v>309</v>
      </c>
      <c r="C2517" s="381"/>
      <c r="D2517" s="381"/>
      <c r="E2517" s="381"/>
      <c r="F2517" s="381"/>
      <c r="G2517" s="381"/>
      <c r="H2517" s="381"/>
      <c r="I2517" s="382"/>
      <c r="K2517" s="182"/>
    </row>
    <row r="2518" spans="2:14" ht="11.25" customHeight="1" x14ac:dyDescent="0.25">
      <c r="B2518" s="377" t="s">
        <v>310</v>
      </c>
      <c r="C2518" s="378"/>
      <c r="D2518" s="379"/>
      <c r="E2518" s="136"/>
      <c r="F2518" s="137" t="s">
        <v>311</v>
      </c>
      <c r="G2518" s="137" t="s">
        <v>312</v>
      </c>
      <c r="H2518" s="137" t="s">
        <v>313</v>
      </c>
      <c r="I2518" s="138" t="s">
        <v>314</v>
      </c>
      <c r="L2518" s="139"/>
      <c r="M2518" s="139"/>
    </row>
    <row r="2519" spans="2:14" ht="11.25" customHeight="1" x14ac:dyDescent="0.25">
      <c r="B2519" s="362" t="s">
        <v>315</v>
      </c>
      <c r="C2519" s="363"/>
      <c r="D2519" s="363"/>
      <c r="E2519" s="160"/>
      <c r="F2519" s="161" t="s">
        <v>316</v>
      </c>
      <c r="G2519" s="160">
        <v>5000</v>
      </c>
      <c r="H2519" s="142">
        <v>1.2</v>
      </c>
      <c r="I2519" s="143">
        <f>G2519*H2519</f>
        <v>6000</v>
      </c>
    </row>
    <row r="2520" spans="2:14" ht="16.5" customHeight="1" x14ac:dyDescent="0.25">
      <c r="B2520" s="362" t="s">
        <v>355</v>
      </c>
      <c r="C2520" s="363"/>
      <c r="D2520" s="363"/>
      <c r="E2520" s="160"/>
      <c r="F2520" s="161" t="s">
        <v>317</v>
      </c>
      <c r="G2520" s="160">
        <v>90000</v>
      </c>
      <c r="H2520" s="142">
        <f>+H2519</f>
        <v>1.2</v>
      </c>
      <c r="I2520" s="143">
        <f>G2520*H2520</f>
        <v>108000</v>
      </c>
    </row>
    <row r="2521" spans="2:14" ht="10.5" customHeight="1" thickBot="1" x14ac:dyDescent="0.3">
      <c r="B2521" s="371" t="s">
        <v>318</v>
      </c>
      <c r="C2521" s="372"/>
      <c r="D2521" s="372"/>
      <c r="E2521" s="372"/>
      <c r="F2521" s="372"/>
      <c r="G2521" s="372"/>
      <c r="H2521" s="372"/>
      <c r="I2521" s="144">
        <f>SUM(I2519:I2520)</f>
        <v>114000</v>
      </c>
      <c r="N2521" s="150"/>
    </row>
    <row r="2522" spans="2:14" ht="6" customHeight="1" thickBot="1" x14ac:dyDescent="0.3">
      <c r="B2522" s="373"/>
      <c r="C2522" s="373"/>
      <c r="D2522" s="373"/>
      <c r="E2522" s="373"/>
      <c r="F2522" s="373"/>
      <c r="G2522" s="373"/>
      <c r="H2522" s="373"/>
      <c r="I2522" s="373"/>
    </row>
    <row r="2523" spans="2:14" s="145" customFormat="1" x14ac:dyDescent="0.25">
      <c r="B2523" s="380" t="s">
        <v>319</v>
      </c>
      <c r="C2523" s="381"/>
      <c r="D2523" s="381"/>
      <c r="E2523" s="381"/>
      <c r="F2523" s="381"/>
      <c r="G2523" s="381"/>
      <c r="H2523" s="381"/>
      <c r="I2523" s="382"/>
    </row>
    <row r="2524" spans="2:14" s="145" customFormat="1" ht="15.75" customHeight="1" x14ac:dyDescent="0.25">
      <c r="B2524" s="377" t="s">
        <v>310</v>
      </c>
      <c r="C2524" s="378"/>
      <c r="D2524" s="379"/>
      <c r="E2524" s="137"/>
      <c r="F2524" s="137" t="s">
        <v>320</v>
      </c>
      <c r="G2524" s="137" t="s">
        <v>321</v>
      </c>
      <c r="H2524" s="137" t="s">
        <v>322</v>
      </c>
      <c r="I2524" s="138" t="s">
        <v>314</v>
      </c>
    </row>
    <row r="2525" spans="2:14" ht="78.75" customHeight="1" x14ac:dyDescent="0.25">
      <c r="B2525" s="436" t="s">
        <v>600</v>
      </c>
      <c r="C2525" s="437"/>
      <c r="D2525" s="438"/>
      <c r="E2525" s="163"/>
      <c r="F2525" s="161" t="s">
        <v>27</v>
      </c>
      <c r="G2525" s="160">
        <f>1189923+3062272+1673635-2152848+1</f>
        <v>3772983</v>
      </c>
      <c r="H2525" s="142">
        <v>1</v>
      </c>
      <c r="I2525" s="143">
        <f>G2525*H2525</f>
        <v>3772983</v>
      </c>
      <c r="M2525">
        <v>4608265</v>
      </c>
    </row>
    <row r="2526" spans="2:14" ht="18" customHeight="1" thickBot="1" x14ac:dyDescent="0.3">
      <c r="B2526" s="371" t="s">
        <v>318</v>
      </c>
      <c r="C2526" s="372"/>
      <c r="D2526" s="372"/>
      <c r="E2526" s="372"/>
      <c r="F2526" s="372"/>
      <c r="G2526" s="372"/>
      <c r="H2526" s="372"/>
      <c r="I2526" s="144">
        <f>SUM(I2525:I2525)</f>
        <v>3772983</v>
      </c>
      <c r="N2526" s="150"/>
    </row>
    <row r="2527" spans="2:14" ht="6" customHeight="1" thickBot="1" x14ac:dyDescent="0.3">
      <c r="B2527" s="373"/>
      <c r="C2527" s="373"/>
      <c r="D2527" s="373"/>
      <c r="E2527" s="373"/>
      <c r="F2527" s="373"/>
      <c r="G2527" s="373"/>
      <c r="H2527" s="373"/>
      <c r="I2527" s="373"/>
    </row>
    <row r="2528" spans="2:14" s="145" customFormat="1" x14ac:dyDescent="0.25">
      <c r="B2528" s="380" t="s">
        <v>323</v>
      </c>
      <c r="C2528" s="381"/>
      <c r="D2528" s="381"/>
      <c r="E2528" s="381"/>
      <c r="F2528" s="381"/>
      <c r="G2528" s="381"/>
      <c r="H2528" s="381"/>
      <c r="I2528" s="382"/>
      <c r="L2528" s="146"/>
      <c r="M2528" s="146"/>
    </row>
    <row r="2529" spans="2:15" s="145" customFormat="1" x14ac:dyDescent="0.25">
      <c r="B2529" s="377" t="s">
        <v>324</v>
      </c>
      <c r="C2529" s="378"/>
      <c r="D2529" s="379"/>
      <c r="E2529" s="137" t="s">
        <v>325</v>
      </c>
      <c r="F2529" s="137" t="s">
        <v>326</v>
      </c>
      <c r="G2529" s="137" t="s">
        <v>130</v>
      </c>
      <c r="H2529" s="137" t="s">
        <v>327</v>
      </c>
      <c r="I2529" s="138" t="s">
        <v>314</v>
      </c>
      <c r="K2529" s="260"/>
      <c r="N2529" s="183"/>
      <c r="O2529" s="148"/>
    </row>
    <row r="2530" spans="2:15" ht="11.25" customHeight="1" x14ac:dyDescent="0.25">
      <c r="B2530" s="362" t="s">
        <v>711</v>
      </c>
      <c r="C2530" s="363"/>
      <c r="D2530" s="363"/>
      <c r="E2530" s="170">
        <v>1</v>
      </c>
      <c r="F2530" s="164"/>
      <c r="G2530" s="161"/>
      <c r="H2530" s="162">
        <v>35000</v>
      </c>
      <c r="I2530" s="143">
        <f>H2530*E2530</f>
        <v>35000</v>
      </c>
      <c r="K2530" s="281"/>
    </row>
    <row r="2531" spans="2:15" ht="10.5" customHeight="1" thickBot="1" x14ac:dyDescent="0.3">
      <c r="B2531" s="371" t="s">
        <v>318</v>
      </c>
      <c r="C2531" s="372"/>
      <c r="D2531" s="372"/>
      <c r="E2531" s="372"/>
      <c r="F2531" s="372"/>
      <c r="G2531" s="372"/>
      <c r="H2531" s="372"/>
      <c r="I2531" s="144">
        <f>SUM(I2530:I2530)</f>
        <v>35000</v>
      </c>
      <c r="K2531" s="281"/>
      <c r="N2531" s="150"/>
    </row>
    <row r="2532" spans="2:15" ht="6" customHeight="1" thickBot="1" x14ac:dyDescent="0.3">
      <c r="B2532" s="373"/>
      <c r="C2532" s="373"/>
      <c r="D2532" s="373"/>
      <c r="E2532" s="373"/>
      <c r="F2532" s="373"/>
      <c r="G2532" s="373"/>
      <c r="H2532" s="373"/>
      <c r="I2532" s="373"/>
    </row>
    <row r="2533" spans="2:15" s="145" customFormat="1" ht="20.100000000000001" customHeight="1" x14ac:dyDescent="0.25">
      <c r="B2533" s="380" t="s">
        <v>328</v>
      </c>
      <c r="C2533" s="381"/>
      <c r="D2533" s="381"/>
      <c r="E2533" s="381"/>
      <c r="F2533" s="381"/>
      <c r="G2533" s="381"/>
      <c r="H2533" s="381"/>
      <c r="I2533" s="382"/>
      <c r="K2533" s="147">
        <v>4416982.5</v>
      </c>
      <c r="N2533" s="148"/>
      <c r="O2533" s="149"/>
    </row>
    <row r="2534" spans="2:15" s="145" customFormat="1" ht="20.100000000000001" customHeight="1" x14ac:dyDescent="0.25">
      <c r="B2534" s="377" t="s">
        <v>329</v>
      </c>
      <c r="C2534" s="379"/>
      <c r="D2534" s="137" t="s">
        <v>322</v>
      </c>
      <c r="E2534" s="137" t="s">
        <v>330</v>
      </c>
      <c r="F2534" s="137" t="s">
        <v>331</v>
      </c>
      <c r="G2534" s="137" t="s">
        <v>332</v>
      </c>
      <c r="H2534" s="137" t="s">
        <v>313</v>
      </c>
      <c r="I2534" s="138" t="s">
        <v>314</v>
      </c>
      <c r="K2534" s="147">
        <f>+K2533-I2540</f>
        <v>-0.5</v>
      </c>
      <c r="O2534" s="179"/>
    </row>
    <row r="2535" spans="2:15" s="151" customFormat="1" ht="9.75" customHeight="1" x14ac:dyDescent="0.25">
      <c r="B2535" s="367" t="s">
        <v>356</v>
      </c>
      <c r="C2535" s="368"/>
      <c r="D2535" s="180">
        <v>1</v>
      </c>
      <c r="E2535" s="141">
        <v>140000</v>
      </c>
      <c r="F2535" s="141">
        <f>+E2535*0.8</f>
        <v>112000</v>
      </c>
      <c r="G2535" s="178">
        <f>D2535*E2535+F2535*D2535</f>
        <v>252000</v>
      </c>
      <c r="H2535" s="184">
        <v>1.2</v>
      </c>
      <c r="I2535" s="143">
        <f>+G2535/H2535</f>
        <v>210000</v>
      </c>
      <c r="J2535" s="145"/>
      <c r="K2535" s="147"/>
    </row>
    <row r="2536" spans="2:15" s="151" customFormat="1" ht="11.25" customHeight="1" x14ac:dyDescent="0.25">
      <c r="B2536" s="367" t="s">
        <v>374</v>
      </c>
      <c r="C2536" s="368"/>
      <c r="D2536" s="180">
        <v>1</v>
      </c>
      <c r="E2536" s="141">
        <v>80000</v>
      </c>
      <c r="F2536" s="141">
        <f>+E2536*0.8</f>
        <v>64000</v>
      </c>
      <c r="G2536" s="178">
        <f>D2536*E2536+F2536*D2536</f>
        <v>144000</v>
      </c>
      <c r="H2536" s="184">
        <f>+H2535</f>
        <v>1.2</v>
      </c>
      <c r="I2536" s="143">
        <f>+G2536/H2536</f>
        <v>120000</v>
      </c>
      <c r="J2536" s="145"/>
      <c r="K2536" s="147"/>
      <c r="L2536" s="179"/>
      <c r="M2536" s="179"/>
    </row>
    <row r="2537" spans="2:15" s="145" customFormat="1" ht="10.5" customHeight="1" x14ac:dyDescent="0.25">
      <c r="B2537" s="367" t="s">
        <v>333</v>
      </c>
      <c r="C2537" s="368"/>
      <c r="D2537" s="180">
        <v>2</v>
      </c>
      <c r="E2537" s="141">
        <v>55000</v>
      </c>
      <c r="F2537" s="141">
        <f>+E2537*0.8</f>
        <v>44000</v>
      </c>
      <c r="G2537" s="178">
        <f>D2537*E2537+F2537*D2537</f>
        <v>198000</v>
      </c>
      <c r="H2537" s="184">
        <f>+H2536</f>
        <v>1.2</v>
      </c>
      <c r="I2537" s="143">
        <f>+G2537/H2537</f>
        <v>165000</v>
      </c>
      <c r="K2537" s="147"/>
    </row>
    <row r="2538" spans="2:15" ht="10.5" customHeight="1" thickBot="1" x14ac:dyDescent="0.3">
      <c r="B2538" s="371" t="s">
        <v>318</v>
      </c>
      <c r="C2538" s="372"/>
      <c r="D2538" s="372"/>
      <c r="E2538" s="372"/>
      <c r="F2538" s="372"/>
      <c r="G2538" s="372"/>
      <c r="H2538" s="372"/>
      <c r="I2538" s="144">
        <f>SUM(I2535:I2537)</f>
        <v>495000</v>
      </c>
      <c r="K2538" s="281"/>
      <c r="N2538" s="150"/>
    </row>
    <row r="2539" spans="2:15" ht="6" customHeight="1" thickBot="1" x14ac:dyDescent="0.3">
      <c r="B2539" s="373"/>
      <c r="C2539" s="373"/>
      <c r="D2539" s="373"/>
      <c r="E2539" s="373"/>
      <c r="F2539" s="373"/>
      <c r="G2539" s="373"/>
      <c r="H2539" s="373"/>
      <c r="I2539" s="373"/>
    </row>
    <row r="2540" spans="2:15" ht="10.5" customHeight="1" thickBot="1" x14ac:dyDescent="0.3">
      <c r="B2540" s="374" t="s">
        <v>334</v>
      </c>
      <c r="C2540" s="375"/>
      <c r="D2540" s="375"/>
      <c r="E2540" s="375"/>
      <c r="F2540" s="375"/>
      <c r="G2540" s="375"/>
      <c r="H2540" s="376"/>
      <c r="I2540" s="152">
        <f>ROUND(+I2521+I2526+I2531+I2538,0)</f>
        <v>4416983</v>
      </c>
      <c r="J2540" s="281"/>
      <c r="K2540" s="169"/>
      <c r="L2540" s="181"/>
      <c r="M2540" s="181"/>
      <c r="N2540" s="153"/>
    </row>
    <row r="2541" spans="2:15" ht="6" customHeight="1" thickBot="1" x14ac:dyDescent="0.3">
      <c r="B2541" s="373"/>
      <c r="C2541" s="373"/>
      <c r="D2541" s="373"/>
      <c r="E2541" s="373"/>
      <c r="F2541" s="373"/>
      <c r="G2541" s="373"/>
      <c r="H2541" s="373"/>
      <c r="I2541" s="373"/>
    </row>
    <row r="2542" spans="2:15" ht="8.25" customHeight="1" x14ac:dyDescent="0.25">
      <c r="B2542" s="433" t="s">
        <v>335</v>
      </c>
      <c r="C2542" s="417"/>
      <c r="D2542" s="418"/>
      <c r="E2542" s="418"/>
      <c r="F2542" s="419"/>
      <c r="G2542" s="369" t="s">
        <v>336</v>
      </c>
      <c r="H2542" s="370"/>
      <c r="I2542" s="370"/>
    </row>
    <row r="2543" spans="2:15" ht="33.75" customHeight="1" x14ac:dyDescent="0.25">
      <c r="B2543" s="434"/>
      <c r="C2543" s="420"/>
      <c r="D2543" s="421"/>
      <c r="E2543" s="421"/>
      <c r="F2543" s="422"/>
      <c r="G2543" s="430" t="s">
        <v>337</v>
      </c>
      <c r="H2543" s="431"/>
      <c r="I2543" s="431"/>
      <c r="L2543" s="181"/>
      <c r="M2543" s="181"/>
      <c r="N2543" s="179"/>
    </row>
    <row r="2544" spans="2:15" ht="13.5" customHeight="1" x14ac:dyDescent="0.25">
      <c r="B2544" s="434"/>
      <c r="C2544" s="420"/>
      <c r="D2544" s="421"/>
      <c r="E2544" s="421"/>
      <c r="F2544" s="422"/>
      <c r="G2544" s="154" t="s">
        <v>92</v>
      </c>
      <c r="H2544" s="432" t="s">
        <v>93</v>
      </c>
      <c r="I2544" s="432"/>
    </row>
    <row r="2545" spans="2:9" ht="16.5" customHeight="1" x14ac:dyDescent="0.25">
      <c r="B2545" s="435"/>
      <c r="C2545" s="420"/>
      <c r="D2545" s="421"/>
      <c r="E2545" s="421"/>
      <c r="F2545" s="422"/>
      <c r="G2545" s="155" t="s">
        <v>94</v>
      </c>
      <c r="H2545" s="156" t="s">
        <v>95</v>
      </c>
      <c r="I2545" s="157" t="s">
        <v>96</v>
      </c>
    </row>
    <row r="2546" spans="2:9" x14ac:dyDescent="0.25">
      <c r="B2546" s="268" t="s">
        <v>18</v>
      </c>
      <c r="C2546" s="427"/>
      <c r="D2546" s="428"/>
      <c r="E2546" s="428"/>
      <c r="F2546" s="429"/>
      <c r="G2546" s="155" t="s">
        <v>98</v>
      </c>
      <c r="H2546" s="157" t="s">
        <v>99</v>
      </c>
      <c r="I2546" s="157" t="s">
        <v>100</v>
      </c>
    </row>
    <row r="2547" spans="2:9" x14ac:dyDescent="0.25">
      <c r="B2547" s="269" t="s">
        <v>97</v>
      </c>
      <c r="C2547" s="427"/>
      <c r="D2547" s="428"/>
      <c r="E2547" s="428"/>
      <c r="F2547" s="429"/>
      <c r="G2547" s="154" t="s">
        <v>338</v>
      </c>
      <c r="H2547" s="426"/>
      <c r="I2547" s="426"/>
    </row>
    <row r="2548" spans="2:9" ht="15.75" thickBot="1" x14ac:dyDescent="0.3">
      <c r="B2548" s="270" t="s">
        <v>101</v>
      </c>
      <c r="C2548" s="423"/>
      <c r="D2548" s="424"/>
      <c r="E2548" s="424"/>
      <c r="F2548" s="425"/>
      <c r="G2548" s="154" t="s">
        <v>102</v>
      </c>
      <c r="H2548" s="426" t="s">
        <v>103</v>
      </c>
      <c r="I2548" s="426"/>
    </row>
    <row r="2549" spans="2:9" ht="45" customHeight="1" thickBot="1" x14ac:dyDescent="0.3">
      <c r="B2549" s="401"/>
      <c r="C2549" s="402"/>
      <c r="D2549" s="402"/>
      <c r="E2549" s="402"/>
      <c r="F2549" s="403" t="s">
        <v>0</v>
      </c>
      <c r="G2549" s="403"/>
      <c r="H2549" s="403"/>
      <c r="I2549" s="404"/>
    </row>
    <row r="2550" spans="2:9" ht="6" customHeight="1" thickBot="1" x14ac:dyDescent="0.3">
      <c r="B2550" s="373"/>
      <c r="C2550" s="373"/>
      <c r="D2550" s="373"/>
      <c r="E2550" s="373"/>
      <c r="F2550" s="373"/>
      <c r="G2550" s="373"/>
      <c r="H2550" s="373"/>
      <c r="I2550" s="373"/>
    </row>
    <row r="2551" spans="2:9" ht="10.5" customHeight="1" x14ac:dyDescent="0.25">
      <c r="B2551" s="405" t="s">
        <v>294</v>
      </c>
      <c r="C2551" s="406"/>
      <c r="D2551" s="407" t="s">
        <v>295</v>
      </c>
      <c r="E2551" s="409" t="s">
        <v>296</v>
      </c>
      <c r="F2551" s="410"/>
      <c r="G2551" s="410"/>
      <c r="H2551" s="410"/>
      <c r="I2551" s="411"/>
    </row>
    <row r="2552" spans="2:9" ht="9" customHeight="1" thickBot="1" x14ac:dyDescent="0.3">
      <c r="B2552" s="415"/>
      <c r="C2552" s="416"/>
      <c r="D2552" s="408"/>
      <c r="E2552" s="412"/>
      <c r="F2552" s="413"/>
      <c r="G2552" s="413"/>
      <c r="H2552" s="413"/>
      <c r="I2552" s="414"/>
    </row>
    <row r="2553" spans="2:9" ht="6" customHeight="1" thickBot="1" x14ac:dyDescent="0.3">
      <c r="B2553" s="373"/>
      <c r="C2553" s="373"/>
      <c r="D2553" s="373"/>
      <c r="E2553" s="373"/>
      <c r="F2553" s="373"/>
      <c r="G2553" s="373"/>
      <c r="H2553" s="373"/>
      <c r="I2553" s="373"/>
    </row>
    <row r="2554" spans="2:9" ht="17.25" customHeight="1" thickBot="1" x14ac:dyDescent="0.3">
      <c r="B2554" s="390" t="s">
        <v>297</v>
      </c>
      <c r="C2554" s="391"/>
      <c r="D2554" s="392"/>
      <c r="E2554" s="393"/>
      <c r="F2554" s="393"/>
      <c r="G2554" s="394"/>
      <c r="H2554" s="127" t="s">
        <v>298</v>
      </c>
      <c r="I2554" s="128"/>
    </row>
    <row r="2555" spans="2:9" ht="6" customHeight="1" thickBot="1" x14ac:dyDescent="0.3">
      <c r="B2555" s="373"/>
      <c r="C2555" s="373"/>
      <c r="D2555" s="373"/>
      <c r="E2555" s="373"/>
      <c r="F2555" s="373"/>
      <c r="G2555" s="373"/>
      <c r="H2555" s="373"/>
      <c r="I2555" s="373"/>
    </row>
    <row r="2556" spans="2:9" ht="19.5" customHeight="1" x14ac:dyDescent="0.25">
      <c r="B2556" s="261" t="s">
        <v>299</v>
      </c>
      <c r="C2556" s="129" t="s">
        <v>300</v>
      </c>
      <c r="D2556" s="130" t="s">
        <v>301</v>
      </c>
      <c r="E2556" s="130" t="s">
        <v>302</v>
      </c>
      <c r="F2556" s="398" t="s">
        <v>303</v>
      </c>
      <c r="G2556" s="399"/>
      <c r="H2556" s="400"/>
      <c r="I2556" s="131" t="s">
        <v>304</v>
      </c>
    </row>
    <row r="2557" spans="2:9" ht="11.25" customHeight="1" x14ac:dyDescent="0.25">
      <c r="B2557" s="262"/>
      <c r="C2557" s="132"/>
      <c r="D2557" s="132" t="s">
        <v>305</v>
      </c>
      <c r="E2557" s="132" t="s">
        <v>306</v>
      </c>
      <c r="F2557" s="395" t="s">
        <v>339</v>
      </c>
      <c r="G2557" s="396"/>
      <c r="H2557" s="397"/>
      <c r="I2557" s="133"/>
    </row>
    <row r="2558" spans="2:9" ht="28.5" customHeight="1" x14ac:dyDescent="0.25">
      <c r="B2558" s="263" t="s">
        <v>307</v>
      </c>
      <c r="C2558" s="383" t="s">
        <v>414</v>
      </c>
      <c r="D2558" s="384"/>
      <c r="E2558" s="384"/>
      <c r="F2558" s="384"/>
      <c r="G2558" s="384"/>
      <c r="H2558" s="384"/>
      <c r="I2558" s="385"/>
    </row>
    <row r="2559" spans="2:9" ht="10.5" customHeight="1" x14ac:dyDescent="0.25">
      <c r="B2559" s="264" t="s">
        <v>129</v>
      </c>
      <c r="C2559" s="388" t="s">
        <v>308</v>
      </c>
      <c r="D2559" s="389"/>
      <c r="E2559" s="389"/>
      <c r="F2559" s="389"/>
      <c r="G2559" s="389"/>
      <c r="H2559" s="389"/>
      <c r="I2559" s="134" t="s">
        <v>130</v>
      </c>
    </row>
    <row r="2560" spans="2:9" ht="50.25" customHeight="1" thickBot="1" x14ac:dyDescent="0.3">
      <c r="B2560" s="265">
        <v>7.2699999999999942</v>
      </c>
      <c r="C2560" s="386" t="s">
        <v>601</v>
      </c>
      <c r="D2560" s="387"/>
      <c r="E2560" s="387"/>
      <c r="F2560" s="387"/>
      <c r="G2560" s="387"/>
      <c r="H2560" s="387"/>
      <c r="I2560" s="135" t="s">
        <v>27</v>
      </c>
    </row>
    <row r="2561" spans="2:15" ht="6" customHeight="1" thickBot="1" x14ac:dyDescent="0.3">
      <c r="B2561" s="373"/>
      <c r="C2561" s="373"/>
      <c r="D2561" s="373"/>
      <c r="E2561" s="373"/>
      <c r="F2561" s="373"/>
      <c r="G2561" s="373"/>
      <c r="H2561" s="373"/>
      <c r="I2561" s="373"/>
    </row>
    <row r="2562" spans="2:15" x14ac:dyDescent="0.25">
      <c r="B2562" s="380" t="s">
        <v>309</v>
      </c>
      <c r="C2562" s="381"/>
      <c r="D2562" s="381"/>
      <c r="E2562" s="381"/>
      <c r="F2562" s="381"/>
      <c r="G2562" s="381"/>
      <c r="H2562" s="381"/>
      <c r="I2562" s="382"/>
      <c r="K2562" s="182"/>
    </row>
    <row r="2563" spans="2:15" ht="11.25" customHeight="1" x14ac:dyDescent="0.25">
      <c r="B2563" s="377" t="s">
        <v>310</v>
      </c>
      <c r="C2563" s="378"/>
      <c r="D2563" s="379"/>
      <c r="E2563" s="136"/>
      <c r="F2563" s="137" t="s">
        <v>311</v>
      </c>
      <c r="G2563" s="137" t="s">
        <v>312</v>
      </c>
      <c r="H2563" s="137" t="s">
        <v>313</v>
      </c>
      <c r="I2563" s="138" t="s">
        <v>314</v>
      </c>
      <c r="L2563" s="139"/>
      <c r="M2563" s="139"/>
    </row>
    <row r="2564" spans="2:15" ht="11.25" customHeight="1" x14ac:dyDescent="0.25">
      <c r="B2564" s="362" t="s">
        <v>315</v>
      </c>
      <c r="C2564" s="363"/>
      <c r="D2564" s="363"/>
      <c r="E2564" s="160"/>
      <c r="F2564" s="161" t="s">
        <v>316</v>
      </c>
      <c r="G2564" s="160">
        <v>5000</v>
      </c>
      <c r="H2564" s="142">
        <v>0.5</v>
      </c>
      <c r="I2564" s="143">
        <f>G2564*H2564</f>
        <v>2500</v>
      </c>
    </row>
    <row r="2565" spans="2:15" ht="16.5" customHeight="1" x14ac:dyDescent="0.25">
      <c r="B2565" s="362" t="s">
        <v>355</v>
      </c>
      <c r="C2565" s="363"/>
      <c r="D2565" s="363"/>
      <c r="E2565" s="160"/>
      <c r="F2565" s="161" t="s">
        <v>317</v>
      </c>
      <c r="G2565" s="160">
        <v>90000</v>
      </c>
      <c r="H2565" s="142">
        <f>+H2564</f>
        <v>0.5</v>
      </c>
      <c r="I2565" s="143">
        <f>G2565*H2565</f>
        <v>45000</v>
      </c>
    </row>
    <row r="2566" spans="2:15" ht="10.5" customHeight="1" thickBot="1" x14ac:dyDescent="0.3">
      <c r="B2566" s="371" t="s">
        <v>318</v>
      </c>
      <c r="C2566" s="372"/>
      <c r="D2566" s="372"/>
      <c r="E2566" s="372"/>
      <c r="F2566" s="372"/>
      <c r="G2566" s="372"/>
      <c r="H2566" s="372"/>
      <c r="I2566" s="144">
        <f>SUM(I2564:I2565)</f>
        <v>47500</v>
      </c>
      <c r="N2566" s="150"/>
    </row>
    <row r="2567" spans="2:15" ht="6" customHeight="1" thickBot="1" x14ac:dyDescent="0.3">
      <c r="B2567" s="373"/>
      <c r="C2567" s="373"/>
      <c r="D2567" s="373"/>
      <c r="E2567" s="373"/>
      <c r="F2567" s="373"/>
      <c r="G2567" s="373"/>
      <c r="H2567" s="373"/>
      <c r="I2567" s="373"/>
    </row>
    <row r="2568" spans="2:15" s="145" customFormat="1" x14ac:dyDescent="0.25">
      <c r="B2568" s="380" t="s">
        <v>319</v>
      </c>
      <c r="C2568" s="381"/>
      <c r="D2568" s="381"/>
      <c r="E2568" s="381"/>
      <c r="F2568" s="381"/>
      <c r="G2568" s="381"/>
      <c r="H2568" s="381"/>
      <c r="I2568" s="382"/>
    </row>
    <row r="2569" spans="2:15" s="145" customFormat="1" ht="15.75" customHeight="1" x14ac:dyDescent="0.25">
      <c r="B2569" s="377" t="s">
        <v>310</v>
      </c>
      <c r="C2569" s="378"/>
      <c r="D2569" s="379"/>
      <c r="E2569" s="137"/>
      <c r="F2569" s="137" t="s">
        <v>320</v>
      </c>
      <c r="G2569" s="137" t="s">
        <v>321</v>
      </c>
      <c r="H2569" s="137" t="s">
        <v>322</v>
      </c>
      <c r="I2569" s="138" t="s">
        <v>314</v>
      </c>
    </row>
    <row r="2570" spans="2:15" ht="60" customHeight="1" x14ac:dyDescent="0.25">
      <c r="B2570" s="436" t="s">
        <v>712</v>
      </c>
      <c r="C2570" s="437"/>
      <c r="D2570" s="438"/>
      <c r="E2570" s="163"/>
      <c r="F2570" s="161" t="s">
        <v>27</v>
      </c>
      <c r="G2570" s="160">
        <f>1189923+3062272+1673635-5059078+1</f>
        <v>866753</v>
      </c>
      <c r="H2570" s="142">
        <v>1</v>
      </c>
      <c r="I2570" s="143">
        <f>G2570*H2570</f>
        <v>866753</v>
      </c>
      <c r="M2570">
        <v>4608265</v>
      </c>
    </row>
    <row r="2571" spans="2:15" ht="18" customHeight="1" thickBot="1" x14ac:dyDescent="0.3">
      <c r="B2571" s="371" t="s">
        <v>318</v>
      </c>
      <c r="C2571" s="372"/>
      <c r="D2571" s="372"/>
      <c r="E2571" s="372"/>
      <c r="F2571" s="372"/>
      <c r="G2571" s="372"/>
      <c r="H2571" s="372"/>
      <c r="I2571" s="144">
        <f>SUM(I2570:I2570)</f>
        <v>866753</v>
      </c>
      <c r="N2571" s="150"/>
    </row>
    <row r="2572" spans="2:15" ht="6" customHeight="1" thickBot="1" x14ac:dyDescent="0.3">
      <c r="B2572" s="373"/>
      <c r="C2572" s="373"/>
      <c r="D2572" s="373"/>
      <c r="E2572" s="373"/>
      <c r="F2572" s="373"/>
      <c r="G2572" s="373"/>
      <c r="H2572" s="373"/>
      <c r="I2572" s="373"/>
    </row>
    <row r="2573" spans="2:15" s="145" customFormat="1" x14ac:dyDescent="0.25">
      <c r="B2573" s="380" t="s">
        <v>323</v>
      </c>
      <c r="C2573" s="381"/>
      <c r="D2573" s="381"/>
      <c r="E2573" s="381"/>
      <c r="F2573" s="381"/>
      <c r="G2573" s="381"/>
      <c r="H2573" s="381"/>
      <c r="I2573" s="382"/>
      <c r="L2573" s="146"/>
      <c r="M2573" s="146"/>
    </row>
    <row r="2574" spans="2:15" s="145" customFormat="1" x14ac:dyDescent="0.25">
      <c r="B2574" s="377" t="s">
        <v>324</v>
      </c>
      <c r="C2574" s="378"/>
      <c r="D2574" s="379"/>
      <c r="E2574" s="137" t="s">
        <v>325</v>
      </c>
      <c r="F2574" s="137" t="s">
        <v>326</v>
      </c>
      <c r="G2574" s="137" t="s">
        <v>130</v>
      </c>
      <c r="H2574" s="137" t="s">
        <v>327</v>
      </c>
      <c r="I2574" s="138" t="s">
        <v>314</v>
      </c>
      <c r="K2574" s="260"/>
      <c r="N2574" s="183"/>
      <c r="O2574" s="148"/>
    </row>
    <row r="2575" spans="2:15" ht="11.25" customHeight="1" x14ac:dyDescent="0.25">
      <c r="B2575" s="362" t="s">
        <v>711</v>
      </c>
      <c r="C2575" s="363"/>
      <c r="D2575" s="363"/>
      <c r="E2575" s="170">
        <v>1</v>
      </c>
      <c r="F2575" s="164"/>
      <c r="G2575" s="161"/>
      <c r="H2575" s="162">
        <v>20000</v>
      </c>
      <c r="I2575" s="143">
        <f>H2575*E2575</f>
        <v>20000</v>
      </c>
      <c r="K2575" s="281">
        <f>+K2578-I2585</f>
        <v>-0.5</v>
      </c>
    </row>
    <row r="2576" spans="2:15" ht="10.5" customHeight="1" thickBot="1" x14ac:dyDescent="0.3">
      <c r="B2576" s="371" t="s">
        <v>318</v>
      </c>
      <c r="C2576" s="372"/>
      <c r="D2576" s="372"/>
      <c r="E2576" s="372"/>
      <c r="F2576" s="372"/>
      <c r="G2576" s="372"/>
      <c r="H2576" s="372"/>
      <c r="I2576" s="144">
        <f>SUM(I2575:I2575)</f>
        <v>20000</v>
      </c>
      <c r="K2576" s="281"/>
      <c r="N2576" s="150"/>
    </row>
    <row r="2577" spans="2:15" ht="6" customHeight="1" thickBot="1" x14ac:dyDescent="0.3">
      <c r="B2577" s="373"/>
      <c r="C2577" s="373"/>
      <c r="D2577" s="373"/>
      <c r="E2577" s="373"/>
      <c r="F2577" s="373"/>
      <c r="G2577" s="373"/>
      <c r="H2577" s="373"/>
      <c r="I2577" s="373"/>
    </row>
    <row r="2578" spans="2:15" s="145" customFormat="1" ht="20.100000000000001" customHeight="1" x14ac:dyDescent="0.25">
      <c r="B2578" s="380" t="s">
        <v>328</v>
      </c>
      <c r="C2578" s="381"/>
      <c r="D2578" s="381"/>
      <c r="E2578" s="381"/>
      <c r="F2578" s="381"/>
      <c r="G2578" s="381"/>
      <c r="H2578" s="381"/>
      <c r="I2578" s="382"/>
      <c r="K2578" s="147">
        <v>1171852.5</v>
      </c>
      <c r="N2578" s="148"/>
      <c r="O2578" s="149"/>
    </row>
    <row r="2579" spans="2:15" s="145" customFormat="1" ht="20.100000000000001" customHeight="1" x14ac:dyDescent="0.25">
      <c r="B2579" s="377" t="s">
        <v>329</v>
      </c>
      <c r="C2579" s="379"/>
      <c r="D2579" s="137" t="s">
        <v>322</v>
      </c>
      <c r="E2579" s="137" t="s">
        <v>330</v>
      </c>
      <c r="F2579" s="137" t="s">
        <v>331</v>
      </c>
      <c r="G2579" s="137" t="s">
        <v>332</v>
      </c>
      <c r="H2579" s="137" t="s">
        <v>313</v>
      </c>
      <c r="I2579" s="138" t="s">
        <v>314</v>
      </c>
      <c r="K2579" s="147"/>
      <c r="O2579" s="179"/>
    </row>
    <row r="2580" spans="2:15" s="151" customFormat="1" ht="9.75" customHeight="1" x14ac:dyDescent="0.25">
      <c r="B2580" s="367" t="s">
        <v>356</v>
      </c>
      <c r="C2580" s="368"/>
      <c r="D2580" s="180">
        <v>1</v>
      </c>
      <c r="E2580" s="141">
        <v>140000</v>
      </c>
      <c r="F2580" s="141">
        <f>+E2580*0.8</f>
        <v>112000</v>
      </c>
      <c r="G2580" s="178">
        <f>D2580*E2580+F2580*D2580</f>
        <v>252000</v>
      </c>
      <c r="H2580" s="184">
        <v>2.5</v>
      </c>
      <c r="I2580" s="143">
        <f>+G2580/H2580</f>
        <v>100800</v>
      </c>
      <c r="J2580" s="145"/>
      <c r="K2580" s="147"/>
    </row>
    <row r="2581" spans="2:15" s="151" customFormat="1" ht="11.25" customHeight="1" x14ac:dyDescent="0.25">
      <c r="B2581" s="367" t="s">
        <v>374</v>
      </c>
      <c r="C2581" s="368"/>
      <c r="D2581" s="180">
        <v>1</v>
      </c>
      <c r="E2581" s="141">
        <v>80000</v>
      </c>
      <c r="F2581" s="141">
        <f>+E2581*0.8</f>
        <v>64000</v>
      </c>
      <c r="G2581" s="178">
        <f>D2581*E2581+F2581*D2581</f>
        <v>144000</v>
      </c>
      <c r="H2581" s="184">
        <f>+H2580</f>
        <v>2.5</v>
      </c>
      <c r="I2581" s="143">
        <f>+G2581/H2581</f>
        <v>57600</v>
      </c>
      <c r="J2581" s="145"/>
      <c r="K2581" s="147"/>
      <c r="L2581" s="179"/>
      <c r="M2581" s="179"/>
    </row>
    <row r="2582" spans="2:15" s="145" customFormat="1" ht="10.5" customHeight="1" x14ac:dyDescent="0.25">
      <c r="B2582" s="367" t="s">
        <v>333</v>
      </c>
      <c r="C2582" s="368"/>
      <c r="D2582" s="180">
        <v>2</v>
      </c>
      <c r="E2582" s="141">
        <v>55000</v>
      </c>
      <c r="F2582" s="141">
        <f>+E2582*0.8</f>
        <v>44000</v>
      </c>
      <c r="G2582" s="178">
        <f>D2582*E2582+F2582*D2582</f>
        <v>198000</v>
      </c>
      <c r="H2582" s="184">
        <f>+H2581</f>
        <v>2.5</v>
      </c>
      <c r="I2582" s="143">
        <f>+G2582/H2582</f>
        <v>79200</v>
      </c>
      <c r="K2582" s="147"/>
    </row>
    <row r="2583" spans="2:15" ht="10.5" customHeight="1" thickBot="1" x14ac:dyDescent="0.3">
      <c r="B2583" s="371" t="s">
        <v>318</v>
      </c>
      <c r="C2583" s="372"/>
      <c r="D2583" s="372"/>
      <c r="E2583" s="372"/>
      <c r="F2583" s="372"/>
      <c r="G2583" s="372"/>
      <c r="H2583" s="372"/>
      <c r="I2583" s="144">
        <f>SUM(I2580:I2582)</f>
        <v>237600</v>
      </c>
      <c r="K2583" s="281"/>
      <c r="N2583" s="150"/>
    </row>
    <row r="2584" spans="2:15" ht="6" customHeight="1" thickBot="1" x14ac:dyDescent="0.3">
      <c r="B2584" s="373"/>
      <c r="C2584" s="373"/>
      <c r="D2584" s="373"/>
      <c r="E2584" s="373"/>
      <c r="F2584" s="373"/>
      <c r="G2584" s="373"/>
      <c r="H2584" s="373"/>
      <c r="I2584" s="373"/>
    </row>
    <row r="2585" spans="2:15" ht="10.5" customHeight="1" thickBot="1" x14ac:dyDescent="0.3">
      <c r="B2585" s="374" t="s">
        <v>334</v>
      </c>
      <c r="C2585" s="375"/>
      <c r="D2585" s="375"/>
      <c r="E2585" s="375"/>
      <c r="F2585" s="375"/>
      <c r="G2585" s="375"/>
      <c r="H2585" s="376"/>
      <c r="I2585" s="152">
        <f>ROUND(+I2566+I2571+I2576+I2583,0)</f>
        <v>1171853</v>
      </c>
      <c r="J2585" s="281"/>
      <c r="K2585" s="169"/>
      <c r="L2585" s="181"/>
      <c r="M2585" s="181"/>
      <c r="N2585" s="153"/>
    </row>
    <row r="2586" spans="2:15" ht="6" customHeight="1" thickBot="1" x14ac:dyDescent="0.3">
      <c r="B2586" s="373"/>
      <c r="C2586" s="373"/>
      <c r="D2586" s="373"/>
      <c r="E2586" s="373"/>
      <c r="F2586" s="373"/>
      <c r="G2586" s="373"/>
      <c r="H2586" s="373"/>
      <c r="I2586" s="373"/>
    </row>
    <row r="2587" spans="2:15" ht="8.25" customHeight="1" x14ac:dyDescent="0.25">
      <c r="B2587" s="433" t="s">
        <v>335</v>
      </c>
      <c r="C2587" s="417"/>
      <c r="D2587" s="418"/>
      <c r="E2587" s="418"/>
      <c r="F2587" s="419"/>
      <c r="G2587" s="369" t="s">
        <v>336</v>
      </c>
      <c r="H2587" s="370"/>
      <c r="I2587" s="370"/>
    </row>
    <row r="2588" spans="2:15" ht="33.75" customHeight="1" x14ac:dyDescent="0.25">
      <c r="B2588" s="434"/>
      <c r="C2588" s="420"/>
      <c r="D2588" s="421"/>
      <c r="E2588" s="421"/>
      <c r="F2588" s="422"/>
      <c r="G2588" s="430" t="s">
        <v>337</v>
      </c>
      <c r="H2588" s="431"/>
      <c r="I2588" s="431"/>
      <c r="L2588" s="181"/>
      <c r="M2588" s="181"/>
      <c r="N2588" s="179"/>
    </row>
    <row r="2589" spans="2:15" ht="13.5" customHeight="1" x14ac:dyDescent="0.25">
      <c r="B2589" s="434"/>
      <c r="C2589" s="420"/>
      <c r="D2589" s="421"/>
      <c r="E2589" s="421"/>
      <c r="F2589" s="422"/>
      <c r="G2589" s="154" t="s">
        <v>92</v>
      </c>
      <c r="H2589" s="432" t="s">
        <v>93</v>
      </c>
      <c r="I2589" s="432"/>
    </row>
    <row r="2590" spans="2:15" ht="16.5" customHeight="1" x14ac:dyDescent="0.25">
      <c r="B2590" s="435"/>
      <c r="C2590" s="420"/>
      <c r="D2590" s="421"/>
      <c r="E2590" s="421"/>
      <c r="F2590" s="422"/>
      <c r="G2590" s="155" t="s">
        <v>94</v>
      </c>
      <c r="H2590" s="156" t="s">
        <v>95</v>
      </c>
      <c r="I2590" s="157" t="s">
        <v>96</v>
      </c>
    </row>
    <row r="2591" spans="2:15" x14ac:dyDescent="0.25">
      <c r="B2591" s="268" t="s">
        <v>18</v>
      </c>
      <c r="C2591" s="427"/>
      <c r="D2591" s="428"/>
      <c r="E2591" s="428"/>
      <c r="F2591" s="429"/>
      <c r="G2591" s="155" t="s">
        <v>98</v>
      </c>
      <c r="H2591" s="157" t="s">
        <v>99</v>
      </c>
      <c r="I2591" s="157" t="s">
        <v>100</v>
      </c>
    </row>
    <row r="2592" spans="2:15" x14ac:dyDescent="0.25">
      <c r="B2592" s="269" t="s">
        <v>97</v>
      </c>
      <c r="C2592" s="427"/>
      <c r="D2592" s="428"/>
      <c r="E2592" s="428"/>
      <c r="F2592" s="429"/>
      <c r="G2592" s="154" t="s">
        <v>338</v>
      </c>
      <c r="H2592" s="426"/>
      <c r="I2592" s="426"/>
    </row>
    <row r="2593" spans="2:13" ht="15.75" thickBot="1" x14ac:dyDescent="0.3">
      <c r="B2593" s="270" t="s">
        <v>101</v>
      </c>
      <c r="C2593" s="423"/>
      <c r="D2593" s="424"/>
      <c r="E2593" s="424"/>
      <c r="F2593" s="425"/>
      <c r="G2593" s="154" t="s">
        <v>102</v>
      </c>
      <c r="H2593" s="426" t="s">
        <v>103</v>
      </c>
      <c r="I2593" s="426"/>
    </row>
    <row r="2594" spans="2:13" ht="45" customHeight="1" thickBot="1" x14ac:dyDescent="0.3">
      <c r="B2594" s="401"/>
      <c r="C2594" s="402"/>
      <c r="D2594" s="402"/>
      <c r="E2594" s="402"/>
      <c r="F2594" s="403" t="s">
        <v>0</v>
      </c>
      <c r="G2594" s="403"/>
      <c r="H2594" s="403"/>
      <c r="I2594" s="404"/>
    </row>
    <row r="2595" spans="2:13" ht="6" customHeight="1" thickBot="1" x14ac:dyDescent="0.3">
      <c r="B2595" s="373"/>
      <c r="C2595" s="373"/>
      <c r="D2595" s="373"/>
      <c r="E2595" s="373"/>
      <c r="F2595" s="373"/>
      <c r="G2595" s="373"/>
      <c r="H2595" s="373"/>
      <c r="I2595" s="373"/>
    </row>
    <row r="2596" spans="2:13" ht="10.5" customHeight="1" x14ac:dyDescent="0.25">
      <c r="B2596" s="405" t="s">
        <v>294</v>
      </c>
      <c r="C2596" s="406"/>
      <c r="D2596" s="407" t="s">
        <v>295</v>
      </c>
      <c r="E2596" s="409" t="s">
        <v>296</v>
      </c>
      <c r="F2596" s="410"/>
      <c r="G2596" s="410"/>
      <c r="H2596" s="410"/>
      <c r="I2596" s="411"/>
    </row>
    <row r="2597" spans="2:13" ht="9" customHeight="1" thickBot="1" x14ac:dyDescent="0.3">
      <c r="B2597" s="415"/>
      <c r="C2597" s="416"/>
      <c r="D2597" s="408"/>
      <c r="E2597" s="412"/>
      <c r="F2597" s="413"/>
      <c r="G2597" s="413"/>
      <c r="H2597" s="413"/>
      <c r="I2597" s="414"/>
    </row>
    <row r="2598" spans="2:13" ht="6" customHeight="1" thickBot="1" x14ac:dyDescent="0.3">
      <c r="B2598" s="373"/>
      <c r="C2598" s="373"/>
      <c r="D2598" s="373"/>
      <c r="E2598" s="373"/>
      <c r="F2598" s="373"/>
      <c r="G2598" s="373"/>
      <c r="H2598" s="373"/>
      <c r="I2598" s="373"/>
    </row>
    <row r="2599" spans="2:13" ht="17.25" customHeight="1" thickBot="1" x14ac:dyDescent="0.3">
      <c r="B2599" s="390" t="s">
        <v>297</v>
      </c>
      <c r="C2599" s="391"/>
      <c r="D2599" s="392"/>
      <c r="E2599" s="393"/>
      <c r="F2599" s="393"/>
      <c r="G2599" s="394"/>
      <c r="H2599" s="127" t="s">
        <v>298</v>
      </c>
      <c r="I2599" s="128"/>
    </row>
    <row r="2600" spans="2:13" ht="6" customHeight="1" thickBot="1" x14ac:dyDescent="0.3">
      <c r="B2600" s="373"/>
      <c r="C2600" s="373"/>
      <c r="D2600" s="373"/>
      <c r="E2600" s="373"/>
      <c r="F2600" s="373"/>
      <c r="G2600" s="373"/>
      <c r="H2600" s="373"/>
      <c r="I2600" s="373"/>
    </row>
    <row r="2601" spans="2:13" ht="19.5" customHeight="1" x14ac:dyDescent="0.25">
      <c r="B2601" s="261" t="s">
        <v>299</v>
      </c>
      <c r="C2601" s="129" t="s">
        <v>300</v>
      </c>
      <c r="D2601" s="130" t="s">
        <v>301</v>
      </c>
      <c r="E2601" s="130" t="s">
        <v>302</v>
      </c>
      <c r="F2601" s="398" t="s">
        <v>303</v>
      </c>
      <c r="G2601" s="399"/>
      <c r="H2601" s="400"/>
      <c r="I2601" s="131" t="s">
        <v>304</v>
      </c>
    </row>
    <row r="2602" spans="2:13" ht="11.25" customHeight="1" x14ac:dyDescent="0.25">
      <c r="B2602" s="262"/>
      <c r="C2602" s="132"/>
      <c r="D2602" s="132" t="s">
        <v>305</v>
      </c>
      <c r="E2602" s="132" t="s">
        <v>306</v>
      </c>
      <c r="F2602" s="395" t="s">
        <v>339</v>
      </c>
      <c r="G2602" s="396"/>
      <c r="H2602" s="397"/>
      <c r="I2602" s="133"/>
    </row>
    <row r="2603" spans="2:13" ht="28.5" customHeight="1" x14ac:dyDescent="0.25">
      <c r="B2603" s="263" t="s">
        <v>307</v>
      </c>
      <c r="C2603" s="383" t="s">
        <v>414</v>
      </c>
      <c r="D2603" s="384"/>
      <c r="E2603" s="384"/>
      <c r="F2603" s="384"/>
      <c r="G2603" s="384"/>
      <c r="H2603" s="384"/>
      <c r="I2603" s="385"/>
    </row>
    <row r="2604" spans="2:13" ht="10.5" customHeight="1" x14ac:dyDescent="0.25">
      <c r="B2604" s="264" t="s">
        <v>129</v>
      </c>
      <c r="C2604" s="388" t="s">
        <v>308</v>
      </c>
      <c r="D2604" s="389"/>
      <c r="E2604" s="389"/>
      <c r="F2604" s="389"/>
      <c r="G2604" s="389"/>
      <c r="H2604" s="389"/>
      <c r="I2604" s="134" t="s">
        <v>130</v>
      </c>
    </row>
    <row r="2605" spans="2:13" ht="50.25" customHeight="1" thickBot="1" x14ac:dyDescent="0.3">
      <c r="B2605" s="265">
        <v>8.0899999999999981</v>
      </c>
      <c r="C2605" s="386" t="s">
        <v>602</v>
      </c>
      <c r="D2605" s="387"/>
      <c r="E2605" s="387"/>
      <c r="F2605" s="387"/>
      <c r="G2605" s="387"/>
      <c r="H2605" s="387"/>
      <c r="I2605" s="135" t="s">
        <v>27</v>
      </c>
    </row>
    <row r="2606" spans="2:13" ht="6" customHeight="1" thickBot="1" x14ac:dyDescent="0.3">
      <c r="B2606" s="373"/>
      <c r="C2606" s="373"/>
      <c r="D2606" s="373"/>
      <c r="E2606" s="373"/>
      <c r="F2606" s="373"/>
      <c r="G2606" s="373"/>
      <c r="H2606" s="373"/>
      <c r="I2606" s="373"/>
    </row>
    <row r="2607" spans="2:13" x14ac:dyDescent="0.25">
      <c r="B2607" s="380" t="s">
        <v>309</v>
      </c>
      <c r="C2607" s="381"/>
      <c r="D2607" s="381"/>
      <c r="E2607" s="381"/>
      <c r="F2607" s="381"/>
      <c r="G2607" s="381"/>
      <c r="H2607" s="381"/>
      <c r="I2607" s="382"/>
      <c r="K2607" s="182"/>
    </row>
    <row r="2608" spans="2:13" ht="11.25" customHeight="1" x14ac:dyDescent="0.25">
      <c r="B2608" s="377" t="s">
        <v>310</v>
      </c>
      <c r="C2608" s="378"/>
      <c r="D2608" s="379"/>
      <c r="E2608" s="136"/>
      <c r="F2608" s="137" t="s">
        <v>311</v>
      </c>
      <c r="G2608" s="137" t="s">
        <v>312</v>
      </c>
      <c r="H2608" s="137" t="s">
        <v>313</v>
      </c>
      <c r="I2608" s="138" t="s">
        <v>314</v>
      </c>
      <c r="L2608" s="139"/>
      <c r="M2608" s="139"/>
    </row>
    <row r="2609" spans="2:15" ht="11.25" customHeight="1" x14ac:dyDescent="0.25">
      <c r="B2609" s="362" t="s">
        <v>315</v>
      </c>
      <c r="C2609" s="363"/>
      <c r="D2609" s="363"/>
      <c r="E2609" s="160"/>
      <c r="F2609" s="161" t="s">
        <v>316</v>
      </c>
      <c r="G2609" s="160">
        <v>5000</v>
      </c>
      <c r="H2609" s="142">
        <v>0.5</v>
      </c>
      <c r="I2609" s="143">
        <f>G2609*H2609</f>
        <v>2500</v>
      </c>
    </row>
    <row r="2610" spans="2:15" ht="16.5" customHeight="1" x14ac:dyDescent="0.25">
      <c r="B2610" s="362" t="s">
        <v>355</v>
      </c>
      <c r="C2610" s="363"/>
      <c r="D2610" s="363"/>
      <c r="E2610" s="160"/>
      <c r="F2610" s="161" t="s">
        <v>317</v>
      </c>
      <c r="G2610" s="160">
        <v>90000</v>
      </c>
      <c r="H2610" s="142">
        <f>+H2609</f>
        <v>0.5</v>
      </c>
      <c r="I2610" s="143">
        <f>G2610*H2610</f>
        <v>45000</v>
      </c>
    </row>
    <row r="2611" spans="2:15" ht="10.5" customHeight="1" thickBot="1" x14ac:dyDescent="0.3">
      <c r="B2611" s="371" t="s">
        <v>318</v>
      </c>
      <c r="C2611" s="372"/>
      <c r="D2611" s="372"/>
      <c r="E2611" s="372"/>
      <c r="F2611" s="372"/>
      <c r="G2611" s="372"/>
      <c r="H2611" s="372"/>
      <c r="I2611" s="144">
        <f>SUM(I2609:I2610)</f>
        <v>47500</v>
      </c>
      <c r="N2611" s="150"/>
    </row>
    <row r="2612" spans="2:15" ht="6" customHeight="1" thickBot="1" x14ac:dyDescent="0.3">
      <c r="B2612" s="373"/>
      <c r="C2612" s="373"/>
      <c r="D2612" s="373"/>
      <c r="E2612" s="373"/>
      <c r="F2612" s="373"/>
      <c r="G2612" s="373"/>
      <c r="H2612" s="373"/>
      <c r="I2612" s="373"/>
    </row>
    <row r="2613" spans="2:15" s="145" customFormat="1" x14ac:dyDescent="0.25">
      <c r="B2613" s="380" t="s">
        <v>319</v>
      </c>
      <c r="C2613" s="381"/>
      <c r="D2613" s="381"/>
      <c r="E2613" s="381"/>
      <c r="F2613" s="381"/>
      <c r="G2613" s="381"/>
      <c r="H2613" s="381"/>
      <c r="I2613" s="382"/>
    </row>
    <row r="2614" spans="2:15" s="145" customFormat="1" ht="15.75" customHeight="1" x14ac:dyDescent="0.25">
      <c r="B2614" s="377" t="s">
        <v>310</v>
      </c>
      <c r="C2614" s="378"/>
      <c r="D2614" s="379"/>
      <c r="E2614" s="137"/>
      <c r="F2614" s="137" t="s">
        <v>320</v>
      </c>
      <c r="G2614" s="137" t="s">
        <v>321</v>
      </c>
      <c r="H2614" s="137" t="s">
        <v>322</v>
      </c>
      <c r="I2614" s="138" t="s">
        <v>314</v>
      </c>
    </row>
    <row r="2615" spans="2:15" ht="60" customHeight="1" x14ac:dyDescent="0.25">
      <c r="B2615" s="436" t="s">
        <v>602</v>
      </c>
      <c r="C2615" s="437"/>
      <c r="D2615" s="438"/>
      <c r="E2615" s="163"/>
      <c r="F2615" s="161" t="s">
        <v>27</v>
      </c>
      <c r="G2615" s="160">
        <f>1189923+3062272+1673635-5059078+1+628740</f>
        <v>1495493</v>
      </c>
      <c r="H2615" s="142">
        <v>1</v>
      </c>
      <c r="I2615" s="143">
        <f>G2615*H2615</f>
        <v>1495493</v>
      </c>
      <c r="M2615">
        <v>4608265</v>
      </c>
    </row>
    <row r="2616" spans="2:15" ht="18" customHeight="1" thickBot="1" x14ac:dyDescent="0.3">
      <c r="B2616" s="371" t="s">
        <v>318</v>
      </c>
      <c r="C2616" s="372"/>
      <c r="D2616" s="372"/>
      <c r="E2616" s="372"/>
      <c r="F2616" s="372"/>
      <c r="G2616" s="372"/>
      <c r="H2616" s="372"/>
      <c r="I2616" s="144">
        <f>SUM(I2615:I2615)</f>
        <v>1495493</v>
      </c>
      <c r="N2616" s="150"/>
    </row>
    <row r="2617" spans="2:15" ht="6" customHeight="1" thickBot="1" x14ac:dyDescent="0.3">
      <c r="B2617" s="373"/>
      <c r="C2617" s="373"/>
      <c r="D2617" s="373"/>
      <c r="E2617" s="373"/>
      <c r="F2617" s="373"/>
      <c r="G2617" s="373"/>
      <c r="H2617" s="373"/>
      <c r="I2617" s="373"/>
    </row>
    <row r="2618" spans="2:15" s="145" customFormat="1" x14ac:dyDescent="0.25">
      <c r="B2618" s="380" t="s">
        <v>323</v>
      </c>
      <c r="C2618" s="381"/>
      <c r="D2618" s="381"/>
      <c r="E2618" s="381"/>
      <c r="F2618" s="381"/>
      <c r="G2618" s="381"/>
      <c r="H2618" s="381"/>
      <c r="I2618" s="382"/>
      <c r="L2618" s="146"/>
      <c r="M2618" s="146"/>
    </row>
    <row r="2619" spans="2:15" s="145" customFormat="1" x14ac:dyDescent="0.25">
      <c r="B2619" s="377" t="s">
        <v>324</v>
      </c>
      <c r="C2619" s="378"/>
      <c r="D2619" s="379"/>
      <c r="E2619" s="137" t="s">
        <v>325</v>
      </c>
      <c r="F2619" s="137" t="s">
        <v>326</v>
      </c>
      <c r="G2619" s="137" t="s">
        <v>130</v>
      </c>
      <c r="H2619" s="137" t="s">
        <v>327</v>
      </c>
      <c r="I2619" s="138" t="s">
        <v>314</v>
      </c>
      <c r="K2619" s="260"/>
      <c r="N2619" s="183"/>
      <c r="O2619" s="148"/>
    </row>
    <row r="2620" spans="2:15" ht="11.25" customHeight="1" x14ac:dyDescent="0.25">
      <c r="B2620" s="362" t="s">
        <v>711</v>
      </c>
      <c r="C2620" s="363"/>
      <c r="D2620" s="363"/>
      <c r="E2620" s="170">
        <v>1</v>
      </c>
      <c r="F2620" s="164"/>
      <c r="G2620" s="161"/>
      <c r="H2620" s="162">
        <v>20000</v>
      </c>
      <c r="I2620" s="143">
        <f>H2620*E2620</f>
        <v>20000</v>
      </c>
      <c r="K2620" s="281">
        <f>+K2623-I2630</f>
        <v>630997</v>
      </c>
    </row>
    <row r="2621" spans="2:15" ht="10.5" customHeight="1" thickBot="1" x14ac:dyDescent="0.3">
      <c r="B2621" s="371" t="s">
        <v>318</v>
      </c>
      <c r="C2621" s="372"/>
      <c r="D2621" s="372"/>
      <c r="E2621" s="372"/>
      <c r="F2621" s="372"/>
      <c r="G2621" s="372"/>
      <c r="H2621" s="372"/>
      <c r="I2621" s="144">
        <f>SUM(I2620:I2620)</f>
        <v>20000</v>
      </c>
      <c r="K2621" s="281"/>
      <c r="N2621" s="150"/>
    </row>
    <row r="2622" spans="2:15" ht="6" customHeight="1" thickBot="1" x14ac:dyDescent="0.3">
      <c r="B2622" s="373"/>
      <c r="C2622" s="373"/>
      <c r="D2622" s="373"/>
      <c r="E2622" s="373"/>
      <c r="F2622" s="373"/>
      <c r="G2622" s="373"/>
      <c r="H2622" s="373"/>
      <c r="I2622" s="373"/>
    </row>
    <row r="2623" spans="2:15" s="145" customFormat="1" ht="20.100000000000001" customHeight="1" x14ac:dyDescent="0.25">
      <c r="B2623" s="380" t="s">
        <v>328</v>
      </c>
      <c r="C2623" s="381"/>
      <c r="D2623" s="381"/>
      <c r="E2623" s="381"/>
      <c r="F2623" s="381"/>
      <c r="G2623" s="381"/>
      <c r="H2623" s="381"/>
      <c r="I2623" s="382"/>
      <c r="K2623" s="147">
        <v>2523990</v>
      </c>
      <c r="N2623" s="148"/>
      <c r="O2623" s="149"/>
    </row>
    <row r="2624" spans="2:15" s="145" customFormat="1" ht="20.100000000000001" customHeight="1" x14ac:dyDescent="0.25">
      <c r="B2624" s="377" t="s">
        <v>329</v>
      </c>
      <c r="C2624" s="379"/>
      <c r="D2624" s="137" t="s">
        <v>322</v>
      </c>
      <c r="E2624" s="137" t="s">
        <v>330</v>
      </c>
      <c r="F2624" s="137" t="s">
        <v>331</v>
      </c>
      <c r="G2624" s="137" t="s">
        <v>332</v>
      </c>
      <c r="H2624" s="137" t="s">
        <v>313</v>
      </c>
      <c r="I2624" s="138" t="s">
        <v>314</v>
      </c>
      <c r="K2624" s="147"/>
      <c r="O2624" s="179"/>
    </row>
    <row r="2625" spans="2:14" s="151" customFormat="1" ht="9.75" customHeight="1" x14ac:dyDescent="0.25">
      <c r="B2625" s="367" t="s">
        <v>356</v>
      </c>
      <c r="C2625" s="368"/>
      <c r="D2625" s="180">
        <v>1</v>
      </c>
      <c r="E2625" s="141">
        <v>140000</v>
      </c>
      <c r="F2625" s="141">
        <f>+E2625*0.8</f>
        <v>112000</v>
      </c>
      <c r="G2625" s="178">
        <f>D2625*E2625+F2625*D2625</f>
        <v>252000</v>
      </c>
      <c r="H2625" s="184">
        <v>1.8</v>
      </c>
      <c r="I2625" s="143">
        <f>+G2625/H2625</f>
        <v>140000</v>
      </c>
      <c r="J2625" s="145"/>
      <c r="K2625" s="147"/>
    </row>
    <row r="2626" spans="2:14" s="151" customFormat="1" ht="11.25" customHeight="1" x14ac:dyDescent="0.25">
      <c r="B2626" s="367" t="s">
        <v>374</v>
      </c>
      <c r="C2626" s="368"/>
      <c r="D2626" s="180">
        <v>1</v>
      </c>
      <c r="E2626" s="141">
        <v>80000</v>
      </c>
      <c r="F2626" s="141">
        <f>+E2626*0.8</f>
        <v>64000</v>
      </c>
      <c r="G2626" s="178">
        <f>D2626*E2626+F2626*D2626</f>
        <v>144000</v>
      </c>
      <c r="H2626" s="184">
        <f>+H2625</f>
        <v>1.8</v>
      </c>
      <c r="I2626" s="143">
        <f>+G2626/H2626</f>
        <v>80000</v>
      </c>
      <c r="J2626" s="145"/>
      <c r="K2626" s="147" t="e">
        <f>+I2630-K2628</f>
        <v>#VALUE!</v>
      </c>
      <c r="L2626" s="179"/>
      <c r="M2626" s="179"/>
    </row>
    <row r="2627" spans="2:14" s="145" customFormat="1" ht="10.5" customHeight="1" x14ac:dyDescent="0.25">
      <c r="B2627" s="367" t="s">
        <v>333</v>
      </c>
      <c r="C2627" s="368"/>
      <c r="D2627" s="180">
        <v>2</v>
      </c>
      <c r="E2627" s="141">
        <v>55000</v>
      </c>
      <c r="F2627" s="141">
        <f>+E2627*0.8</f>
        <v>44000</v>
      </c>
      <c r="G2627" s="178">
        <f>D2627*E2627+F2627*D2627</f>
        <v>198000</v>
      </c>
      <c r="H2627" s="184">
        <f>+H2626</f>
        <v>1.8</v>
      </c>
      <c r="I2627" s="143">
        <f>+G2627/H2627</f>
        <v>110000</v>
      </c>
      <c r="K2627" s="147"/>
    </row>
    <row r="2628" spans="2:14" ht="10.5" customHeight="1" thickBot="1" x14ac:dyDescent="0.3">
      <c r="B2628" s="371" t="s">
        <v>318</v>
      </c>
      <c r="C2628" s="372"/>
      <c r="D2628" s="372"/>
      <c r="E2628" s="372"/>
      <c r="F2628" s="372"/>
      <c r="G2628" s="372"/>
      <c r="H2628" s="372"/>
      <c r="I2628" s="144">
        <f>SUM(I2625:I2627)</f>
        <v>330000</v>
      </c>
      <c r="K2628" s="281" t="s">
        <v>713</v>
      </c>
      <c r="N2628" s="150"/>
    </row>
    <row r="2629" spans="2:14" ht="6" customHeight="1" thickBot="1" x14ac:dyDescent="0.3">
      <c r="B2629" s="373"/>
      <c r="C2629" s="373"/>
      <c r="D2629" s="373"/>
      <c r="E2629" s="373"/>
      <c r="F2629" s="373"/>
      <c r="G2629" s="373"/>
      <c r="H2629" s="373"/>
      <c r="I2629" s="373"/>
    </row>
    <row r="2630" spans="2:14" ht="10.5" customHeight="1" thickBot="1" x14ac:dyDescent="0.3">
      <c r="B2630" s="374" t="s">
        <v>334</v>
      </c>
      <c r="C2630" s="375"/>
      <c r="D2630" s="375"/>
      <c r="E2630" s="375"/>
      <c r="F2630" s="375"/>
      <c r="G2630" s="375"/>
      <c r="H2630" s="376"/>
      <c r="I2630" s="152">
        <f>ROUND(+I2611+I2616+I2621+I2628,0)</f>
        <v>1892993</v>
      </c>
      <c r="J2630" s="281"/>
      <c r="K2630" s="169"/>
      <c r="L2630" s="181"/>
      <c r="M2630" s="181"/>
      <c r="N2630" s="153"/>
    </row>
    <row r="2631" spans="2:14" ht="6" customHeight="1" thickBot="1" x14ac:dyDescent="0.3">
      <c r="B2631" s="373"/>
      <c r="C2631" s="373"/>
      <c r="D2631" s="373"/>
      <c r="E2631" s="373"/>
      <c r="F2631" s="373"/>
      <c r="G2631" s="373"/>
      <c r="H2631" s="373"/>
      <c r="I2631" s="373"/>
    </row>
    <row r="2632" spans="2:14" ht="8.25" customHeight="1" x14ac:dyDescent="0.25">
      <c r="B2632" s="433" t="s">
        <v>335</v>
      </c>
      <c r="C2632" s="417"/>
      <c r="D2632" s="418"/>
      <c r="E2632" s="418"/>
      <c r="F2632" s="419"/>
      <c r="G2632" s="369" t="s">
        <v>336</v>
      </c>
      <c r="H2632" s="370"/>
      <c r="I2632" s="370"/>
    </row>
    <row r="2633" spans="2:14" ht="33.75" customHeight="1" x14ac:dyDescent="0.25">
      <c r="B2633" s="434"/>
      <c r="C2633" s="420"/>
      <c r="D2633" s="421"/>
      <c r="E2633" s="421"/>
      <c r="F2633" s="422"/>
      <c r="G2633" s="430" t="s">
        <v>337</v>
      </c>
      <c r="H2633" s="431"/>
      <c r="I2633" s="431"/>
      <c r="L2633" s="181"/>
      <c r="M2633" s="181"/>
      <c r="N2633" s="179"/>
    </row>
    <row r="2634" spans="2:14" ht="13.5" customHeight="1" x14ac:dyDescent="0.25">
      <c r="B2634" s="434"/>
      <c r="C2634" s="420"/>
      <c r="D2634" s="421"/>
      <c r="E2634" s="421"/>
      <c r="F2634" s="422"/>
      <c r="G2634" s="154" t="s">
        <v>92</v>
      </c>
      <c r="H2634" s="432" t="s">
        <v>93</v>
      </c>
      <c r="I2634" s="432"/>
    </row>
    <row r="2635" spans="2:14" ht="16.5" customHeight="1" x14ac:dyDescent="0.25">
      <c r="B2635" s="435"/>
      <c r="C2635" s="420"/>
      <c r="D2635" s="421"/>
      <c r="E2635" s="421"/>
      <c r="F2635" s="422"/>
      <c r="G2635" s="155" t="s">
        <v>94</v>
      </c>
      <c r="H2635" s="156" t="s">
        <v>95</v>
      </c>
      <c r="I2635" s="157" t="s">
        <v>96</v>
      </c>
    </row>
    <row r="2636" spans="2:14" x14ac:dyDescent="0.25">
      <c r="B2636" s="268" t="s">
        <v>18</v>
      </c>
      <c r="C2636" s="427"/>
      <c r="D2636" s="428"/>
      <c r="E2636" s="428"/>
      <c r="F2636" s="429"/>
      <c r="G2636" s="155" t="s">
        <v>98</v>
      </c>
      <c r="H2636" s="157" t="s">
        <v>99</v>
      </c>
      <c r="I2636" s="157" t="s">
        <v>100</v>
      </c>
    </row>
    <row r="2637" spans="2:14" x14ac:dyDescent="0.25">
      <c r="B2637" s="269" t="s">
        <v>97</v>
      </c>
      <c r="C2637" s="427"/>
      <c r="D2637" s="428"/>
      <c r="E2637" s="428"/>
      <c r="F2637" s="429"/>
      <c r="G2637" s="154" t="s">
        <v>338</v>
      </c>
      <c r="H2637" s="426"/>
      <c r="I2637" s="426"/>
    </row>
    <row r="2638" spans="2:14" ht="15.75" thickBot="1" x14ac:dyDescent="0.3">
      <c r="B2638" s="270" t="s">
        <v>101</v>
      </c>
      <c r="C2638" s="423"/>
      <c r="D2638" s="424"/>
      <c r="E2638" s="424"/>
      <c r="F2638" s="425"/>
      <c r="G2638" s="154" t="s">
        <v>102</v>
      </c>
      <c r="H2638" s="426" t="s">
        <v>103</v>
      </c>
      <c r="I2638" s="426"/>
    </row>
    <row r="2639" spans="2:14" ht="45" customHeight="1" thickBot="1" x14ac:dyDescent="0.3">
      <c r="B2639" s="401"/>
      <c r="C2639" s="402"/>
      <c r="D2639" s="402"/>
      <c r="E2639" s="402"/>
      <c r="F2639" s="403" t="s">
        <v>0</v>
      </c>
      <c r="G2639" s="403"/>
      <c r="H2639" s="403"/>
      <c r="I2639" s="404"/>
    </row>
    <row r="2640" spans="2:14" ht="6" customHeight="1" thickBot="1" x14ac:dyDescent="0.3">
      <c r="B2640" s="373"/>
      <c r="C2640" s="373"/>
      <c r="D2640" s="373"/>
      <c r="E2640" s="373"/>
      <c r="F2640" s="373"/>
      <c r="G2640" s="373"/>
      <c r="H2640" s="373"/>
      <c r="I2640" s="373"/>
    </row>
    <row r="2641" spans="2:14" ht="10.5" customHeight="1" x14ac:dyDescent="0.25">
      <c r="B2641" s="405" t="s">
        <v>294</v>
      </c>
      <c r="C2641" s="406"/>
      <c r="D2641" s="407" t="s">
        <v>295</v>
      </c>
      <c r="E2641" s="409" t="s">
        <v>296</v>
      </c>
      <c r="F2641" s="410"/>
      <c r="G2641" s="410"/>
      <c r="H2641" s="410"/>
      <c r="I2641" s="411"/>
    </row>
    <row r="2642" spans="2:14" ht="9" customHeight="1" thickBot="1" x14ac:dyDescent="0.3">
      <c r="B2642" s="415"/>
      <c r="C2642" s="416"/>
      <c r="D2642" s="408"/>
      <c r="E2642" s="412"/>
      <c r="F2642" s="413"/>
      <c r="G2642" s="413"/>
      <c r="H2642" s="413"/>
      <c r="I2642" s="414"/>
    </row>
    <row r="2643" spans="2:14" ht="6" customHeight="1" thickBot="1" x14ac:dyDescent="0.3">
      <c r="B2643" s="373"/>
      <c r="C2643" s="373"/>
      <c r="D2643" s="373"/>
      <c r="E2643" s="373"/>
      <c r="F2643" s="373"/>
      <c r="G2643" s="373"/>
      <c r="H2643" s="373"/>
      <c r="I2643" s="373"/>
    </row>
    <row r="2644" spans="2:14" ht="17.25" customHeight="1" thickBot="1" x14ac:dyDescent="0.3">
      <c r="B2644" s="390" t="s">
        <v>297</v>
      </c>
      <c r="C2644" s="391"/>
      <c r="D2644" s="392"/>
      <c r="E2644" s="393"/>
      <c r="F2644" s="393"/>
      <c r="G2644" s="394"/>
      <c r="H2644" s="127" t="s">
        <v>298</v>
      </c>
      <c r="I2644" s="128"/>
    </row>
    <row r="2645" spans="2:14" ht="6" customHeight="1" thickBot="1" x14ac:dyDescent="0.3">
      <c r="B2645" s="373"/>
      <c r="C2645" s="373"/>
      <c r="D2645" s="373"/>
      <c r="E2645" s="373"/>
      <c r="F2645" s="373"/>
      <c r="G2645" s="373"/>
      <c r="H2645" s="373"/>
      <c r="I2645" s="373"/>
    </row>
    <row r="2646" spans="2:14" ht="19.5" customHeight="1" x14ac:dyDescent="0.25">
      <c r="B2646" s="261" t="s">
        <v>299</v>
      </c>
      <c r="C2646" s="129" t="s">
        <v>300</v>
      </c>
      <c r="D2646" s="130" t="s">
        <v>301</v>
      </c>
      <c r="E2646" s="130" t="s">
        <v>302</v>
      </c>
      <c r="F2646" s="398" t="s">
        <v>303</v>
      </c>
      <c r="G2646" s="399"/>
      <c r="H2646" s="400"/>
      <c r="I2646" s="131" t="s">
        <v>304</v>
      </c>
    </row>
    <row r="2647" spans="2:14" ht="11.25" customHeight="1" x14ac:dyDescent="0.25">
      <c r="B2647" s="262"/>
      <c r="C2647" s="132"/>
      <c r="D2647" s="132" t="s">
        <v>305</v>
      </c>
      <c r="E2647" s="132" t="s">
        <v>306</v>
      </c>
      <c r="F2647" s="395" t="s">
        <v>339</v>
      </c>
      <c r="G2647" s="396"/>
      <c r="H2647" s="397"/>
      <c r="I2647" s="133"/>
    </row>
    <row r="2648" spans="2:14" ht="28.5" customHeight="1" x14ac:dyDescent="0.25">
      <c r="B2648" s="263" t="s">
        <v>307</v>
      </c>
      <c r="C2648" s="383" t="s">
        <v>414</v>
      </c>
      <c r="D2648" s="384"/>
      <c r="E2648" s="384"/>
      <c r="F2648" s="384"/>
      <c r="G2648" s="384"/>
      <c r="H2648" s="384"/>
      <c r="I2648" s="385"/>
    </row>
    <row r="2649" spans="2:14" ht="10.5" customHeight="1" x14ac:dyDescent="0.25">
      <c r="B2649" s="264" t="s">
        <v>129</v>
      </c>
      <c r="C2649" s="388" t="s">
        <v>308</v>
      </c>
      <c r="D2649" s="389"/>
      <c r="E2649" s="389"/>
      <c r="F2649" s="389"/>
      <c r="G2649" s="389"/>
      <c r="H2649" s="389"/>
      <c r="I2649" s="134" t="s">
        <v>130</v>
      </c>
    </row>
    <row r="2650" spans="2:14" ht="50.25" customHeight="1" thickBot="1" x14ac:dyDescent="0.3">
      <c r="B2650" s="265">
        <v>8.0999999999999979</v>
      </c>
      <c r="C2650" s="386" t="s">
        <v>603</v>
      </c>
      <c r="D2650" s="387"/>
      <c r="E2650" s="387"/>
      <c r="F2650" s="387"/>
      <c r="G2650" s="387"/>
      <c r="H2650" s="387"/>
      <c r="I2650" s="135" t="s">
        <v>27</v>
      </c>
    </row>
    <row r="2651" spans="2:14" ht="6" customHeight="1" thickBot="1" x14ac:dyDescent="0.3">
      <c r="B2651" s="373"/>
      <c r="C2651" s="373"/>
      <c r="D2651" s="373"/>
      <c r="E2651" s="373"/>
      <c r="F2651" s="373"/>
      <c r="G2651" s="373"/>
      <c r="H2651" s="373"/>
      <c r="I2651" s="373"/>
    </row>
    <row r="2652" spans="2:14" x14ac:dyDescent="0.25">
      <c r="B2652" s="380" t="s">
        <v>309</v>
      </c>
      <c r="C2652" s="381"/>
      <c r="D2652" s="381"/>
      <c r="E2652" s="381"/>
      <c r="F2652" s="381"/>
      <c r="G2652" s="381"/>
      <c r="H2652" s="381"/>
      <c r="I2652" s="382"/>
      <c r="K2652" s="182"/>
    </row>
    <row r="2653" spans="2:14" ht="11.25" customHeight="1" x14ac:dyDescent="0.25">
      <c r="B2653" s="377" t="s">
        <v>310</v>
      </c>
      <c r="C2653" s="378"/>
      <c r="D2653" s="379"/>
      <c r="E2653" s="136"/>
      <c r="F2653" s="137" t="s">
        <v>311</v>
      </c>
      <c r="G2653" s="137" t="s">
        <v>312</v>
      </c>
      <c r="H2653" s="137" t="s">
        <v>313</v>
      </c>
      <c r="I2653" s="138" t="s">
        <v>314</v>
      </c>
      <c r="L2653" s="139"/>
      <c r="M2653" s="139"/>
    </row>
    <row r="2654" spans="2:14" ht="11.25" customHeight="1" x14ac:dyDescent="0.25">
      <c r="B2654" s="362" t="s">
        <v>315</v>
      </c>
      <c r="C2654" s="363"/>
      <c r="D2654" s="363"/>
      <c r="E2654" s="160"/>
      <c r="F2654" s="161" t="s">
        <v>316</v>
      </c>
      <c r="G2654" s="160">
        <v>5000</v>
      </c>
      <c r="H2654" s="142">
        <v>0.9</v>
      </c>
      <c r="I2654" s="143">
        <f>G2654*H2654</f>
        <v>4500</v>
      </c>
    </row>
    <row r="2655" spans="2:14" ht="16.5" customHeight="1" x14ac:dyDescent="0.25">
      <c r="B2655" s="362" t="s">
        <v>355</v>
      </c>
      <c r="C2655" s="363"/>
      <c r="D2655" s="363"/>
      <c r="E2655" s="160"/>
      <c r="F2655" s="161" t="s">
        <v>317</v>
      </c>
      <c r="G2655" s="160">
        <v>90000</v>
      </c>
      <c r="H2655" s="142">
        <f>+H2654</f>
        <v>0.9</v>
      </c>
      <c r="I2655" s="143">
        <f>G2655*H2655</f>
        <v>81000</v>
      </c>
    </row>
    <row r="2656" spans="2:14" ht="10.5" customHeight="1" thickBot="1" x14ac:dyDescent="0.3">
      <c r="B2656" s="371" t="s">
        <v>318</v>
      </c>
      <c r="C2656" s="372"/>
      <c r="D2656" s="372"/>
      <c r="E2656" s="372"/>
      <c r="F2656" s="372"/>
      <c r="G2656" s="372"/>
      <c r="H2656" s="372"/>
      <c r="I2656" s="144">
        <f>SUM(I2654:I2655)</f>
        <v>85500</v>
      </c>
      <c r="N2656" s="150"/>
    </row>
    <row r="2657" spans="2:15" ht="6" customHeight="1" thickBot="1" x14ac:dyDescent="0.3">
      <c r="B2657" s="373"/>
      <c r="C2657" s="373"/>
      <c r="D2657" s="373"/>
      <c r="E2657" s="373"/>
      <c r="F2657" s="373"/>
      <c r="G2657" s="373"/>
      <c r="H2657" s="373"/>
      <c r="I2657" s="373"/>
    </row>
    <row r="2658" spans="2:15" s="145" customFormat="1" x14ac:dyDescent="0.25">
      <c r="B2658" s="380" t="s">
        <v>319</v>
      </c>
      <c r="C2658" s="381"/>
      <c r="D2658" s="381"/>
      <c r="E2658" s="381"/>
      <c r="F2658" s="381"/>
      <c r="G2658" s="381"/>
      <c r="H2658" s="381"/>
      <c r="I2658" s="382"/>
    </row>
    <row r="2659" spans="2:15" s="145" customFormat="1" ht="15.75" customHeight="1" x14ac:dyDescent="0.25">
      <c r="B2659" s="377" t="s">
        <v>310</v>
      </c>
      <c r="C2659" s="378"/>
      <c r="D2659" s="379"/>
      <c r="E2659" s="137"/>
      <c r="F2659" s="137" t="s">
        <v>320</v>
      </c>
      <c r="G2659" s="137" t="s">
        <v>321</v>
      </c>
      <c r="H2659" s="137" t="s">
        <v>322</v>
      </c>
      <c r="I2659" s="138" t="s">
        <v>314</v>
      </c>
    </row>
    <row r="2660" spans="2:15" ht="72.75" customHeight="1" x14ac:dyDescent="0.25">
      <c r="B2660" s="436" t="s">
        <v>603</v>
      </c>
      <c r="C2660" s="437"/>
      <c r="D2660" s="438"/>
      <c r="E2660" s="163"/>
      <c r="F2660" s="161" t="s">
        <v>27</v>
      </c>
      <c r="G2660" s="160">
        <f>1189923+3062272+1673635-5059078+1+1165487</f>
        <v>2032240</v>
      </c>
      <c r="H2660" s="142">
        <v>1</v>
      </c>
      <c r="I2660" s="143">
        <f>G2660*H2660</f>
        <v>2032240</v>
      </c>
      <c r="M2660">
        <v>4608265</v>
      </c>
    </row>
    <row r="2661" spans="2:15" ht="18" customHeight="1" thickBot="1" x14ac:dyDescent="0.3">
      <c r="B2661" s="371" t="s">
        <v>318</v>
      </c>
      <c r="C2661" s="372"/>
      <c r="D2661" s="372"/>
      <c r="E2661" s="372"/>
      <c r="F2661" s="372"/>
      <c r="G2661" s="372"/>
      <c r="H2661" s="372"/>
      <c r="I2661" s="144">
        <f>SUM(I2660:I2660)</f>
        <v>2032240</v>
      </c>
      <c r="N2661" s="150"/>
    </row>
    <row r="2662" spans="2:15" ht="6" customHeight="1" thickBot="1" x14ac:dyDescent="0.3">
      <c r="B2662" s="373"/>
      <c r="C2662" s="373"/>
      <c r="D2662" s="373"/>
      <c r="E2662" s="373"/>
      <c r="F2662" s="373"/>
      <c r="G2662" s="373"/>
      <c r="H2662" s="373"/>
      <c r="I2662" s="373"/>
    </row>
    <row r="2663" spans="2:15" s="145" customFormat="1" x14ac:dyDescent="0.25">
      <c r="B2663" s="380" t="s">
        <v>323</v>
      </c>
      <c r="C2663" s="381"/>
      <c r="D2663" s="381"/>
      <c r="E2663" s="381"/>
      <c r="F2663" s="381"/>
      <c r="G2663" s="381"/>
      <c r="H2663" s="381"/>
      <c r="I2663" s="382"/>
      <c r="L2663" s="146"/>
      <c r="M2663" s="146"/>
    </row>
    <row r="2664" spans="2:15" s="145" customFormat="1" x14ac:dyDescent="0.25">
      <c r="B2664" s="377" t="s">
        <v>324</v>
      </c>
      <c r="C2664" s="378"/>
      <c r="D2664" s="379"/>
      <c r="E2664" s="137" t="s">
        <v>325</v>
      </c>
      <c r="F2664" s="137" t="s">
        <v>326</v>
      </c>
      <c r="G2664" s="137" t="s">
        <v>130</v>
      </c>
      <c r="H2664" s="137" t="s">
        <v>327</v>
      </c>
      <c r="I2664" s="138" t="s">
        <v>314</v>
      </c>
      <c r="K2664" s="260">
        <v>2523990</v>
      </c>
      <c r="N2664" s="183"/>
      <c r="O2664" s="148"/>
    </row>
    <row r="2665" spans="2:15" ht="11.25" customHeight="1" x14ac:dyDescent="0.25">
      <c r="B2665" s="362" t="s">
        <v>711</v>
      </c>
      <c r="C2665" s="363"/>
      <c r="D2665" s="363"/>
      <c r="E2665" s="170">
        <v>1</v>
      </c>
      <c r="F2665" s="164"/>
      <c r="G2665" s="161"/>
      <c r="H2665" s="162">
        <v>35000</v>
      </c>
      <c r="I2665" s="143">
        <f>H2665*E2665</f>
        <v>35000</v>
      </c>
      <c r="K2665" s="281"/>
    </row>
    <row r="2666" spans="2:15" ht="10.5" customHeight="1" thickBot="1" x14ac:dyDescent="0.3">
      <c r="B2666" s="371" t="s">
        <v>318</v>
      </c>
      <c r="C2666" s="372"/>
      <c r="D2666" s="372"/>
      <c r="E2666" s="372"/>
      <c r="F2666" s="372"/>
      <c r="G2666" s="372"/>
      <c r="H2666" s="372"/>
      <c r="I2666" s="144">
        <f>SUM(I2665:I2665)</f>
        <v>35000</v>
      </c>
      <c r="K2666" s="281">
        <f>+I2675-K2664</f>
        <v>0</v>
      </c>
      <c r="N2666" s="150"/>
    </row>
    <row r="2667" spans="2:15" ht="6" customHeight="1" thickBot="1" x14ac:dyDescent="0.3">
      <c r="B2667" s="373"/>
      <c r="C2667" s="373"/>
      <c r="D2667" s="373"/>
      <c r="E2667" s="373"/>
      <c r="F2667" s="373"/>
      <c r="G2667" s="373"/>
      <c r="H2667" s="373"/>
      <c r="I2667" s="373"/>
    </row>
    <row r="2668" spans="2:15" s="145" customFormat="1" ht="20.100000000000001" customHeight="1" x14ac:dyDescent="0.25">
      <c r="B2668" s="380" t="s">
        <v>328</v>
      </c>
      <c r="C2668" s="381"/>
      <c r="D2668" s="381"/>
      <c r="E2668" s="381"/>
      <c r="F2668" s="381"/>
      <c r="G2668" s="381"/>
      <c r="H2668" s="381"/>
      <c r="I2668" s="382"/>
      <c r="K2668" s="147"/>
      <c r="N2668" s="148"/>
      <c r="O2668" s="149"/>
    </row>
    <row r="2669" spans="2:15" s="145" customFormat="1" ht="20.100000000000001" customHeight="1" x14ac:dyDescent="0.25">
      <c r="B2669" s="377" t="s">
        <v>329</v>
      </c>
      <c r="C2669" s="379"/>
      <c r="D2669" s="137" t="s">
        <v>322</v>
      </c>
      <c r="E2669" s="137" t="s">
        <v>330</v>
      </c>
      <c r="F2669" s="137" t="s">
        <v>331</v>
      </c>
      <c r="G2669" s="137" t="s">
        <v>332</v>
      </c>
      <c r="H2669" s="137" t="s">
        <v>313</v>
      </c>
      <c r="I2669" s="138" t="s">
        <v>314</v>
      </c>
      <c r="K2669" s="147"/>
      <c r="O2669" s="179"/>
    </row>
    <row r="2670" spans="2:15" s="151" customFormat="1" ht="9.75" customHeight="1" x14ac:dyDescent="0.25">
      <c r="B2670" s="367" t="s">
        <v>356</v>
      </c>
      <c r="C2670" s="368"/>
      <c r="D2670" s="180">
        <v>1</v>
      </c>
      <c r="E2670" s="141">
        <v>140000</v>
      </c>
      <c r="F2670" s="141">
        <f>+E2670*0.8</f>
        <v>112000</v>
      </c>
      <c r="G2670" s="178">
        <f>D2670*E2670+F2670*D2670</f>
        <v>252000</v>
      </c>
      <c r="H2670" s="184">
        <v>1.6</v>
      </c>
      <c r="I2670" s="143">
        <f>+G2670/H2670</f>
        <v>157500</v>
      </c>
      <c r="J2670" s="145"/>
      <c r="K2670" s="147"/>
    </row>
    <row r="2671" spans="2:15" s="151" customFormat="1" ht="11.25" customHeight="1" x14ac:dyDescent="0.25">
      <c r="B2671" s="367" t="s">
        <v>374</v>
      </c>
      <c r="C2671" s="368"/>
      <c r="D2671" s="180">
        <v>1</v>
      </c>
      <c r="E2671" s="141">
        <v>80000</v>
      </c>
      <c r="F2671" s="141">
        <f>+E2671*0.8</f>
        <v>64000</v>
      </c>
      <c r="G2671" s="178">
        <f>D2671*E2671+F2671*D2671</f>
        <v>144000</v>
      </c>
      <c r="H2671" s="184">
        <f>+H2670</f>
        <v>1.6</v>
      </c>
      <c r="I2671" s="143">
        <f>+G2671/H2671</f>
        <v>90000</v>
      </c>
      <c r="J2671" s="145"/>
      <c r="K2671" s="147"/>
      <c r="L2671" s="179"/>
      <c r="M2671" s="179"/>
    </row>
    <row r="2672" spans="2:15" s="145" customFormat="1" ht="10.5" customHeight="1" x14ac:dyDescent="0.25">
      <c r="B2672" s="367" t="s">
        <v>333</v>
      </c>
      <c r="C2672" s="368"/>
      <c r="D2672" s="180">
        <v>2</v>
      </c>
      <c r="E2672" s="141">
        <v>55000</v>
      </c>
      <c r="F2672" s="141">
        <f>+E2672*0.8</f>
        <v>44000</v>
      </c>
      <c r="G2672" s="178">
        <f>D2672*E2672+F2672*D2672</f>
        <v>198000</v>
      </c>
      <c r="H2672" s="184">
        <f>+H2671</f>
        <v>1.6</v>
      </c>
      <c r="I2672" s="143">
        <f>+G2672/H2672</f>
        <v>123750</v>
      </c>
      <c r="K2672" s="147"/>
    </row>
    <row r="2673" spans="2:14" ht="10.5" customHeight="1" thickBot="1" x14ac:dyDescent="0.3">
      <c r="B2673" s="371" t="s">
        <v>318</v>
      </c>
      <c r="C2673" s="372"/>
      <c r="D2673" s="372"/>
      <c r="E2673" s="372"/>
      <c r="F2673" s="372"/>
      <c r="G2673" s="372"/>
      <c r="H2673" s="372"/>
      <c r="I2673" s="144">
        <f>SUM(I2670:I2672)</f>
        <v>371250</v>
      </c>
      <c r="K2673" s="281"/>
      <c r="N2673" s="150"/>
    </row>
    <row r="2674" spans="2:14" ht="6" customHeight="1" thickBot="1" x14ac:dyDescent="0.3">
      <c r="B2674" s="373"/>
      <c r="C2674" s="373"/>
      <c r="D2674" s="373"/>
      <c r="E2674" s="373"/>
      <c r="F2674" s="373"/>
      <c r="G2674" s="373"/>
      <c r="H2674" s="373"/>
      <c r="I2674" s="373"/>
    </row>
    <row r="2675" spans="2:14" ht="10.5" customHeight="1" thickBot="1" x14ac:dyDescent="0.3">
      <c r="B2675" s="374" t="s">
        <v>334</v>
      </c>
      <c r="C2675" s="375"/>
      <c r="D2675" s="375"/>
      <c r="E2675" s="375"/>
      <c r="F2675" s="375"/>
      <c r="G2675" s="375"/>
      <c r="H2675" s="376"/>
      <c r="I2675" s="152">
        <f>ROUND(+I2656+I2661+I2666+I2673,0)</f>
        <v>2523990</v>
      </c>
      <c r="J2675" s="281"/>
      <c r="K2675" s="169"/>
      <c r="L2675" s="181"/>
      <c r="M2675" s="181"/>
      <c r="N2675" s="153"/>
    </row>
    <row r="2676" spans="2:14" ht="6" customHeight="1" thickBot="1" x14ac:dyDescent="0.3">
      <c r="B2676" s="373"/>
      <c r="C2676" s="373"/>
      <c r="D2676" s="373"/>
      <c r="E2676" s="373"/>
      <c r="F2676" s="373"/>
      <c r="G2676" s="373"/>
      <c r="H2676" s="373"/>
      <c r="I2676" s="373"/>
    </row>
    <row r="2677" spans="2:14" ht="8.25" customHeight="1" x14ac:dyDescent="0.25">
      <c r="B2677" s="433" t="s">
        <v>335</v>
      </c>
      <c r="C2677" s="417"/>
      <c r="D2677" s="418"/>
      <c r="E2677" s="418"/>
      <c r="F2677" s="419"/>
      <c r="G2677" s="369" t="s">
        <v>336</v>
      </c>
      <c r="H2677" s="370"/>
      <c r="I2677" s="370"/>
    </row>
    <row r="2678" spans="2:14" ht="33.75" customHeight="1" x14ac:dyDescent="0.25">
      <c r="B2678" s="434"/>
      <c r="C2678" s="420"/>
      <c r="D2678" s="421"/>
      <c r="E2678" s="421"/>
      <c r="F2678" s="422"/>
      <c r="G2678" s="430" t="s">
        <v>337</v>
      </c>
      <c r="H2678" s="431"/>
      <c r="I2678" s="431"/>
      <c r="L2678" s="181"/>
      <c r="M2678" s="181"/>
      <c r="N2678" s="179"/>
    </row>
    <row r="2679" spans="2:14" ht="13.5" customHeight="1" x14ac:dyDescent="0.25">
      <c r="B2679" s="434"/>
      <c r="C2679" s="420"/>
      <c r="D2679" s="421"/>
      <c r="E2679" s="421"/>
      <c r="F2679" s="422"/>
      <c r="G2679" s="154" t="s">
        <v>92</v>
      </c>
      <c r="H2679" s="432" t="s">
        <v>93</v>
      </c>
      <c r="I2679" s="432"/>
    </row>
    <row r="2680" spans="2:14" ht="16.5" customHeight="1" x14ac:dyDescent="0.25">
      <c r="B2680" s="435"/>
      <c r="C2680" s="420"/>
      <c r="D2680" s="421"/>
      <c r="E2680" s="421"/>
      <c r="F2680" s="422"/>
      <c r="G2680" s="155" t="s">
        <v>94</v>
      </c>
      <c r="H2680" s="156" t="s">
        <v>95</v>
      </c>
      <c r="I2680" s="157" t="s">
        <v>96</v>
      </c>
    </row>
    <row r="2681" spans="2:14" x14ac:dyDescent="0.25">
      <c r="B2681" s="268" t="s">
        <v>18</v>
      </c>
      <c r="C2681" s="427"/>
      <c r="D2681" s="428"/>
      <c r="E2681" s="428"/>
      <c r="F2681" s="429"/>
      <c r="G2681" s="155" t="s">
        <v>98</v>
      </c>
      <c r="H2681" s="157" t="s">
        <v>99</v>
      </c>
      <c r="I2681" s="157" t="s">
        <v>100</v>
      </c>
    </row>
    <row r="2682" spans="2:14" x14ac:dyDescent="0.25">
      <c r="B2682" s="269" t="s">
        <v>97</v>
      </c>
      <c r="C2682" s="427"/>
      <c r="D2682" s="428"/>
      <c r="E2682" s="428"/>
      <c r="F2682" s="429"/>
      <c r="G2682" s="154" t="s">
        <v>338</v>
      </c>
      <c r="H2682" s="426"/>
      <c r="I2682" s="426"/>
    </row>
    <row r="2683" spans="2:14" ht="15.75" thickBot="1" x14ac:dyDescent="0.3">
      <c r="B2683" s="270" t="s">
        <v>101</v>
      </c>
      <c r="C2683" s="423"/>
      <c r="D2683" s="424"/>
      <c r="E2683" s="424"/>
      <c r="F2683" s="425"/>
      <c r="G2683" s="154" t="s">
        <v>102</v>
      </c>
      <c r="H2683" s="426" t="s">
        <v>103</v>
      </c>
      <c r="I2683" s="426"/>
    </row>
    <row r="2684" spans="2:14" ht="6" customHeight="1" thickBot="1" x14ac:dyDescent="0.3">
      <c r="B2684" s="373"/>
      <c r="C2684" s="373"/>
      <c r="D2684" s="373"/>
      <c r="E2684" s="373"/>
      <c r="F2684" s="373"/>
      <c r="G2684" s="373"/>
      <c r="H2684" s="373"/>
      <c r="I2684" s="373"/>
    </row>
    <row r="2685" spans="2:14" ht="45" customHeight="1" thickBot="1" x14ac:dyDescent="0.3">
      <c r="B2685" s="401"/>
      <c r="C2685" s="402"/>
      <c r="D2685" s="402"/>
      <c r="E2685" s="402"/>
      <c r="F2685" s="403" t="s">
        <v>0</v>
      </c>
      <c r="G2685" s="403"/>
      <c r="H2685" s="403"/>
      <c r="I2685" s="404"/>
    </row>
    <row r="2686" spans="2:14" ht="6" customHeight="1" thickBot="1" x14ac:dyDescent="0.3">
      <c r="B2686" s="373"/>
      <c r="C2686" s="373"/>
      <c r="D2686" s="373"/>
      <c r="E2686" s="373"/>
      <c r="F2686" s="373"/>
      <c r="G2686" s="373"/>
      <c r="H2686" s="373"/>
      <c r="I2686" s="373"/>
    </row>
    <row r="2687" spans="2:14" ht="10.5" customHeight="1" x14ac:dyDescent="0.25">
      <c r="B2687" s="405" t="s">
        <v>294</v>
      </c>
      <c r="C2687" s="406"/>
      <c r="D2687" s="407" t="s">
        <v>295</v>
      </c>
      <c r="E2687" s="409" t="s">
        <v>296</v>
      </c>
      <c r="F2687" s="410"/>
      <c r="G2687" s="410"/>
      <c r="H2687" s="410"/>
      <c r="I2687" s="411"/>
    </row>
    <row r="2688" spans="2:14" ht="9" customHeight="1" thickBot="1" x14ac:dyDescent="0.3">
      <c r="B2688" s="415"/>
      <c r="C2688" s="416"/>
      <c r="D2688" s="408"/>
      <c r="E2688" s="412"/>
      <c r="F2688" s="413"/>
      <c r="G2688" s="413"/>
      <c r="H2688" s="413"/>
      <c r="I2688" s="414"/>
    </row>
    <row r="2689" spans="2:14" ht="6" customHeight="1" thickBot="1" x14ac:dyDescent="0.3">
      <c r="B2689" s="373"/>
      <c r="C2689" s="373"/>
      <c r="D2689" s="373"/>
      <c r="E2689" s="373"/>
      <c r="F2689" s="373"/>
      <c r="G2689" s="373"/>
      <c r="H2689" s="373"/>
      <c r="I2689" s="373"/>
    </row>
    <row r="2690" spans="2:14" ht="17.25" customHeight="1" thickBot="1" x14ac:dyDescent="0.3">
      <c r="B2690" s="390" t="s">
        <v>297</v>
      </c>
      <c r="C2690" s="391"/>
      <c r="D2690" s="392"/>
      <c r="E2690" s="393"/>
      <c r="F2690" s="393"/>
      <c r="G2690" s="394"/>
      <c r="H2690" s="127" t="s">
        <v>298</v>
      </c>
      <c r="I2690" s="128"/>
    </row>
    <row r="2691" spans="2:14" ht="6" customHeight="1" thickBot="1" x14ac:dyDescent="0.3">
      <c r="B2691" s="373"/>
      <c r="C2691" s="373"/>
      <c r="D2691" s="373"/>
      <c r="E2691" s="373"/>
      <c r="F2691" s="373"/>
      <c r="G2691" s="373"/>
      <c r="H2691" s="373"/>
      <c r="I2691" s="373"/>
    </row>
    <row r="2692" spans="2:14" ht="19.5" customHeight="1" x14ac:dyDescent="0.25">
      <c r="B2692" s="261" t="s">
        <v>299</v>
      </c>
      <c r="C2692" s="129" t="s">
        <v>300</v>
      </c>
      <c r="D2692" s="130" t="s">
        <v>301</v>
      </c>
      <c r="E2692" s="130" t="s">
        <v>302</v>
      </c>
      <c r="F2692" s="398" t="s">
        <v>303</v>
      </c>
      <c r="G2692" s="399"/>
      <c r="H2692" s="400"/>
      <c r="I2692" s="131" t="s">
        <v>304</v>
      </c>
    </row>
    <row r="2693" spans="2:14" ht="11.25" customHeight="1" x14ac:dyDescent="0.25">
      <c r="B2693" s="262"/>
      <c r="C2693" s="132"/>
      <c r="D2693" s="132" t="s">
        <v>305</v>
      </c>
      <c r="E2693" s="132" t="s">
        <v>306</v>
      </c>
      <c r="F2693" s="395" t="s">
        <v>339</v>
      </c>
      <c r="G2693" s="396"/>
      <c r="H2693" s="397"/>
      <c r="I2693" s="133"/>
    </row>
    <row r="2694" spans="2:14" ht="28.5" customHeight="1" x14ac:dyDescent="0.25">
      <c r="B2694" s="263" t="s">
        <v>307</v>
      </c>
      <c r="C2694" s="383" t="s">
        <v>414</v>
      </c>
      <c r="D2694" s="384"/>
      <c r="E2694" s="384"/>
      <c r="F2694" s="384"/>
      <c r="G2694" s="384"/>
      <c r="H2694" s="384"/>
      <c r="I2694" s="385"/>
    </row>
    <row r="2695" spans="2:14" ht="10.5" customHeight="1" x14ac:dyDescent="0.25">
      <c r="B2695" s="264" t="s">
        <v>129</v>
      </c>
      <c r="C2695" s="388" t="s">
        <v>308</v>
      </c>
      <c r="D2695" s="389"/>
      <c r="E2695" s="389"/>
      <c r="F2695" s="389"/>
      <c r="G2695" s="389"/>
      <c r="H2695" s="389"/>
      <c r="I2695" s="134" t="s">
        <v>130</v>
      </c>
    </row>
    <row r="2696" spans="2:14" ht="50.25" customHeight="1" thickBot="1" x14ac:dyDescent="0.3">
      <c r="B2696" s="265">
        <v>8.1099999999999977</v>
      </c>
      <c r="C2696" s="386" t="s">
        <v>604</v>
      </c>
      <c r="D2696" s="387"/>
      <c r="E2696" s="387"/>
      <c r="F2696" s="387"/>
      <c r="G2696" s="387"/>
      <c r="H2696" s="387"/>
      <c r="I2696" s="135" t="s">
        <v>27</v>
      </c>
    </row>
    <row r="2697" spans="2:14" ht="6" customHeight="1" thickBot="1" x14ac:dyDescent="0.3">
      <c r="B2697" s="373"/>
      <c r="C2697" s="373"/>
      <c r="D2697" s="373"/>
      <c r="E2697" s="373"/>
      <c r="F2697" s="373"/>
      <c r="G2697" s="373"/>
      <c r="H2697" s="373"/>
      <c r="I2697" s="373"/>
    </row>
    <row r="2698" spans="2:14" x14ac:dyDescent="0.25">
      <c r="B2698" s="380" t="s">
        <v>309</v>
      </c>
      <c r="C2698" s="381"/>
      <c r="D2698" s="381"/>
      <c r="E2698" s="381"/>
      <c r="F2698" s="381"/>
      <c r="G2698" s="381"/>
      <c r="H2698" s="381"/>
      <c r="I2698" s="382"/>
      <c r="K2698" s="182"/>
    </row>
    <row r="2699" spans="2:14" ht="11.25" customHeight="1" x14ac:dyDescent="0.25">
      <c r="B2699" s="377" t="s">
        <v>310</v>
      </c>
      <c r="C2699" s="378"/>
      <c r="D2699" s="379"/>
      <c r="E2699" s="136"/>
      <c r="F2699" s="137" t="s">
        <v>311</v>
      </c>
      <c r="G2699" s="137" t="s">
        <v>312</v>
      </c>
      <c r="H2699" s="137" t="s">
        <v>313</v>
      </c>
      <c r="I2699" s="138" t="s">
        <v>314</v>
      </c>
      <c r="L2699" s="139"/>
      <c r="M2699" s="139"/>
    </row>
    <row r="2700" spans="2:14" ht="11.25" customHeight="1" x14ac:dyDescent="0.25">
      <c r="B2700" s="362" t="s">
        <v>315</v>
      </c>
      <c r="C2700" s="363"/>
      <c r="D2700" s="363"/>
      <c r="E2700" s="160"/>
      <c r="F2700" s="161" t="s">
        <v>316</v>
      </c>
      <c r="G2700" s="160">
        <v>5000</v>
      </c>
      <c r="H2700" s="142">
        <v>1.8</v>
      </c>
      <c r="I2700" s="143">
        <f>G2700*H2700</f>
        <v>9000</v>
      </c>
    </row>
    <row r="2701" spans="2:14" ht="16.5" customHeight="1" x14ac:dyDescent="0.25">
      <c r="B2701" s="362" t="s">
        <v>355</v>
      </c>
      <c r="C2701" s="363"/>
      <c r="D2701" s="363"/>
      <c r="E2701" s="160"/>
      <c r="F2701" s="161" t="s">
        <v>317</v>
      </c>
      <c r="G2701" s="160">
        <v>90000</v>
      </c>
      <c r="H2701" s="142">
        <f>+H2700</f>
        <v>1.8</v>
      </c>
      <c r="I2701" s="143">
        <f>G2701*H2701</f>
        <v>162000</v>
      </c>
    </row>
    <row r="2702" spans="2:14" ht="10.5" customHeight="1" thickBot="1" x14ac:dyDescent="0.3">
      <c r="B2702" s="371" t="s">
        <v>318</v>
      </c>
      <c r="C2702" s="372"/>
      <c r="D2702" s="372"/>
      <c r="E2702" s="372"/>
      <c r="F2702" s="372"/>
      <c r="G2702" s="372"/>
      <c r="H2702" s="372"/>
      <c r="I2702" s="144">
        <f>SUM(I2700:I2701)</f>
        <v>171000</v>
      </c>
      <c r="N2702" s="150"/>
    </row>
    <row r="2703" spans="2:14" ht="6" customHeight="1" thickBot="1" x14ac:dyDescent="0.3">
      <c r="B2703" s="373"/>
      <c r="C2703" s="373"/>
      <c r="D2703" s="373"/>
      <c r="E2703" s="373"/>
      <c r="F2703" s="373"/>
      <c r="G2703" s="373"/>
      <c r="H2703" s="373"/>
      <c r="I2703" s="373"/>
    </row>
    <row r="2704" spans="2:14" s="145" customFormat="1" x14ac:dyDescent="0.25">
      <c r="B2704" s="380" t="s">
        <v>319</v>
      </c>
      <c r="C2704" s="381"/>
      <c r="D2704" s="381"/>
      <c r="E2704" s="381"/>
      <c r="F2704" s="381"/>
      <c r="G2704" s="381"/>
      <c r="H2704" s="381"/>
      <c r="I2704" s="382"/>
    </row>
    <row r="2705" spans="2:15" s="145" customFormat="1" ht="15.75" customHeight="1" x14ac:dyDescent="0.25">
      <c r="B2705" s="377" t="s">
        <v>310</v>
      </c>
      <c r="C2705" s="378"/>
      <c r="D2705" s="379"/>
      <c r="E2705" s="137"/>
      <c r="F2705" s="137" t="s">
        <v>320</v>
      </c>
      <c r="G2705" s="137" t="s">
        <v>321</v>
      </c>
      <c r="H2705" s="137" t="s">
        <v>322</v>
      </c>
      <c r="I2705" s="138" t="s">
        <v>314</v>
      </c>
    </row>
    <row r="2706" spans="2:15" ht="75" customHeight="1" x14ac:dyDescent="0.25">
      <c r="B2706" s="436" t="s">
        <v>604</v>
      </c>
      <c r="C2706" s="437"/>
      <c r="D2706" s="438"/>
      <c r="E2706" s="163"/>
      <c r="F2706" s="161" t="s">
        <v>27</v>
      </c>
      <c r="G2706" s="160">
        <f>1189923+3062272+1673635-5059078+1+7768207</f>
        <v>8634960</v>
      </c>
      <c r="H2706" s="142">
        <v>1</v>
      </c>
      <c r="I2706" s="143">
        <f>G2706*H2706</f>
        <v>8634960</v>
      </c>
      <c r="M2706">
        <v>4608265</v>
      </c>
    </row>
    <row r="2707" spans="2:15" ht="18" customHeight="1" thickBot="1" x14ac:dyDescent="0.3">
      <c r="B2707" s="371" t="s">
        <v>318</v>
      </c>
      <c r="C2707" s="372"/>
      <c r="D2707" s="372"/>
      <c r="E2707" s="372"/>
      <c r="F2707" s="372"/>
      <c r="G2707" s="372"/>
      <c r="H2707" s="372"/>
      <c r="I2707" s="144">
        <f>SUM(I2706:I2706)</f>
        <v>8634960</v>
      </c>
      <c r="N2707" s="150"/>
    </row>
    <row r="2708" spans="2:15" ht="6" customHeight="1" thickBot="1" x14ac:dyDescent="0.3">
      <c r="B2708" s="373"/>
      <c r="C2708" s="373"/>
      <c r="D2708" s="373"/>
      <c r="E2708" s="373"/>
      <c r="F2708" s="373"/>
      <c r="G2708" s="373"/>
      <c r="H2708" s="373"/>
      <c r="I2708" s="373"/>
    </row>
    <row r="2709" spans="2:15" s="145" customFormat="1" x14ac:dyDescent="0.25">
      <c r="B2709" s="380" t="s">
        <v>323</v>
      </c>
      <c r="C2709" s="381"/>
      <c r="D2709" s="381"/>
      <c r="E2709" s="381"/>
      <c r="F2709" s="381"/>
      <c r="G2709" s="381"/>
      <c r="H2709" s="381"/>
      <c r="I2709" s="382"/>
      <c r="L2709" s="146"/>
      <c r="M2709" s="146"/>
    </row>
    <row r="2710" spans="2:15" s="145" customFormat="1" x14ac:dyDescent="0.25">
      <c r="B2710" s="377" t="s">
        <v>324</v>
      </c>
      <c r="C2710" s="378"/>
      <c r="D2710" s="379"/>
      <c r="E2710" s="137" t="s">
        <v>325</v>
      </c>
      <c r="F2710" s="137" t="s">
        <v>326</v>
      </c>
      <c r="G2710" s="137" t="s">
        <v>130</v>
      </c>
      <c r="H2710" s="137" t="s">
        <v>327</v>
      </c>
      <c r="I2710" s="138" t="s">
        <v>314</v>
      </c>
      <c r="K2710" s="260"/>
      <c r="N2710" s="183"/>
      <c r="O2710" s="148"/>
    </row>
    <row r="2711" spans="2:15" ht="11.25" customHeight="1" x14ac:dyDescent="0.25">
      <c r="B2711" s="362" t="s">
        <v>711</v>
      </c>
      <c r="C2711" s="363"/>
      <c r="D2711" s="363"/>
      <c r="E2711" s="170">
        <v>1</v>
      </c>
      <c r="F2711" s="164"/>
      <c r="G2711" s="161"/>
      <c r="H2711" s="162">
        <v>60000</v>
      </c>
      <c r="I2711" s="143">
        <f>H2711*E2711</f>
        <v>60000</v>
      </c>
      <c r="K2711" s="281">
        <v>10095960</v>
      </c>
    </row>
    <row r="2712" spans="2:15" ht="10.5" customHeight="1" thickBot="1" x14ac:dyDescent="0.3">
      <c r="B2712" s="371" t="s">
        <v>318</v>
      </c>
      <c r="C2712" s="372"/>
      <c r="D2712" s="372"/>
      <c r="E2712" s="372"/>
      <c r="F2712" s="372"/>
      <c r="G2712" s="372"/>
      <c r="H2712" s="372"/>
      <c r="I2712" s="144">
        <f>SUM(I2711:I2711)</f>
        <v>60000</v>
      </c>
      <c r="K2712" s="281"/>
      <c r="N2712" s="150"/>
    </row>
    <row r="2713" spans="2:15" ht="6" customHeight="1" thickBot="1" x14ac:dyDescent="0.3">
      <c r="B2713" s="373"/>
      <c r="C2713" s="373"/>
      <c r="D2713" s="373"/>
      <c r="E2713" s="373"/>
      <c r="F2713" s="373"/>
      <c r="G2713" s="373"/>
      <c r="H2713" s="373"/>
      <c r="I2713" s="373"/>
    </row>
    <row r="2714" spans="2:15" s="145" customFormat="1" ht="20.100000000000001" customHeight="1" x14ac:dyDescent="0.25">
      <c r="B2714" s="380" t="s">
        <v>328</v>
      </c>
      <c r="C2714" s="381"/>
      <c r="D2714" s="381"/>
      <c r="E2714" s="381"/>
      <c r="F2714" s="381"/>
      <c r="G2714" s="381"/>
      <c r="H2714" s="381"/>
      <c r="I2714" s="382"/>
      <c r="K2714" s="147">
        <f>+K2711-I2721</f>
        <v>0</v>
      </c>
      <c r="N2714" s="148"/>
      <c r="O2714" s="149"/>
    </row>
    <row r="2715" spans="2:15" s="145" customFormat="1" ht="20.100000000000001" customHeight="1" x14ac:dyDescent="0.25">
      <c r="B2715" s="377" t="s">
        <v>329</v>
      </c>
      <c r="C2715" s="379"/>
      <c r="D2715" s="137" t="s">
        <v>322</v>
      </c>
      <c r="E2715" s="137" t="s">
        <v>330</v>
      </c>
      <c r="F2715" s="137" t="s">
        <v>331</v>
      </c>
      <c r="G2715" s="137" t="s">
        <v>332</v>
      </c>
      <c r="H2715" s="137" t="s">
        <v>313</v>
      </c>
      <c r="I2715" s="138" t="s">
        <v>314</v>
      </c>
      <c r="K2715" s="147"/>
      <c r="O2715" s="179"/>
    </row>
    <row r="2716" spans="2:15" s="151" customFormat="1" ht="9.75" customHeight="1" x14ac:dyDescent="0.25">
      <c r="B2716" s="367" t="s">
        <v>356</v>
      </c>
      <c r="C2716" s="368"/>
      <c r="D2716" s="180">
        <v>1</v>
      </c>
      <c r="E2716" s="141">
        <v>140000</v>
      </c>
      <c r="F2716" s="141">
        <f>+E2716*0.8</f>
        <v>112000</v>
      </c>
      <c r="G2716" s="178">
        <f>D2716*E2716+F2716*D2716</f>
        <v>252000</v>
      </c>
      <c r="H2716" s="184">
        <v>0.6</v>
      </c>
      <c r="I2716" s="143">
        <f>+G2716/H2716</f>
        <v>420000</v>
      </c>
      <c r="J2716" s="145"/>
      <c r="K2716" s="147"/>
    </row>
    <row r="2717" spans="2:15" s="151" customFormat="1" ht="11.25" customHeight="1" x14ac:dyDescent="0.25">
      <c r="B2717" s="367" t="s">
        <v>374</v>
      </c>
      <c r="C2717" s="368"/>
      <c r="D2717" s="180">
        <v>2</v>
      </c>
      <c r="E2717" s="141">
        <v>80000</v>
      </c>
      <c r="F2717" s="141">
        <f>+E2717*0.8</f>
        <v>64000</v>
      </c>
      <c r="G2717" s="178">
        <f>D2717*E2717+F2717*D2717</f>
        <v>288000</v>
      </c>
      <c r="H2717" s="184">
        <f>+H2716</f>
        <v>0.6</v>
      </c>
      <c r="I2717" s="143">
        <f>+G2717/H2717</f>
        <v>480000</v>
      </c>
      <c r="J2717" s="145"/>
      <c r="K2717" s="147"/>
      <c r="L2717" s="179"/>
      <c r="M2717" s="179"/>
    </row>
    <row r="2718" spans="2:15" s="145" customFormat="1" ht="10.5" customHeight="1" x14ac:dyDescent="0.25">
      <c r="B2718" s="367" t="s">
        <v>333</v>
      </c>
      <c r="C2718" s="368"/>
      <c r="D2718" s="180">
        <v>2</v>
      </c>
      <c r="E2718" s="141">
        <v>55000</v>
      </c>
      <c r="F2718" s="141">
        <f>+E2718*0.8</f>
        <v>44000</v>
      </c>
      <c r="G2718" s="178">
        <f>D2718*E2718+F2718*D2718</f>
        <v>198000</v>
      </c>
      <c r="H2718" s="184">
        <f>+H2717</f>
        <v>0.6</v>
      </c>
      <c r="I2718" s="143">
        <f>+G2718/H2718</f>
        <v>330000</v>
      </c>
      <c r="K2718" s="147"/>
    </row>
    <row r="2719" spans="2:15" ht="10.5" customHeight="1" thickBot="1" x14ac:dyDescent="0.3">
      <c r="B2719" s="371" t="s">
        <v>318</v>
      </c>
      <c r="C2719" s="372"/>
      <c r="D2719" s="372"/>
      <c r="E2719" s="372"/>
      <c r="F2719" s="372"/>
      <c r="G2719" s="372"/>
      <c r="H2719" s="372"/>
      <c r="I2719" s="144">
        <f>SUM(I2716:I2718)</f>
        <v>1230000</v>
      </c>
      <c r="K2719" s="281"/>
      <c r="N2719" s="150"/>
    </row>
    <row r="2720" spans="2:15" ht="6" customHeight="1" thickBot="1" x14ac:dyDescent="0.3">
      <c r="B2720" s="373"/>
      <c r="C2720" s="373"/>
      <c r="D2720" s="373"/>
      <c r="E2720" s="373"/>
      <c r="F2720" s="373"/>
      <c r="G2720" s="373"/>
      <c r="H2720" s="373"/>
      <c r="I2720" s="373"/>
    </row>
    <row r="2721" spans="2:14" ht="10.5" customHeight="1" thickBot="1" x14ac:dyDescent="0.3">
      <c r="B2721" s="374" t="s">
        <v>334</v>
      </c>
      <c r="C2721" s="375"/>
      <c r="D2721" s="375"/>
      <c r="E2721" s="375"/>
      <c r="F2721" s="375"/>
      <c r="G2721" s="375"/>
      <c r="H2721" s="376"/>
      <c r="I2721" s="152">
        <f>ROUND(+I2702+I2707+I2712+I2719,0)</f>
        <v>10095960</v>
      </c>
      <c r="J2721" s="281"/>
      <c r="K2721" s="169"/>
      <c r="L2721" s="181"/>
      <c r="M2721" s="181"/>
      <c r="N2721" s="153"/>
    </row>
    <row r="2722" spans="2:14" ht="6" customHeight="1" thickBot="1" x14ac:dyDescent="0.3">
      <c r="B2722" s="373"/>
      <c r="C2722" s="373"/>
      <c r="D2722" s="373"/>
      <c r="E2722" s="373"/>
      <c r="F2722" s="373"/>
      <c r="G2722" s="373"/>
      <c r="H2722" s="373"/>
      <c r="I2722" s="373"/>
    </row>
    <row r="2723" spans="2:14" ht="8.25" customHeight="1" x14ac:dyDescent="0.25">
      <c r="B2723" s="433" t="s">
        <v>335</v>
      </c>
      <c r="C2723" s="417"/>
      <c r="D2723" s="418"/>
      <c r="E2723" s="418"/>
      <c r="F2723" s="419"/>
      <c r="G2723" s="369" t="s">
        <v>336</v>
      </c>
      <c r="H2723" s="370"/>
      <c r="I2723" s="370"/>
    </row>
    <row r="2724" spans="2:14" ht="33.75" customHeight="1" x14ac:dyDescent="0.25">
      <c r="B2724" s="434"/>
      <c r="C2724" s="420"/>
      <c r="D2724" s="421"/>
      <c r="E2724" s="421"/>
      <c r="F2724" s="422"/>
      <c r="G2724" s="430" t="s">
        <v>337</v>
      </c>
      <c r="H2724" s="431"/>
      <c r="I2724" s="431"/>
      <c r="L2724" s="181"/>
      <c r="M2724" s="181"/>
      <c r="N2724" s="179"/>
    </row>
    <row r="2725" spans="2:14" ht="13.5" customHeight="1" x14ac:dyDescent="0.25">
      <c r="B2725" s="434"/>
      <c r="C2725" s="420"/>
      <c r="D2725" s="421"/>
      <c r="E2725" s="421"/>
      <c r="F2725" s="422"/>
      <c r="G2725" s="154" t="s">
        <v>92</v>
      </c>
      <c r="H2725" s="432" t="s">
        <v>93</v>
      </c>
      <c r="I2725" s="432"/>
    </row>
    <row r="2726" spans="2:14" ht="16.5" customHeight="1" x14ac:dyDescent="0.25">
      <c r="B2726" s="435"/>
      <c r="C2726" s="420"/>
      <c r="D2726" s="421"/>
      <c r="E2726" s="421"/>
      <c r="F2726" s="422"/>
      <c r="G2726" s="155" t="s">
        <v>94</v>
      </c>
      <c r="H2726" s="156" t="s">
        <v>95</v>
      </c>
      <c r="I2726" s="157" t="s">
        <v>96</v>
      </c>
    </row>
    <row r="2727" spans="2:14" x14ac:dyDescent="0.25">
      <c r="B2727" s="268" t="s">
        <v>18</v>
      </c>
      <c r="C2727" s="427"/>
      <c r="D2727" s="428"/>
      <c r="E2727" s="428"/>
      <c r="F2727" s="429"/>
      <c r="G2727" s="155" t="s">
        <v>98</v>
      </c>
      <c r="H2727" s="157" t="s">
        <v>99</v>
      </c>
      <c r="I2727" s="157" t="s">
        <v>100</v>
      </c>
    </row>
    <row r="2728" spans="2:14" x14ac:dyDescent="0.25">
      <c r="B2728" s="269" t="s">
        <v>97</v>
      </c>
      <c r="C2728" s="427"/>
      <c r="D2728" s="428"/>
      <c r="E2728" s="428"/>
      <c r="F2728" s="429"/>
      <c r="G2728" s="154" t="s">
        <v>338</v>
      </c>
      <c r="H2728" s="426"/>
      <c r="I2728" s="426"/>
    </row>
    <row r="2729" spans="2:14" ht="15.75" thickBot="1" x14ac:dyDescent="0.3">
      <c r="B2729" s="270" t="s">
        <v>101</v>
      </c>
      <c r="C2729" s="423"/>
      <c r="D2729" s="424"/>
      <c r="E2729" s="424"/>
      <c r="F2729" s="425"/>
      <c r="G2729" s="154" t="s">
        <v>102</v>
      </c>
      <c r="H2729" s="426" t="s">
        <v>103</v>
      </c>
      <c r="I2729" s="426"/>
    </row>
    <row r="2730" spans="2:14" ht="45" customHeight="1" thickBot="1" x14ac:dyDescent="0.3">
      <c r="B2730" s="401"/>
      <c r="C2730" s="402"/>
      <c r="D2730" s="402"/>
      <c r="E2730" s="402"/>
      <c r="F2730" s="403" t="s">
        <v>0</v>
      </c>
      <c r="G2730" s="403"/>
      <c r="H2730" s="403"/>
      <c r="I2730" s="404"/>
    </row>
    <row r="2731" spans="2:14" ht="6" customHeight="1" thickBot="1" x14ac:dyDescent="0.3">
      <c r="B2731" s="373"/>
      <c r="C2731" s="373"/>
      <c r="D2731" s="373"/>
      <c r="E2731" s="373"/>
      <c r="F2731" s="373"/>
      <c r="G2731" s="373"/>
      <c r="H2731" s="373"/>
      <c r="I2731" s="373"/>
    </row>
    <row r="2732" spans="2:14" ht="10.5" customHeight="1" x14ac:dyDescent="0.25">
      <c r="B2732" s="405" t="s">
        <v>294</v>
      </c>
      <c r="C2732" s="406"/>
      <c r="D2732" s="407" t="s">
        <v>295</v>
      </c>
      <c r="E2732" s="409" t="s">
        <v>296</v>
      </c>
      <c r="F2732" s="410"/>
      <c r="G2732" s="410"/>
      <c r="H2732" s="410"/>
      <c r="I2732" s="411"/>
    </row>
    <row r="2733" spans="2:14" ht="9" customHeight="1" thickBot="1" x14ac:dyDescent="0.3">
      <c r="B2733" s="415"/>
      <c r="C2733" s="416"/>
      <c r="D2733" s="408"/>
      <c r="E2733" s="412"/>
      <c r="F2733" s="413"/>
      <c r="G2733" s="413"/>
      <c r="H2733" s="413"/>
      <c r="I2733" s="414"/>
    </row>
    <row r="2734" spans="2:14" ht="6" customHeight="1" thickBot="1" x14ac:dyDescent="0.3">
      <c r="B2734" s="373"/>
      <c r="C2734" s="373"/>
      <c r="D2734" s="373"/>
      <c r="E2734" s="373"/>
      <c r="F2734" s="373"/>
      <c r="G2734" s="373"/>
      <c r="H2734" s="373"/>
      <c r="I2734" s="373"/>
    </row>
    <row r="2735" spans="2:14" ht="17.25" customHeight="1" thickBot="1" x14ac:dyDescent="0.3">
      <c r="B2735" s="390" t="s">
        <v>297</v>
      </c>
      <c r="C2735" s="391"/>
      <c r="D2735" s="392"/>
      <c r="E2735" s="393"/>
      <c r="F2735" s="393"/>
      <c r="G2735" s="394"/>
      <c r="H2735" s="127" t="s">
        <v>298</v>
      </c>
      <c r="I2735" s="128"/>
    </row>
    <row r="2736" spans="2:14" ht="6" customHeight="1" thickBot="1" x14ac:dyDescent="0.3">
      <c r="B2736" s="373"/>
      <c r="C2736" s="373"/>
      <c r="D2736" s="373"/>
      <c r="E2736" s="373"/>
      <c r="F2736" s="373"/>
      <c r="G2736" s="373"/>
      <c r="H2736" s="373"/>
      <c r="I2736" s="373"/>
    </row>
    <row r="2737" spans="2:14" ht="19.5" customHeight="1" x14ac:dyDescent="0.25">
      <c r="B2737" s="261" t="s">
        <v>299</v>
      </c>
      <c r="C2737" s="129" t="s">
        <v>300</v>
      </c>
      <c r="D2737" s="130" t="s">
        <v>301</v>
      </c>
      <c r="E2737" s="130" t="s">
        <v>302</v>
      </c>
      <c r="F2737" s="398" t="s">
        <v>303</v>
      </c>
      <c r="G2737" s="399"/>
      <c r="H2737" s="400"/>
      <c r="I2737" s="131" t="s">
        <v>304</v>
      </c>
    </row>
    <row r="2738" spans="2:14" ht="11.25" customHeight="1" x14ac:dyDescent="0.25">
      <c r="B2738" s="262"/>
      <c r="C2738" s="132"/>
      <c r="D2738" s="132" t="s">
        <v>305</v>
      </c>
      <c r="E2738" s="132" t="s">
        <v>306</v>
      </c>
      <c r="F2738" s="395" t="s">
        <v>339</v>
      </c>
      <c r="G2738" s="396"/>
      <c r="H2738" s="397"/>
      <c r="I2738" s="133"/>
    </row>
    <row r="2739" spans="2:14" ht="28.5" customHeight="1" x14ac:dyDescent="0.25">
      <c r="B2739" s="263" t="s">
        <v>307</v>
      </c>
      <c r="C2739" s="383" t="s">
        <v>414</v>
      </c>
      <c r="D2739" s="384"/>
      <c r="E2739" s="384"/>
      <c r="F2739" s="384"/>
      <c r="G2739" s="384"/>
      <c r="H2739" s="384"/>
      <c r="I2739" s="385"/>
    </row>
    <row r="2740" spans="2:14" ht="10.5" customHeight="1" x14ac:dyDescent="0.25">
      <c r="B2740" s="264" t="s">
        <v>129</v>
      </c>
      <c r="C2740" s="388" t="s">
        <v>308</v>
      </c>
      <c r="D2740" s="389"/>
      <c r="E2740" s="389"/>
      <c r="F2740" s="389"/>
      <c r="G2740" s="389"/>
      <c r="H2740" s="389"/>
      <c r="I2740" s="134" t="s">
        <v>130</v>
      </c>
    </row>
    <row r="2741" spans="2:14" ht="50.25" customHeight="1" thickBot="1" x14ac:dyDescent="0.3">
      <c r="B2741" s="265">
        <v>8.1199999999999974</v>
      </c>
      <c r="C2741" s="386" t="s">
        <v>605</v>
      </c>
      <c r="D2741" s="387"/>
      <c r="E2741" s="387"/>
      <c r="F2741" s="387"/>
      <c r="G2741" s="387"/>
      <c r="H2741" s="387"/>
      <c r="I2741" s="135" t="s">
        <v>27</v>
      </c>
    </row>
    <row r="2742" spans="2:14" ht="6" customHeight="1" thickBot="1" x14ac:dyDescent="0.3">
      <c r="B2742" s="373"/>
      <c r="C2742" s="373"/>
      <c r="D2742" s="373"/>
      <c r="E2742" s="373"/>
      <c r="F2742" s="373"/>
      <c r="G2742" s="373"/>
      <c r="H2742" s="373"/>
      <c r="I2742" s="373"/>
    </row>
    <row r="2743" spans="2:14" x14ac:dyDescent="0.25">
      <c r="B2743" s="380" t="s">
        <v>309</v>
      </c>
      <c r="C2743" s="381"/>
      <c r="D2743" s="381"/>
      <c r="E2743" s="381"/>
      <c r="F2743" s="381"/>
      <c r="G2743" s="381"/>
      <c r="H2743" s="381"/>
      <c r="I2743" s="382"/>
      <c r="K2743" s="182"/>
    </row>
    <row r="2744" spans="2:14" ht="11.25" customHeight="1" x14ac:dyDescent="0.25">
      <c r="B2744" s="377" t="s">
        <v>310</v>
      </c>
      <c r="C2744" s="378"/>
      <c r="D2744" s="379"/>
      <c r="E2744" s="136"/>
      <c r="F2744" s="137" t="s">
        <v>311</v>
      </c>
      <c r="G2744" s="137" t="s">
        <v>312</v>
      </c>
      <c r="H2744" s="137" t="s">
        <v>313</v>
      </c>
      <c r="I2744" s="138" t="s">
        <v>314</v>
      </c>
      <c r="L2744" s="139"/>
      <c r="M2744" s="139"/>
    </row>
    <row r="2745" spans="2:14" ht="11.25" customHeight="1" x14ac:dyDescent="0.25">
      <c r="B2745" s="362" t="s">
        <v>315</v>
      </c>
      <c r="C2745" s="363"/>
      <c r="D2745" s="363"/>
      <c r="E2745" s="160"/>
      <c r="F2745" s="161" t="s">
        <v>316</v>
      </c>
      <c r="G2745" s="160">
        <v>5000</v>
      </c>
      <c r="H2745" s="142">
        <v>1.5</v>
      </c>
      <c r="I2745" s="143">
        <f>G2745*H2745</f>
        <v>7500</v>
      </c>
    </row>
    <row r="2746" spans="2:14" ht="16.5" customHeight="1" x14ac:dyDescent="0.25">
      <c r="B2746" s="362" t="s">
        <v>355</v>
      </c>
      <c r="C2746" s="363"/>
      <c r="D2746" s="363"/>
      <c r="E2746" s="160"/>
      <c r="F2746" s="161" t="s">
        <v>317</v>
      </c>
      <c r="G2746" s="160">
        <v>90000</v>
      </c>
      <c r="H2746" s="142">
        <f>+H2745</f>
        <v>1.5</v>
      </c>
      <c r="I2746" s="143">
        <f>G2746*H2746</f>
        <v>135000</v>
      </c>
    </row>
    <row r="2747" spans="2:14" ht="10.5" customHeight="1" thickBot="1" x14ac:dyDescent="0.3">
      <c r="B2747" s="371" t="s">
        <v>318</v>
      </c>
      <c r="C2747" s="372"/>
      <c r="D2747" s="372"/>
      <c r="E2747" s="372"/>
      <c r="F2747" s="372"/>
      <c r="G2747" s="372"/>
      <c r="H2747" s="372"/>
      <c r="I2747" s="144">
        <f>SUM(I2745:I2746)</f>
        <v>142500</v>
      </c>
      <c r="N2747" s="150"/>
    </row>
    <row r="2748" spans="2:14" ht="6" customHeight="1" thickBot="1" x14ac:dyDescent="0.3">
      <c r="B2748" s="373"/>
      <c r="C2748" s="373"/>
      <c r="D2748" s="373"/>
      <c r="E2748" s="373"/>
      <c r="F2748" s="373"/>
      <c r="G2748" s="373"/>
      <c r="H2748" s="373"/>
      <c r="I2748" s="373"/>
    </row>
    <row r="2749" spans="2:14" s="145" customFormat="1" x14ac:dyDescent="0.25">
      <c r="B2749" s="380" t="s">
        <v>319</v>
      </c>
      <c r="C2749" s="381"/>
      <c r="D2749" s="381"/>
      <c r="E2749" s="381"/>
      <c r="F2749" s="381"/>
      <c r="G2749" s="381"/>
      <c r="H2749" s="381"/>
      <c r="I2749" s="382"/>
    </row>
    <row r="2750" spans="2:14" s="145" customFormat="1" ht="15.75" customHeight="1" x14ac:dyDescent="0.25">
      <c r="B2750" s="377" t="s">
        <v>310</v>
      </c>
      <c r="C2750" s="378"/>
      <c r="D2750" s="379"/>
      <c r="E2750" s="137"/>
      <c r="F2750" s="137" t="s">
        <v>320</v>
      </c>
      <c r="G2750" s="137" t="s">
        <v>321</v>
      </c>
      <c r="H2750" s="137" t="s">
        <v>322</v>
      </c>
      <c r="I2750" s="138" t="s">
        <v>314</v>
      </c>
    </row>
    <row r="2751" spans="2:14" ht="72.75" customHeight="1" x14ac:dyDescent="0.25">
      <c r="B2751" s="436" t="s">
        <v>605</v>
      </c>
      <c r="C2751" s="437"/>
      <c r="D2751" s="438"/>
      <c r="E2751" s="163"/>
      <c r="F2751" s="161" t="s">
        <v>27</v>
      </c>
      <c r="G2751" s="160">
        <f>1189923+3062272+1673635-5059078+1+1165487+5155870</f>
        <v>7188110</v>
      </c>
      <c r="H2751" s="142">
        <v>1</v>
      </c>
      <c r="I2751" s="143">
        <f>G2751*H2751</f>
        <v>7188110</v>
      </c>
      <c r="M2751">
        <v>4608265</v>
      </c>
    </row>
    <row r="2752" spans="2:14" ht="18" customHeight="1" thickBot="1" x14ac:dyDescent="0.3">
      <c r="B2752" s="371" t="s">
        <v>318</v>
      </c>
      <c r="C2752" s="372"/>
      <c r="D2752" s="372"/>
      <c r="E2752" s="372"/>
      <c r="F2752" s="372"/>
      <c r="G2752" s="372"/>
      <c r="H2752" s="372"/>
      <c r="I2752" s="144">
        <f>SUM(I2751:I2751)</f>
        <v>7188110</v>
      </c>
      <c r="N2752" s="150"/>
    </row>
    <row r="2753" spans="2:15" ht="6" customHeight="1" thickBot="1" x14ac:dyDescent="0.3">
      <c r="B2753" s="373"/>
      <c r="C2753" s="373"/>
      <c r="D2753" s="373"/>
      <c r="E2753" s="373"/>
      <c r="F2753" s="373"/>
      <c r="G2753" s="373"/>
      <c r="H2753" s="373"/>
      <c r="I2753" s="373"/>
    </row>
    <row r="2754" spans="2:15" s="145" customFormat="1" x14ac:dyDescent="0.25">
      <c r="B2754" s="380" t="s">
        <v>323</v>
      </c>
      <c r="C2754" s="381"/>
      <c r="D2754" s="381"/>
      <c r="E2754" s="381"/>
      <c r="F2754" s="381"/>
      <c r="G2754" s="381"/>
      <c r="H2754" s="381"/>
      <c r="I2754" s="382"/>
      <c r="K2754" s="147">
        <f>+K2755-I2766</f>
        <v>0</v>
      </c>
      <c r="L2754" s="146"/>
      <c r="M2754" s="146"/>
    </row>
    <row r="2755" spans="2:15" s="145" customFormat="1" x14ac:dyDescent="0.25">
      <c r="B2755" s="377" t="s">
        <v>324</v>
      </c>
      <c r="C2755" s="378"/>
      <c r="D2755" s="379"/>
      <c r="E2755" s="137" t="s">
        <v>325</v>
      </c>
      <c r="F2755" s="137" t="s">
        <v>326</v>
      </c>
      <c r="G2755" s="137" t="s">
        <v>130</v>
      </c>
      <c r="H2755" s="137" t="s">
        <v>327</v>
      </c>
      <c r="I2755" s="138" t="s">
        <v>314</v>
      </c>
      <c r="K2755" s="260">
        <v>8293110</v>
      </c>
      <c r="N2755" s="183"/>
      <c r="O2755" s="148"/>
    </row>
    <row r="2756" spans="2:15" ht="11.25" customHeight="1" x14ac:dyDescent="0.25">
      <c r="B2756" s="362" t="s">
        <v>711</v>
      </c>
      <c r="C2756" s="363"/>
      <c r="D2756" s="363"/>
      <c r="E2756" s="170">
        <v>1</v>
      </c>
      <c r="F2756" s="164"/>
      <c r="G2756" s="161"/>
      <c r="H2756" s="162">
        <v>40000</v>
      </c>
      <c r="I2756" s="143">
        <f>H2756*E2756</f>
        <v>40000</v>
      </c>
      <c r="K2756" s="281"/>
    </row>
    <row r="2757" spans="2:15" ht="10.5" customHeight="1" thickBot="1" x14ac:dyDescent="0.3">
      <c r="B2757" s="371" t="s">
        <v>318</v>
      </c>
      <c r="C2757" s="372"/>
      <c r="D2757" s="372"/>
      <c r="E2757" s="372"/>
      <c r="F2757" s="372"/>
      <c r="G2757" s="372"/>
      <c r="H2757" s="372"/>
      <c r="I2757" s="144">
        <f>SUM(I2756:I2756)</f>
        <v>40000</v>
      </c>
      <c r="K2757" s="281"/>
      <c r="N2757" s="150"/>
    </row>
    <row r="2758" spans="2:15" ht="6" customHeight="1" thickBot="1" x14ac:dyDescent="0.3">
      <c r="B2758" s="373"/>
      <c r="C2758" s="373"/>
      <c r="D2758" s="373"/>
      <c r="E2758" s="373"/>
      <c r="F2758" s="373"/>
      <c r="G2758" s="373"/>
      <c r="H2758" s="373"/>
      <c r="I2758" s="373"/>
    </row>
    <row r="2759" spans="2:15" s="145" customFormat="1" ht="20.100000000000001" customHeight="1" x14ac:dyDescent="0.25">
      <c r="B2759" s="380" t="s">
        <v>328</v>
      </c>
      <c r="C2759" s="381"/>
      <c r="D2759" s="381"/>
      <c r="E2759" s="381"/>
      <c r="F2759" s="381"/>
      <c r="G2759" s="381"/>
      <c r="H2759" s="381"/>
      <c r="I2759" s="382"/>
      <c r="K2759" s="147"/>
      <c r="N2759" s="148"/>
      <c r="O2759" s="149"/>
    </row>
    <row r="2760" spans="2:15" s="145" customFormat="1" ht="20.100000000000001" customHeight="1" x14ac:dyDescent="0.25">
      <c r="B2760" s="377" t="s">
        <v>329</v>
      </c>
      <c r="C2760" s="379"/>
      <c r="D2760" s="137" t="s">
        <v>322</v>
      </c>
      <c r="E2760" s="137" t="s">
        <v>330</v>
      </c>
      <c r="F2760" s="137" t="s">
        <v>331</v>
      </c>
      <c r="G2760" s="137" t="s">
        <v>332</v>
      </c>
      <c r="H2760" s="137" t="s">
        <v>313</v>
      </c>
      <c r="I2760" s="138" t="s">
        <v>314</v>
      </c>
      <c r="K2760" s="147"/>
      <c r="O2760" s="179"/>
    </row>
    <row r="2761" spans="2:15" s="151" customFormat="1" ht="9.75" customHeight="1" x14ac:dyDescent="0.25">
      <c r="B2761" s="367" t="s">
        <v>356</v>
      </c>
      <c r="C2761" s="368"/>
      <c r="D2761" s="180">
        <v>1</v>
      </c>
      <c r="E2761" s="141">
        <v>140000</v>
      </c>
      <c r="F2761" s="141">
        <f>+E2761*0.8</f>
        <v>112000</v>
      </c>
      <c r="G2761" s="178">
        <f>D2761*E2761+F2761*D2761</f>
        <v>252000</v>
      </c>
      <c r="H2761" s="184">
        <v>0.8</v>
      </c>
      <c r="I2761" s="143">
        <f>+G2761/H2761</f>
        <v>315000</v>
      </c>
      <c r="J2761" s="145"/>
      <c r="K2761" s="147"/>
    </row>
    <row r="2762" spans="2:15" s="151" customFormat="1" ht="11.25" customHeight="1" x14ac:dyDescent="0.25">
      <c r="B2762" s="367" t="s">
        <v>374</v>
      </c>
      <c r="C2762" s="368"/>
      <c r="D2762" s="180">
        <v>2</v>
      </c>
      <c r="E2762" s="141">
        <v>80000</v>
      </c>
      <c r="F2762" s="141">
        <f>+E2762*0.8</f>
        <v>64000</v>
      </c>
      <c r="G2762" s="178">
        <f>D2762*E2762+F2762*D2762</f>
        <v>288000</v>
      </c>
      <c r="H2762" s="184">
        <f>+H2761</f>
        <v>0.8</v>
      </c>
      <c r="I2762" s="143">
        <f>+G2762/H2762</f>
        <v>360000</v>
      </c>
      <c r="J2762" s="145"/>
      <c r="K2762" s="147"/>
      <c r="L2762" s="179"/>
      <c r="M2762" s="179"/>
    </row>
    <row r="2763" spans="2:15" s="145" customFormat="1" ht="10.5" customHeight="1" x14ac:dyDescent="0.25">
      <c r="B2763" s="367" t="s">
        <v>333</v>
      </c>
      <c r="C2763" s="368"/>
      <c r="D2763" s="180">
        <v>2</v>
      </c>
      <c r="E2763" s="141">
        <v>55000</v>
      </c>
      <c r="F2763" s="141">
        <f>+E2763*0.8</f>
        <v>44000</v>
      </c>
      <c r="G2763" s="178">
        <f>D2763*E2763+F2763*D2763</f>
        <v>198000</v>
      </c>
      <c r="H2763" s="184">
        <f>+H2762</f>
        <v>0.8</v>
      </c>
      <c r="I2763" s="143">
        <f>+G2763/H2763</f>
        <v>247500</v>
      </c>
      <c r="K2763" s="147"/>
    </row>
    <row r="2764" spans="2:15" ht="10.5" customHeight="1" thickBot="1" x14ac:dyDescent="0.3">
      <c r="B2764" s="371" t="s">
        <v>318</v>
      </c>
      <c r="C2764" s="372"/>
      <c r="D2764" s="372"/>
      <c r="E2764" s="372"/>
      <c r="F2764" s="372"/>
      <c r="G2764" s="372"/>
      <c r="H2764" s="372"/>
      <c r="I2764" s="144">
        <f>SUM(I2761:I2763)</f>
        <v>922500</v>
      </c>
      <c r="K2764" s="281"/>
      <c r="N2764" s="150"/>
    </row>
    <row r="2765" spans="2:15" ht="6" customHeight="1" thickBot="1" x14ac:dyDescent="0.3">
      <c r="B2765" s="373"/>
      <c r="C2765" s="373"/>
      <c r="D2765" s="373"/>
      <c r="E2765" s="373"/>
      <c r="F2765" s="373"/>
      <c r="G2765" s="373"/>
      <c r="H2765" s="373"/>
      <c r="I2765" s="373"/>
    </row>
    <row r="2766" spans="2:15" ht="10.5" customHeight="1" thickBot="1" x14ac:dyDescent="0.3">
      <c r="B2766" s="374" t="s">
        <v>334</v>
      </c>
      <c r="C2766" s="375"/>
      <c r="D2766" s="375"/>
      <c r="E2766" s="375"/>
      <c r="F2766" s="375"/>
      <c r="G2766" s="375"/>
      <c r="H2766" s="376"/>
      <c r="I2766" s="152">
        <f>ROUND(+I2747+I2752+I2757+I2764,0)</f>
        <v>8293110</v>
      </c>
      <c r="J2766" s="281"/>
      <c r="K2766" s="169"/>
      <c r="L2766" s="181"/>
      <c r="M2766" s="181"/>
      <c r="N2766" s="153"/>
    </row>
    <row r="2767" spans="2:15" ht="6" customHeight="1" thickBot="1" x14ac:dyDescent="0.3">
      <c r="B2767" s="373"/>
      <c r="C2767" s="373"/>
      <c r="D2767" s="373"/>
      <c r="E2767" s="373"/>
      <c r="F2767" s="373"/>
      <c r="G2767" s="373"/>
      <c r="H2767" s="373"/>
      <c r="I2767" s="373"/>
    </row>
    <row r="2768" spans="2:15" ht="8.25" customHeight="1" x14ac:dyDescent="0.25">
      <c r="B2768" s="433" t="s">
        <v>335</v>
      </c>
      <c r="C2768" s="417"/>
      <c r="D2768" s="418"/>
      <c r="E2768" s="418"/>
      <c r="F2768" s="419"/>
      <c r="G2768" s="369" t="s">
        <v>336</v>
      </c>
      <c r="H2768" s="370"/>
      <c r="I2768" s="370"/>
    </row>
    <row r="2769" spans="2:14" ht="33.75" customHeight="1" x14ac:dyDescent="0.25">
      <c r="B2769" s="434"/>
      <c r="C2769" s="420"/>
      <c r="D2769" s="421"/>
      <c r="E2769" s="421"/>
      <c r="F2769" s="422"/>
      <c r="G2769" s="430" t="s">
        <v>337</v>
      </c>
      <c r="H2769" s="431"/>
      <c r="I2769" s="431"/>
      <c r="L2769" s="181"/>
      <c r="M2769" s="181"/>
      <c r="N2769" s="179"/>
    </row>
    <row r="2770" spans="2:14" ht="13.5" customHeight="1" x14ac:dyDescent="0.25">
      <c r="B2770" s="434"/>
      <c r="C2770" s="420"/>
      <c r="D2770" s="421"/>
      <c r="E2770" s="421"/>
      <c r="F2770" s="422"/>
      <c r="G2770" s="154" t="s">
        <v>92</v>
      </c>
      <c r="H2770" s="432" t="s">
        <v>93</v>
      </c>
      <c r="I2770" s="432"/>
    </row>
    <row r="2771" spans="2:14" ht="16.5" customHeight="1" x14ac:dyDescent="0.25">
      <c r="B2771" s="435"/>
      <c r="C2771" s="420"/>
      <c r="D2771" s="421"/>
      <c r="E2771" s="421"/>
      <c r="F2771" s="422"/>
      <c r="G2771" s="155" t="s">
        <v>94</v>
      </c>
      <c r="H2771" s="156" t="s">
        <v>95</v>
      </c>
      <c r="I2771" s="157" t="s">
        <v>96</v>
      </c>
    </row>
    <row r="2772" spans="2:14" x14ac:dyDescent="0.25">
      <c r="B2772" s="268" t="s">
        <v>18</v>
      </c>
      <c r="C2772" s="427"/>
      <c r="D2772" s="428"/>
      <c r="E2772" s="428"/>
      <c r="F2772" s="429"/>
      <c r="G2772" s="155" t="s">
        <v>98</v>
      </c>
      <c r="H2772" s="157" t="s">
        <v>99</v>
      </c>
      <c r="I2772" s="157" t="s">
        <v>100</v>
      </c>
    </row>
    <row r="2773" spans="2:14" x14ac:dyDescent="0.25">
      <c r="B2773" s="269" t="s">
        <v>97</v>
      </c>
      <c r="C2773" s="427"/>
      <c r="D2773" s="428"/>
      <c r="E2773" s="428"/>
      <c r="F2773" s="429"/>
      <c r="G2773" s="154" t="s">
        <v>338</v>
      </c>
      <c r="H2773" s="426"/>
      <c r="I2773" s="426"/>
    </row>
    <row r="2774" spans="2:14" ht="15.75" thickBot="1" x14ac:dyDescent="0.3">
      <c r="B2774" s="270" t="s">
        <v>101</v>
      </c>
      <c r="C2774" s="423"/>
      <c r="D2774" s="424"/>
      <c r="E2774" s="424"/>
      <c r="F2774" s="425"/>
      <c r="G2774" s="154" t="s">
        <v>102</v>
      </c>
      <c r="H2774" s="426" t="s">
        <v>103</v>
      </c>
      <c r="I2774" s="426"/>
    </row>
    <row r="2775" spans="2:14" ht="45" customHeight="1" thickBot="1" x14ac:dyDescent="0.3">
      <c r="B2775" s="401"/>
      <c r="C2775" s="402"/>
      <c r="D2775" s="402"/>
      <c r="E2775" s="402"/>
      <c r="F2775" s="403" t="s">
        <v>0</v>
      </c>
      <c r="G2775" s="403"/>
      <c r="H2775" s="403"/>
      <c r="I2775" s="404"/>
    </row>
    <row r="2776" spans="2:14" ht="6" customHeight="1" thickBot="1" x14ac:dyDescent="0.3">
      <c r="B2776" s="373"/>
      <c r="C2776" s="373"/>
      <c r="D2776" s="373"/>
      <c r="E2776" s="373"/>
      <c r="F2776" s="373"/>
      <c r="G2776" s="373"/>
      <c r="H2776" s="373"/>
      <c r="I2776" s="373"/>
    </row>
    <row r="2777" spans="2:14" ht="10.5" customHeight="1" x14ac:dyDescent="0.25">
      <c r="B2777" s="405" t="s">
        <v>294</v>
      </c>
      <c r="C2777" s="406"/>
      <c r="D2777" s="407" t="s">
        <v>295</v>
      </c>
      <c r="E2777" s="409" t="s">
        <v>296</v>
      </c>
      <c r="F2777" s="410"/>
      <c r="G2777" s="410"/>
      <c r="H2777" s="410"/>
      <c r="I2777" s="411"/>
    </row>
    <row r="2778" spans="2:14" ht="9" customHeight="1" thickBot="1" x14ac:dyDescent="0.3">
      <c r="B2778" s="415"/>
      <c r="C2778" s="416"/>
      <c r="D2778" s="408"/>
      <c r="E2778" s="412"/>
      <c r="F2778" s="413"/>
      <c r="G2778" s="413"/>
      <c r="H2778" s="413"/>
      <c r="I2778" s="414"/>
    </row>
    <row r="2779" spans="2:14" ht="6" customHeight="1" thickBot="1" x14ac:dyDescent="0.3">
      <c r="B2779" s="373"/>
      <c r="C2779" s="373"/>
      <c r="D2779" s="373"/>
      <c r="E2779" s="373"/>
      <c r="F2779" s="373"/>
      <c r="G2779" s="373"/>
      <c r="H2779" s="373"/>
      <c r="I2779" s="373"/>
    </row>
    <row r="2780" spans="2:14" ht="17.25" customHeight="1" thickBot="1" x14ac:dyDescent="0.3">
      <c r="B2780" s="390" t="s">
        <v>297</v>
      </c>
      <c r="C2780" s="391"/>
      <c r="D2780" s="392"/>
      <c r="E2780" s="393"/>
      <c r="F2780" s="393"/>
      <c r="G2780" s="394"/>
      <c r="H2780" s="127" t="s">
        <v>298</v>
      </c>
      <c r="I2780" s="128"/>
    </row>
    <row r="2781" spans="2:14" ht="6" customHeight="1" thickBot="1" x14ac:dyDescent="0.3">
      <c r="B2781" s="373"/>
      <c r="C2781" s="373"/>
      <c r="D2781" s="373"/>
      <c r="E2781" s="373"/>
      <c r="F2781" s="373"/>
      <c r="G2781" s="373"/>
      <c r="H2781" s="373"/>
      <c r="I2781" s="373"/>
    </row>
    <row r="2782" spans="2:14" ht="19.5" customHeight="1" x14ac:dyDescent="0.25">
      <c r="B2782" s="261" t="s">
        <v>299</v>
      </c>
      <c r="C2782" s="129" t="s">
        <v>300</v>
      </c>
      <c r="D2782" s="130" t="s">
        <v>301</v>
      </c>
      <c r="E2782" s="130" t="s">
        <v>302</v>
      </c>
      <c r="F2782" s="398" t="s">
        <v>303</v>
      </c>
      <c r="G2782" s="399"/>
      <c r="H2782" s="400"/>
      <c r="I2782" s="131" t="s">
        <v>304</v>
      </c>
    </row>
    <row r="2783" spans="2:14" ht="11.25" customHeight="1" x14ac:dyDescent="0.25">
      <c r="B2783" s="262"/>
      <c r="C2783" s="132"/>
      <c r="D2783" s="132" t="s">
        <v>305</v>
      </c>
      <c r="E2783" s="132" t="s">
        <v>306</v>
      </c>
      <c r="F2783" s="395" t="s">
        <v>339</v>
      </c>
      <c r="G2783" s="396"/>
      <c r="H2783" s="397"/>
      <c r="I2783" s="133"/>
    </row>
    <row r="2784" spans="2:14" ht="28.5" customHeight="1" x14ac:dyDescent="0.25">
      <c r="B2784" s="263" t="s">
        <v>307</v>
      </c>
      <c r="C2784" s="383" t="s">
        <v>414</v>
      </c>
      <c r="D2784" s="384"/>
      <c r="E2784" s="384"/>
      <c r="F2784" s="384"/>
      <c r="G2784" s="384"/>
      <c r="H2784" s="384"/>
      <c r="I2784" s="385"/>
    </row>
    <row r="2785" spans="2:15" ht="10.5" customHeight="1" x14ac:dyDescent="0.25">
      <c r="B2785" s="264" t="s">
        <v>129</v>
      </c>
      <c r="C2785" s="388" t="s">
        <v>308</v>
      </c>
      <c r="D2785" s="389"/>
      <c r="E2785" s="389"/>
      <c r="F2785" s="389"/>
      <c r="G2785" s="389"/>
      <c r="H2785" s="389"/>
      <c r="I2785" s="134" t="s">
        <v>130</v>
      </c>
    </row>
    <row r="2786" spans="2:15" ht="50.25" customHeight="1" thickBot="1" x14ac:dyDescent="0.3">
      <c r="B2786" s="265">
        <v>8.1299999999999972</v>
      </c>
      <c r="C2786" s="386" t="s">
        <v>606</v>
      </c>
      <c r="D2786" s="387"/>
      <c r="E2786" s="387"/>
      <c r="F2786" s="387"/>
      <c r="G2786" s="387"/>
      <c r="H2786" s="387"/>
      <c r="I2786" s="135" t="s">
        <v>27</v>
      </c>
    </row>
    <row r="2787" spans="2:15" ht="6" customHeight="1" thickBot="1" x14ac:dyDescent="0.3">
      <c r="B2787" s="373"/>
      <c r="C2787" s="373"/>
      <c r="D2787" s="373"/>
      <c r="E2787" s="373"/>
      <c r="F2787" s="373"/>
      <c r="G2787" s="373"/>
      <c r="H2787" s="373"/>
      <c r="I2787" s="373"/>
    </row>
    <row r="2788" spans="2:15" x14ac:dyDescent="0.25">
      <c r="B2788" s="380" t="s">
        <v>309</v>
      </c>
      <c r="C2788" s="381"/>
      <c r="D2788" s="381"/>
      <c r="E2788" s="381"/>
      <c r="F2788" s="381"/>
      <c r="G2788" s="381"/>
      <c r="H2788" s="381"/>
      <c r="I2788" s="382"/>
      <c r="K2788" s="182"/>
    </row>
    <row r="2789" spans="2:15" ht="11.25" customHeight="1" x14ac:dyDescent="0.25">
      <c r="B2789" s="377" t="s">
        <v>310</v>
      </c>
      <c r="C2789" s="378"/>
      <c r="D2789" s="379"/>
      <c r="E2789" s="136"/>
      <c r="F2789" s="137" t="s">
        <v>311</v>
      </c>
      <c r="G2789" s="137" t="s">
        <v>312</v>
      </c>
      <c r="H2789" s="137" t="s">
        <v>313</v>
      </c>
      <c r="I2789" s="138" t="s">
        <v>314</v>
      </c>
      <c r="L2789" s="139"/>
      <c r="M2789" s="139"/>
    </row>
    <row r="2790" spans="2:15" ht="11.25" customHeight="1" x14ac:dyDescent="0.25">
      <c r="B2790" s="362" t="s">
        <v>315</v>
      </c>
      <c r="C2790" s="363"/>
      <c r="D2790" s="363"/>
      <c r="E2790" s="160"/>
      <c r="F2790" s="161" t="s">
        <v>316</v>
      </c>
      <c r="G2790" s="160">
        <v>5000</v>
      </c>
      <c r="H2790" s="142">
        <v>0.9</v>
      </c>
      <c r="I2790" s="143">
        <f>G2790*H2790</f>
        <v>4500</v>
      </c>
    </row>
    <row r="2791" spans="2:15" ht="16.5" customHeight="1" x14ac:dyDescent="0.25">
      <c r="B2791" s="362" t="s">
        <v>355</v>
      </c>
      <c r="C2791" s="363"/>
      <c r="D2791" s="363"/>
      <c r="E2791" s="160"/>
      <c r="F2791" s="161" t="s">
        <v>317</v>
      </c>
      <c r="G2791" s="160">
        <v>90000</v>
      </c>
      <c r="H2791" s="142">
        <f>+H2790</f>
        <v>0.9</v>
      </c>
      <c r="I2791" s="143">
        <f>G2791*H2791</f>
        <v>81000</v>
      </c>
    </row>
    <row r="2792" spans="2:15" ht="10.5" customHeight="1" thickBot="1" x14ac:dyDescent="0.3">
      <c r="B2792" s="371" t="s">
        <v>318</v>
      </c>
      <c r="C2792" s="372"/>
      <c r="D2792" s="372"/>
      <c r="E2792" s="372"/>
      <c r="F2792" s="372"/>
      <c r="G2792" s="372"/>
      <c r="H2792" s="372"/>
      <c r="I2792" s="144">
        <f>SUM(I2790:I2791)</f>
        <v>85500</v>
      </c>
      <c r="N2792" s="150"/>
    </row>
    <row r="2793" spans="2:15" ht="6" customHeight="1" thickBot="1" x14ac:dyDescent="0.3">
      <c r="B2793" s="373"/>
      <c r="C2793" s="373"/>
      <c r="D2793" s="373"/>
      <c r="E2793" s="373"/>
      <c r="F2793" s="373"/>
      <c r="G2793" s="373"/>
      <c r="H2793" s="373"/>
      <c r="I2793" s="373"/>
    </row>
    <row r="2794" spans="2:15" s="145" customFormat="1" x14ac:dyDescent="0.25">
      <c r="B2794" s="380" t="s">
        <v>319</v>
      </c>
      <c r="C2794" s="381"/>
      <c r="D2794" s="381"/>
      <c r="E2794" s="381"/>
      <c r="F2794" s="381"/>
      <c r="G2794" s="381"/>
      <c r="H2794" s="381"/>
      <c r="I2794" s="382"/>
    </row>
    <row r="2795" spans="2:15" s="145" customFormat="1" ht="15.75" customHeight="1" x14ac:dyDescent="0.25">
      <c r="B2795" s="377" t="s">
        <v>310</v>
      </c>
      <c r="C2795" s="378"/>
      <c r="D2795" s="379"/>
      <c r="E2795" s="137"/>
      <c r="F2795" s="137" t="s">
        <v>320</v>
      </c>
      <c r="G2795" s="137" t="s">
        <v>321</v>
      </c>
      <c r="H2795" s="137" t="s">
        <v>322</v>
      </c>
      <c r="I2795" s="138" t="s">
        <v>314</v>
      </c>
    </row>
    <row r="2796" spans="2:15" ht="72.75" customHeight="1" x14ac:dyDescent="0.25">
      <c r="B2796" s="436" t="s">
        <v>606</v>
      </c>
      <c r="C2796" s="437"/>
      <c r="D2796" s="438"/>
      <c r="E2796" s="163"/>
      <c r="F2796" s="161" t="s">
        <v>27</v>
      </c>
      <c r="G2796" s="160">
        <f>1189923+3062272+1673635-5059078+1+1165487+2350240</f>
        <v>4382480</v>
      </c>
      <c r="H2796" s="142">
        <v>1</v>
      </c>
      <c r="I2796" s="143">
        <f>G2796*H2796</f>
        <v>4382480</v>
      </c>
    </row>
    <row r="2797" spans="2:15" ht="18" customHeight="1" thickBot="1" x14ac:dyDescent="0.3">
      <c r="B2797" s="371" t="s">
        <v>318</v>
      </c>
      <c r="C2797" s="372"/>
      <c r="D2797" s="372"/>
      <c r="E2797" s="372"/>
      <c r="F2797" s="372"/>
      <c r="G2797" s="372"/>
      <c r="H2797" s="372"/>
      <c r="I2797" s="144">
        <f>SUM(I2796:I2796)</f>
        <v>4382480</v>
      </c>
      <c r="N2797" s="150"/>
    </row>
    <row r="2798" spans="2:15" ht="6" customHeight="1" thickBot="1" x14ac:dyDescent="0.3">
      <c r="B2798" s="373"/>
      <c r="C2798" s="373"/>
      <c r="D2798" s="373"/>
      <c r="E2798" s="373"/>
      <c r="F2798" s="373"/>
      <c r="G2798" s="373"/>
      <c r="H2798" s="373"/>
      <c r="I2798" s="373"/>
    </row>
    <row r="2799" spans="2:15" s="145" customFormat="1" x14ac:dyDescent="0.25">
      <c r="B2799" s="380" t="s">
        <v>323</v>
      </c>
      <c r="C2799" s="381"/>
      <c r="D2799" s="381"/>
      <c r="E2799" s="381"/>
      <c r="F2799" s="381"/>
      <c r="G2799" s="381"/>
      <c r="H2799" s="381"/>
      <c r="I2799" s="382"/>
      <c r="L2799" s="146"/>
      <c r="M2799" s="146"/>
    </row>
    <row r="2800" spans="2:15" s="145" customFormat="1" x14ac:dyDescent="0.25">
      <c r="B2800" s="377" t="s">
        <v>324</v>
      </c>
      <c r="C2800" s="378"/>
      <c r="D2800" s="379"/>
      <c r="E2800" s="137" t="s">
        <v>325</v>
      </c>
      <c r="F2800" s="137" t="s">
        <v>326</v>
      </c>
      <c r="G2800" s="137" t="s">
        <v>130</v>
      </c>
      <c r="H2800" s="137" t="s">
        <v>327</v>
      </c>
      <c r="I2800" s="138" t="s">
        <v>314</v>
      </c>
      <c r="K2800" s="260"/>
      <c r="N2800" s="183"/>
      <c r="O2800" s="148"/>
    </row>
    <row r="2801" spans="2:15" ht="11.25" customHeight="1" x14ac:dyDescent="0.25">
      <c r="B2801" s="362" t="s">
        <v>711</v>
      </c>
      <c r="C2801" s="363"/>
      <c r="D2801" s="363"/>
      <c r="E2801" s="170">
        <v>1</v>
      </c>
      <c r="F2801" s="164"/>
      <c r="G2801" s="161"/>
      <c r="H2801" s="162">
        <v>40000</v>
      </c>
      <c r="I2801" s="143">
        <f>H2801*E2801</f>
        <v>40000</v>
      </c>
      <c r="K2801" s="281"/>
    </row>
    <row r="2802" spans="2:15" ht="10.5" customHeight="1" thickBot="1" x14ac:dyDescent="0.3">
      <c r="B2802" s="371" t="s">
        <v>318</v>
      </c>
      <c r="C2802" s="372"/>
      <c r="D2802" s="372"/>
      <c r="E2802" s="372"/>
      <c r="F2802" s="372"/>
      <c r="G2802" s="372"/>
      <c r="H2802" s="372"/>
      <c r="I2802" s="144">
        <f>SUM(I2801:I2801)</f>
        <v>40000</v>
      </c>
      <c r="K2802" s="281"/>
      <c r="N2802" s="150"/>
    </row>
    <row r="2803" spans="2:15" ht="6" customHeight="1" thickBot="1" x14ac:dyDescent="0.3">
      <c r="B2803" s="373"/>
      <c r="C2803" s="373"/>
      <c r="D2803" s="373"/>
      <c r="E2803" s="373"/>
      <c r="F2803" s="373"/>
      <c r="G2803" s="373"/>
      <c r="H2803" s="373"/>
      <c r="I2803" s="373"/>
    </row>
    <row r="2804" spans="2:15" s="145" customFormat="1" ht="20.100000000000001" customHeight="1" x14ac:dyDescent="0.25">
      <c r="B2804" s="380" t="s">
        <v>328</v>
      </c>
      <c r="C2804" s="381"/>
      <c r="D2804" s="381"/>
      <c r="E2804" s="381"/>
      <c r="F2804" s="381"/>
      <c r="G2804" s="381"/>
      <c r="H2804" s="381"/>
      <c r="I2804" s="382"/>
      <c r="K2804" s="147"/>
      <c r="N2804" s="148"/>
      <c r="O2804" s="149"/>
    </row>
    <row r="2805" spans="2:15" s="145" customFormat="1" ht="20.100000000000001" customHeight="1" x14ac:dyDescent="0.25">
      <c r="B2805" s="377" t="s">
        <v>329</v>
      </c>
      <c r="C2805" s="379"/>
      <c r="D2805" s="137" t="s">
        <v>322</v>
      </c>
      <c r="E2805" s="137" t="s">
        <v>330</v>
      </c>
      <c r="F2805" s="137" t="s">
        <v>331</v>
      </c>
      <c r="G2805" s="137" t="s">
        <v>332</v>
      </c>
      <c r="H2805" s="137" t="s">
        <v>313</v>
      </c>
      <c r="I2805" s="138" t="s">
        <v>314</v>
      </c>
      <c r="K2805" s="147"/>
      <c r="O2805" s="179"/>
    </row>
    <row r="2806" spans="2:15" s="151" customFormat="1" ht="9.75" customHeight="1" x14ac:dyDescent="0.25">
      <c r="B2806" s="367" t="s">
        <v>356</v>
      </c>
      <c r="C2806" s="368"/>
      <c r="D2806" s="180">
        <v>1</v>
      </c>
      <c r="E2806" s="141">
        <v>140000</v>
      </c>
      <c r="F2806" s="141">
        <f>+E2806*0.8</f>
        <v>112000</v>
      </c>
      <c r="G2806" s="178">
        <f>D2806*E2806+F2806*D2806</f>
        <v>252000</v>
      </c>
      <c r="H2806" s="184">
        <v>1.1000000000000001</v>
      </c>
      <c r="I2806" s="143">
        <f>+G2806/H2806</f>
        <v>229090.90909090906</v>
      </c>
      <c r="J2806" s="145"/>
      <c r="K2806" s="147"/>
    </row>
    <row r="2807" spans="2:15" s="151" customFormat="1" ht="11.25" customHeight="1" x14ac:dyDescent="0.25">
      <c r="B2807" s="367" t="s">
        <v>374</v>
      </c>
      <c r="C2807" s="368"/>
      <c r="D2807" s="180">
        <v>1</v>
      </c>
      <c r="E2807" s="141">
        <v>80000</v>
      </c>
      <c r="F2807" s="141">
        <f>+E2807*0.8</f>
        <v>64000</v>
      </c>
      <c r="G2807" s="178">
        <f>D2807*E2807+F2807*D2807</f>
        <v>144000</v>
      </c>
      <c r="H2807" s="184">
        <f>+H2806</f>
        <v>1.1000000000000001</v>
      </c>
      <c r="I2807" s="143">
        <f>+G2807/H2807</f>
        <v>130909.0909090909</v>
      </c>
      <c r="J2807" s="145"/>
      <c r="K2807" s="147"/>
      <c r="L2807" s="179"/>
      <c r="M2807" s="179"/>
    </row>
    <row r="2808" spans="2:15" s="145" customFormat="1" ht="10.5" customHeight="1" x14ac:dyDescent="0.25">
      <c r="B2808" s="367" t="s">
        <v>333</v>
      </c>
      <c r="C2808" s="368"/>
      <c r="D2808" s="180">
        <v>2</v>
      </c>
      <c r="E2808" s="141">
        <v>55000</v>
      </c>
      <c r="F2808" s="141">
        <f>+E2808*0.8</f>
        <v>44000</v>
      </c>
      <c r="G2808" s="178">
        <f>D2808*E2808+F2808*D2808</f>
        <v>198000</v>
      </c>
      <c r="H2808" s="184">
        <f>+H2807</f>
        <v>1.1000000000000001</v>
      </c>
      <c r="I2808" s="143">
        <f>+G2808/H2808</f>
        <v>180000</v>
      </c>
      <c r="K2808" s="147"/>
    </row>
    <row r="2809" spans="2:15" ht="10.5" customHeight="1" thickBot="1" x14ac:dyDescent="0.3">
      <c r="B2809" s="371" t="s">
        <v>318</v>
      </c>
      <c r="C2809" s="372"/>
      <c r="D2809" s="372"/>
      <c r="E2809" s="372"/>
      <c r="F2809" s="372"/>
      <c r="G2809" s="372"/>
      <c r="H2809" s="372"/>
      <c r="I2809" s="144">
        <f>SUM(I2806:I2808)</f>
        <v>540000</v>
      </c>
      <c r="K2809" s="281"/>
      <c r="N2809" s="150"/>
    </row>
    <row r="2810" spans="2:15" ht="6" customHeight="1" thickBot="1" x14ac:dyDescent="0.3">
      <c r="B2810" s="373"/>
      <c r="C2810" s="373"/>
      <c r="D2810" s="373"/>
      <c r="E2810" s="373"/>
      <c r="F2810" s="373"/>
      <c r="G2810" s="373"/>
      <c r="H2810" s="373"/>
      <c r="I2810" s="373"/>
    </row>
    <row r="2811" spans="2:15" ht="10.5" customHeight="1" thickBot="1" x14ac:dyDescent="0.3">
      <c r="B2811" s="374" t="s">
        <v>334</v>
      </c>
      <c r="C2811" s="375"/>
      <c r="D2811" s="375"/>
      <c r="E2811" s="375"/>
      <c r="F2811" s="375"/>
      <c r="G2811" s="375"/>
      <c r="H2811" s="376"/>
      <c r="I2811" s="152">
        <f>ROUND(+I2792+I2797+I2802+I2809,0)</f>
        <v>5047980</v>
      </c>
      <c r="J2811" s="281"/>
      <c r="K2811" s="169"/>
      <c r="L2811" s="181"/>
      <c r="M2811" s="181"/>
      <c r="N2811" s="153"/>
    </row>
    <row r="2812" spans="2:15" ht="6" customHeight="1" thickBot="1" x14ac:dyDescent="0.3">
      <c r="B2812" s="373"/>
      <c r="C2812" s="373"/>
      <c r="D2812" s="373"/>
      <c r="E2812" s="373"/>
      <c r="F2812" s="373"/>
      <c r="G2812" s="373"/>
      <c r="H2812" s="373"/>
      <c r="I2812" s="373"/>
    </row>
    <row r="2813" spans="2:15" ht="8.25" customHeight="1" x14ac:dyDescent="0.25">
      <c r="B2813" s="433" t="s">
        <v>335</v>
      </c>
      <c r="C2813" s="417"/>
      <c r="D2813" s="418"/>
      <c r="E2813" s="418"/>
      <c r="F2813" s="419"/>
      <c r="G2813" s="369" t="s">
        <v>336</v>
      </c>
      <c r="H2813" s="370"/>
      <c r="I2813" s="370"/>
    </row>
    <row r="2814" spans="2:15" ht="33.75" customHeight="1" x14ac:dyDescent="0.25">
      <c r="B2814" s="434"/>
      <c r="C2814" s="420"/>
      <c r="D2814" s="421"/>
      <c r="E2814" s="421"/>
      <c r="F2814" s="422"/>
      <c r="G2814" s="430" t="s">
        <v>337</v>
      </c>
      <c r="H2814" s="431"/>
      <c r="I2814" s="431"/>
      <c r="L2814" s="181"/>
      <c r="M2814" s="181"/>
      <c r="N2814" s="179"/>
    </row>
    <row r="2815" spans="2:15" ht="13.5" customHeight="1" x14ac:dyDescent="0.25">
      <c r="B2815" s="434"/>
      <c r="C2815" s="420"/>
      <c r="D2815" s="421"/>
      <c r="E2815" s="421"/>
      <c r="F2815" s="422"/>
      <c r="G2815" s="154" t="s">
        <v>92</v>
      </c>
      <c r="H2815" s="432" t="s">
        <v>93</v>
      </c>
      <c r="I2815" s="432"/>
    </row>
    <row r="2816" spans="2:15" ht="16.5" customHeight="1" x14ac:dyDescent="0.25">
      <c r="B2816" s="435"/>
      <c r="C2816" s="420"/>
      <c r="D2816" s="421"/>
      <c r="E2816" s="421"/>
      <c r="F2816" s="422"/>
      <c r="G2816" s="155" t="s">
        <v>94</v>
      </c>
      <c r="H2816" s="156" t="s">
        <v>95</v>
      </c>
      <c r="I2816" s="157" t="s">
        <v>96</v>
      </c>
    </row>
    <row r="2817" spans="2:9" x14ac:dyDescent="0.25">
      <c r="B2817" s="268" t="s">
        <v>18</v>
      </c>
      <c r="C2817" s="427"/>
      <c r="D2817" s="428"/>
      <c r="E2817" s="428"/>
      <c r="F2817" s="429"/>
      <c r="G2817" s="155" t="s">
        <v>98</v>
      </c>
      <c r="H2817" s="157" t="s">
        <v>99</v>
      </c>
      <c r="I2817" s="157" t="s">
        <v>100</v>
      </c>
    </row>
    <row r="2818" spans="2:9" x14ac:dyDescent="0.25">
      <c r="B2818" s="269" t="s">
        <v>97</v>
      </c>
      <c r="C2818" s="427"/>
      <c r="D2818" s="428"/>
      <c r="E2818" s="428"/>
      <c r="F2818" s="429"/>
      <c r="G2818" s="154" t="s">
        <v>338</v>
      </c>
      <c r="H2818" s="426"/>
      <c r="I2818" s="426"/>
    </row>
    <row r="2819" spans="2:9" ht="15.75" thickBot="1" x14ac:dyDescent="0.3">
      <c r="B2819" s="270" t="s">
        <v>101</v>
      </c>
      <c r="C2819" s="423"/>
      <c r="D2819" s="424"/>
      <c r="E2819" s="424"/>
      <c r="F2819" s="425"/>
      <c r="G2819" s="154" t="s">
        <v>102</v>
      </c>
      <c r="H2819" s="426" t="s">
        <v>103</v>
      </c>
      <c r="I2819" s="426"/>
    </row>
    <row r="2820" spans="2:9" ht="45" customHeight="1" thickBot="1" x14ac:dyDescent="0.3">
      <c r="B2820" s="401"/>
      <c r="C2820" s="402"/>
      <c r="D2820" s="402"/>
      <c r="E2820" s="402"/>
      <c r="F2820" s="403" t="s">
        <v>0</v>
      </c>
      <c r="G2820" s="403"/>
      <c r="H2820" s="403"/>
      <c r="I2820" s="404"/>
    </row>
    <row r="2821" spans="2:9" ht="6" customHeight="1" thickBot="1" x14ac:dyDescent="0.3">
      <c r="B2821" s="373"/>
      <c r="C2821" s="373"/>
      <c r="D2821" s="373"/>
      <c r="E2821" s="373"/>
      <c r="F2821" s="373"/>
      <c r="G2821" s="373"/>
      <c r="H2821" s="373"/>
      <c r="I2821" s="373"/>
    </row>
    <row r="2822" spans="2:9" ht="10.5" customHeight="1" x14ac:dyDescent="0.25">
      <c r="B2822" s="405" t="s">
        <v>294</v>
      </c>
      <c r="C2822" s="406"/>
      <c r="D2822" s="407" t="s">
        <v>295</v>
      </c>
      <c r="E2822" s="409" t="s">
        <v>296</v>
      </c>
      <c r="F2822" s="410"/>
      <c r="G2822" s="410"/>
      <c r="H2822" s="410"/>
      <c r="I2822" s="411"/>
    </row>
    <row r="2823" spans="2:9" ht="9" customHeight="1" thickBot="1" x14ac:dyDescent="0.3">
      <c r="B2823" s="415"/>
      <c r="C2823" s="416"/>
      <c r="D2823" s="408"/>
      <c r="E2823" s="412"/>
      <c r="F2823" s="413"/>
      <c r="G2823" s="413"/>
      <c r="H2823" s="413"/>
      <c r="I2823" s="414"/>
    </row>
    <row r="2824" spans="2:9" ht="6" customHeight="1" thickBot="1" x14ac:dyDescent="0.3">
      <c r="B2824" s="373"/>
      <c r="C2824" s="373"/>
      <c r="D2824" s="373"/>
      <c r="E2824" s="373"/>
      <c r="F2824" s="373"/>
      <c r="G2824" s="373"/>
      <c r="H2824" s="373"/>
      <c r="I2824" s="373"/>
    </row>
    <row r="2825" spans="2:9" ht="17.25" customHeight="1" thickBot="1" x14ac:dyDescent="0.3">
      <c r="B2825" s="390" t="s">
        <v>297</v>
      </c>
      <c r="C2825" s="391"/>
      <c r="D2825" s="392"/>
      <c r="E2825" s="393"/>
      <c r="F2825" s="393"/>
      <c r="G2825" s="394"/>
      <c r="H2825" s="127" t="s">
        <v>298</v>
      </c>
      <c r="I2825" s="128"/>
    </row>
    <row r="2826" spans="2:9" ht="6" customHeight="1" thickBot="1" x14ac:dyDescent="0.3">
      <c r="B2826" s="373"/>
      <c r="C2826" s="373"/>
      <c r="D2826" s="373"/>
      <c r="E2826" s="373"/>
      <c r="F2826" s="373"/>
      <c r="G2826" s="373"/>
      <c r="H2826" s="373"/>
      <c r="I2826" s="373"/>
    </row>
    <row r="2827" spans="2:9" ht="19.5" customHeight="1" x14ac:dyDescent="0.25">
      <c r="B2827" s="261" t="s">
        <v>299</v>
      </c>
      <c r="C2827" s="129" t="s">
        <v>300</v>
      </c>
      <c r="D2827" s="130" t="s">
        <v>301</v>
      </c>
      <c r="E2827" s="130" t="s">
        <v>302</v>
      </c>
      <c r="F2827" s="398" t="s">
        <v>303</v>
      </c>
      <c r="G2827" s="399"/>
      <c r="H2827" s="400"/>
      <c r="I2827" s="131" t="s">
        <v>304</v>
      </c>
    </row>
    <row r="2828" spans="2:9" ht="11.25" customHeight="1" x14ac:dyDescent="0.25">
      <c r="B2828" s="262"/>
      <c r="C2828" s="132"/>
      <c r="D2828" s="132" t="s">
        <v>305</v>
      </c>
      <c r="E2828" s="132" t="s">
        <v>306</v>
      </c>
      <c r="F2828" s="395" t="s">
        <v>339</v>
      </c>
      <c r="G2828" s="396"/>
      <c r="H2828" s="397"/>
      <c r="I2828" s="133"/>
    </row>
    <row r="2829" spans="2:9" ht="28.5" customHeight="1" x14ac:dyDescent="0.25">
      <c r="B2829" s="263" t="s">
        <v>307</v>
      </c>
      <c r="C2829" s="383" t="s">
        <v>414</v>
      </c>
      <c r="D2829" s="384"/>
      <c r="E2829" s="384"/>
      <c r="F2829" s="384"/>
      <c r="G2829" s="384"/>
      <c r="H2829" s="384"/>
      <c r="I2829" s="385"/>
    </row>
    <row r="2830" spans="2:9" ht="10.5" customHeight="1" x14ac:dyDescent="0.25">
      <c r="B2830" s="264" t="s">
        <v>129</v>
      </c>
      <c r="C2830" s="388" t="s">
        <v>308</v>
      </c>
      <c r="D2830" s="389"/>
      <c r="E2830" s="389"/>
      <c r="F2830" s="389"/>
      <c r="G2830" s="389"/>
      <c r="H2830" s="389"/>
      <c r="I2830" s="134" t="s">
        <v>130</v>
      </c>
    </row>
    <row r="2831" spans="2:9" ht="50.25" customHeight="1" thickBot="1" x14ac:dyDescent="0.3">
      <c r="B2831" s="265">
        <v>8.139999999999997</v>
      </c>
      <c r="C2831" s="386" t="s">
        <v>607</v>
      </c>
      <c r="D2831" s="387"/>
      <c r="E2831" s="387"/>
      <c r="F2831" s="387"/>
      <c r="G2831" s="387"/>
      <c r="H2831" s="387"/>
      <c r="I2831" s="135" t="s">
        <v>27</v>
      </c>
    </row>
    <row r="2832" spans="2:9" ht="6" customHeight="1" thickBot="1" x14ac:dyDescent="0.3">
      <c r="B2832" s="373"/>
      <c r="C2832" s="373"/>
      <c r="D2832" s="373"/>
      <c r="E2832" s="373"/>
      <c r="F2832" s="373"/>
      <c r="G2832" s="373"/>
      <c r="H2832" s="373"/>
      <c r="I2832" s="373"/>
    </row>
    <row r="2833" spans="2:15" x14ac:dyDescent="0.25">
      <c r="B2833" s="380" t="s">
        <v>309</v>
      </c>
      <c r="C2833" s="381"/>
      <c r="D2833" s="381"/>
      <c r="E2833" s="381"/>
      <c r="F2833" s="381"/>
      <c r="G2833" s="381"/>
      <c r="H2833" s="381"/>
      <c r="I2833" s="382"/>
      <c r="K2833" s="182"/>
    </row>
    <row r="2834" spans="2:15" ht="11.25" customHeight="1" x14ac:dyDescent="0.25">
      <c r="B2834" s="377" t="s">
        <v>310</v>
      </c>
      <c r="C2834" s="378"/>
      <c r="D2834" s="379"/>
      <c r="E2834" s="136"/>
      <c r="F2834" s="137" t="s">
        <v>311</v>
      </c>
      <c r="G2834" s="137" t="s">
        <v>312</v>
      </c>
      <c r="H2834" s="137" t="s">
        <v>313</v>
      </c>
      <c r="I2834" s="138" t="s">
        <v>314</v>
      </c>
      <c r="L2834" s="139"/>
      <c r="M2834" s="139"/>
    </row>
    <row r="2835" spans="2:15" ht="11.25" customHeight="1" x14ac:dyDescent="0.25">
      <c r="B2835" s="362" t="s">
        <v>315</v>
      </c>
      <c r="C2835" s="363"/>
      <c r="D2835" s="363"/>
      <c r="E2835" s="160"/>
      <c r="F2835" s="161" t="s">
        <v>316</v>
      </c>
      <c r="G2835" s="160">
        <v>5000</v>
      </c>
      <c r="H2835" s="142">
        <v>1.7</v>
      </c>
      <c r="I2835" s="143">
        <f>G2835*H2835</f>
        <v>8500</v>
      </c>
    </row>
    <row r="2836" spans="2:15" ht="16.5" customHeight="1" x14ac:dyDescent="0.25">
      <c r="B2836" s="362" t="s">
        <v>355</v>
      </c>
      <c r="C2836" s="363"/>
      <c r="D2836" s="363"/>
      <c r="E2836" s="160"/>
      <c r="F2836" s="161" t="s">
        <v>317</v>
      </c>
      <c r="G2836" s="160">
        <v>90000</v>
      </c>
      <c r="H2836" s="142">
        <f>+H2835</f>
        <v>1.7</v>
      </c>
      <c r="I2836" s="143">
        <f>G2836*H2836</f>
        <v>153000</v>
      </c>
    </row>
    <row r="2837" spans="2:15" ht="10.5" customHeight="1" thickBot="1" x14ac:dyDescent="0.3">
      <c r="B2837" s="371" t="s">
        <v>318</v>
      </c>
      <c r="C2837" s="372"/>
      <c r="D2837" s="372"/>
      <c r="E2837" s="372"/>
      <c r="F2837" s="372"/>
      <c r="G2837" s="372"/>
      <c r="H2837" s="372"/>
      <c r="I2837" s="144">
        <f>SUM(I2835:I2836)</f>
        <v>161500</v>
      </c>
      <c r="N2837" s="150"/>
    </row>
    <row r="2838" spans="2:15" ht="6" customHeight="1" thickBot="1" x14ac:dyDescent="0.3">
      <c r="B2838" s="373"/>
      <c r="C2838" s="373"/>
      <c r="D2838" s="373"/>
      <c r="E2838" s="373"/>
      <c r="F2838" s="373"/>
      <c r="G2838" s="373"/>
      <c r="H2838" s="373"/>
      <c r="I2838" s="373"/>
    </row>
    <row r="2839" spans="2:15" s="145" customFormat="1" x14ac:dyDescent="0.25">
      <c r="B2839" s="380" t="s">
        <v>319</v>
      </c>
      <c r="C2839" s="381"/>
      <c r="D2839" s="381"/>
      <c r="E2839" s="381"/>
      <c r="F2839" s="381"/>
      <c r="G2839" s="381"/>
      <c r="H2839" s="381"/>
      <c r="I2839" s="382"/>
    </row>
    <row r="2840" spans="2:15" s="145" customFormat="1" ht="15.75" customHeight="1" x14ac:dyDescent="0.25">
      <c r="B2840" s="377" t="s">
        <v>310</v>
      </c>
      <c r="C2840" s="378"/>
      <c r="D2840" s="379"/>
      <c r="E2840" s="137"/>
      <c r="F2840" s="137" t="s">
        <v>320</v>
      </c>
      <c r="G2840" s="137" t="s">
        <v>321</v>
      </c>
      <c r="H2840" s="137" t="s">
        <v>322</v>
      </c>
      <c r="I2840" s="138" t="s">
        <v>314</v>
      </c>
    </row>
    <row r="2841" spans="2:15" ht="72.75" customHeight="1" x14ac:dyDescent="0.25">
      <c r="B2841" s="436" t="s">
        <v>607</v>
      </c>
      <c r="C2841" s="437"/>
      <c r="D2841" s="438"/>
      <c r="E2841" s="163"/>
      <c r="F2841" s="161" t="s">
        <v>27</v>
      </c>
      <c r="G2841" s="160">
        <f>1189923+3062272+1673635-5059078+1+1165487+6161508</f>
        <v>8193748</v>
      </c>
      <c r="H2841" s="142">
        <v>1</v>
      </c>
      <c r="I2841" s="143">
        <f>G2841*H2841</f>
        <v>8193748</v>
      </c>
      <c r="M2841">
        <v>4608265</v>
      </c>
    </row>
    <row r="2842" spans="2:15" ht="18" customHeight="1" thickBot="1" x14ac:dyDescent="0.3">
      <c r="B2842" s="371" t="s">
        <v>318</v>
      </c>
      <c r="C2842" s="372"/>
      <c r="D2842" s="372"/>
      <c r="E2842" s="372"/>
      <c r="F2842" s="372"/>
      <c r="G2842" s="372"/>
      <c r="H2842" s="372"/>
      <c r="I2842" s="144">
        <f>SUM(I2841:I2841)</f>
        <v>8193748</v>
      </c>
      <c r="N2842" s="150"/>
    </row>
    <row r="2843" spans="2:15" ht="6" customHeight="1" thickBot="1" x14ac:dyDescent="0.3">
      <c r="B2843" s="373"/>
      <c r="C2843" s="373"/>
      <c r="D2843" s="373"/>
      <c r="E2843" s="373"/>
      <c r="F2843" s="373"/>
      <c r="G2843" s="373"/>
      <c r="H2843" s="373"/>
      <c r="I2843" s="373"/>
    </row>
    <row r="2844" spans="2:15" s="145" customFormat="1" x14ac:dyDescent="0.25">
      <c r="B2844" s="380" t="s">
        <v>323</v>
      </c>
      <c r="C2844" s="381"/>
      <c r="D2844" s="381"/>
      <c r="E2844" s="381"/>
      <c r="F2844" s="381"/>
      <c r="G2844" s="381"/>
      <c r="H2844" s="381"/>
      <c r="I2844" s="382"/>
      <c r="L2844" s="146"/>
      <c r="M2844" s="146"/>
    </row>
    <row r="2845" spans="2:15" s="145" customFormat="1" x14ac:dyDescent="0.25">
      <c r="B2845" s="377" t="s">
        <v>324</v>
      </c>
      <c r="C2845" s="378"/>
      <c r="D2845" s="379"/>
      <c r="E2845" s="137" t="s">
        <v>325</v>
      </c>
      <c r="F2845" s="137" t="s">
        <v>326</v>
      </c>
      <c r="G2845" s="137" t="s">
        <v>130</v>
      </c>
      <c r="H2845" s="137" t="s">
        <v>327</v>
      </c>
      <c r="I2845" s="138" t="s">
        <v>314</v>
      </c>
      <c r="K2845" s="260">
        <v>0</v>
      </c>
      <c r="N2845" s="183"/>
      <c r="O2845" s="148"/>
    </row>
    <row r="2846" spans="2:15" ht="11.25" customHeight="1" x14ac:dyDescent="0.25">
      <c r="B2846" s="362" t="s">
        <v>711</v>
      </c>
      <c r="C2846" s="363"/>
      <c r="D2846" s="363"/>
      <c r="E2846" s="170">
        <v>1</v>
      </c>
      <c r="F2846" s="164"/>
      <c r="G2846" s="161"/>
      <c r="H2846" s="162">
        <v>60000</v>
      </c>
      <c r="I2846" s="143">
        <f>H2846*E2846</f>
        <v>60000</v>
      </c>
      <c r="K2846" s="281"/>
    </row>
    <row r="2847" spans="2:15" ht="10.5" customHeight="1" thickBot="1" x14ac:dyDescent="0.3">
      <c r="B2847" s="371" t="s">
        <v>318</v>
      </c>
      <c r="C2847" s="372"/>
      <c r="D2847" s="372"/>
      <c r="E2847" s="372"/>
      <c r="F2847" s="372"/>
      <c r="G2847" s="372"/>
      <c r="H2847" s="372"/>
      <c r="I2847" s="144">
        <f>SUM(I2846:I2846)</f>
        <v>60000</v>
      </c>
      <c r="K2847" s="281">
        <f>+I2856-K2845</f>
        <v>9645248</v>
      </c>
      <c r="N2847" s="150"/>
    </row>
    <row r="2848" spans="2:15" ht="6" customHeight="1" thickBot="1" x14ac:dyDescent="0.3">
      <c r="B2848" s="373"/>
      <c r="C2848" s="373"/>
      <c r="D2848" s="373"/>
      <c r="E2848" s="373"/>
      <c r="F2848" s="373"/>
      <c r="G2848" s="373"/>
      <c r="H2848" s="373"/>
      <c r="I2848" s="373"/>
    </row>
    <row r="2849" spans="2:15" s="145" customFormat="1" ht="20.100000000000001" customHeight="1" x14ac:dyDescent="0.25">
      <c r="B2849" s="380" t="s">
        <v>328</v>
      </c>
      <c r="C2849" s="381"/>
      <c r="D2849" s="381"/>
      <c r="E2849" s="381"/>
      <c r="F2849" s="381"/>
      <c r="G2849" s="381"/>
      <c r="H2849" s="381"/>
      <c r="I2849" s="382"/>
      <c r="K2849" s="147"/>
      <c r="N2849" s="148"/>
      <c r="O2849" s="149"/>
    </row>
    <row r="2850" spans="2:15" s="145" customFormat="1" ht="20.100000000000001" customHeight="1" x14ac:dyDescent="0.25">
      <c r="B2850" s="377" t="s">
        <v>329</v>
      </c>
      <c r="C2850" s="379"/>
      <c r="D2850" s="137" t="s">
        <v>322</v>
      </c>
      <c r="E2850" s="137" t="s">
        <v>330</v>
      </c>
      <c r="F2850" s="137" t="s">
        <v>331</v>
      </c>
      <c r="G2850" s="137" t="s">
        <v>332</v>
      </c>
      <c r="H2850" s="137" t="s">
        <v>313</v>
      </c>
      <c r="I2850" s="138" t="s">
        <v>314</v>
      </c>
      <c r="K2850" s="147">
        <f>+K2852-I2856</f>
        <v>-0.5</v>
      </c>
      <c r="O2850" s="179"/>
    </row>
    <row r="2851" spans="2:15" s="151" customFormat="1" ht="9.75" customHeight="1" x14ac:dyDescent="0.25">
      <c r="B2851" s="367" t="s">
        <v>356</v>
      </c>
      <c r="C2851" s="368"/>
      <c r="D2851" s="180">
        <v>1</v>
      </c>
      <c r="E2851" s="141">
        <v>140000</v>
      </c>
      <c r="F2851" s="141">
        <f>+E2851*0.8</f>
        <v>112000</v>
      </c>
      <c r="G2851" s="178">
        <f>D2851*E2851+F2851*D2851</f>
        <v>252000</v>
      </c>
      <c r="H2851" s="184">
        <v>0.6</v>
      </c>
      <c r="I2851" s="143">
        <f>+G2851/H2851</f>
        <v>420000</v>
      </c>
      <c r="J2851" s="145"/>
      <c r="K2851" s="147"/>
    </row>
    <row r="2852" spans="2:15" s="151" customFormat="1" ht="11.25" customHeight="1" x14ac:dyDescent="0.25">
      <c r="B2852" s="367" t="s">
        <v>374</v>
      </c>
      <c r="C2852" s="368"/>
      <c r="D2852" s="180">
        <v>2</v>
      </c>
      <c r="E2852" s="141">
        <v>80000</v>
      </c>
      <c r="F2852" s="141">
        <f>+E2852*0.8</f>
        <v>64000</v>
      </c>
      <c r="G2852" s="178">
        <f>D2852*E2852+F2852*D2852</f>
        <v>288000</v>
      </c>
      <c r="H2852" s="184">
        <f>+H2851</f>
        <v>0.6</v>
      </c>
      <c r="I2852" s="143">
        <f>+G2852/H2852</f>
        <v>480000</v>
      </c>
      <c r="J2852" s="145"/>
      <c r="K2852" s="147">
        <v>9645247.5</v>
      </c>
      <c r="L2852" s="179"/>
      <c r="M2852" s="179"/>
    </row>
    <row r="2853" spans="2:15" s="145" customFormat="1" ht="10.5" customHeight="1" x14ac:dyDescent="0.25">
      <c r="B2853" s="367" t="s">
        <v>333</v>
      </c>
      <c r="C2853" s="368"/>
      <c r="D2853" s="180">
        <v>2</v>
      </c>
      <c r="E2853" s="141">
        <v>55000</v>
      </c>
      <c r="F2853" s="141">
        <f>+E2853*0.8</f>
        <v>44000</v>
      </c>
      <c r="G2853" s="178">
        <f>D2853*E2853+F2853*D2853</f>
        <v>198000</v>
      </c>
      <c r="H2853" s="184">
        <f>+H2852</f>
        <v>0.6</v>
      </c>
      <c r="I2853" s="143">
        <f>+G2853/H2853</f>
        <v>330000</v>
      </c>
      <c r="K2853" s="147"/>
    </row>
    <row r="2854" spans="2:15" ht="10.5" customHeight="1" thickBot="1" x14ac:dyDescent="0.3">
      <c r="B2854" s="371" t="s">
        <v>318</v>
      </c>
      <c r="C2854" s="372"/>
      <c r="D2854" s="372"/>
      <c r="E2854" s="372"/>
      <c r="F2854" s="372"/>
      <c r="G2854" s="372"/>
      <c r="H2854" s="372"/>
      <c r="I2854" s="144">
        <f>SUM(I2851:I2853)</f>
        <v>1230000</v>
      </c>
      <c r="K2854" s="281"/>
      <c r="N2854" s="150"/>
    </row>
    <row r="2855" spans="2:15" ht="6" customHeight="1" thickBot="1" x14ac:dyDescent="0.3">
      <c r="B2855" s="373"/>
      <c r="C2855" s="373"/>
      <c r="D2855" s="373"/>
      <c r="E2855" s="373"/>
      <c r="F2855" s="373"/>
      <c r="G2855" s="373"/>
      <c r="H2855" s="373"/>
      <c r="I2855" s="373"/>
    </row>
    <row r="2856" spans="2:15" ht="10.5" customHeight="1" thickBot="1" x14ac:dyDescent="0.3">
      <c r="B2856" s="374" t="s">
        <v>334</v>
      </c>
      <c r="C2856" s="375"/>
      <c r="D2856" s="375"/>
      <c r="E2856" s="375"/>
      <c r="F2856" s="375"/>
      <c r="G2856" s="375"/>
      <c r="H2856" s="376"/>
      <c r="I2856" s="152">
        <f>ROUND(+I2837+I2842+I2847+I2854,0)</f>
        <v>9645248</v>
      </c>
      <c r="J2856" s="281"/>
      <c r="K2856" s="169"/>
      <c r="L2856" s="181"/>
      <c r="M2856" s="181"/>
      <c r="N2856" s="153"/>
    </row>
    <row r="2857" spans="2:15" ht="6" customHeight="1" thickBot="1" x14ac:dyDescent="0.3">
      <c r="B2857" s="373"/>
      <c r="C2857" s="373"/>
      <c r="D2857" s="373"/>
      <c r="E2857" s="373"/>
      <c r="F2857" s="373"/>
      <c r="G2857" s="373"/>
      <c r="H2857" s="373"/>
      <c r="I2857" s="373"/>
    </row>
    <row r="2858" spans="2:15" ht="8.25" customHeight="1" x14ac:dyDescent="0.25">
      <c r="B2858" s="433" t="s">
        <v>335</v>
      </c>
      <c r="C2858" s="417"/>
      <c r="D2858" s="418"/>
      <c r="E2858" s="418"/>
      <c r="F2858" s="419"/>
      <c r="G2858" s="369" t="s">
        <v>336</v>
      </c>
      <c r="H2858" s="370"/>
      <c r="I2858" s="370"/>
    </row>
    <row r="2859" spans="2:15" ht="33.75" customHeight="1" x14ac:dyDescent="0.25">
      <c r="B2859" s="434"/>
      <c r="C2859" s="420"/>
      <c r="D2859" s="421"/>
      <c r="E2859" s="421"/>
      <c r="F2859" s="422"/>
      <c r="G2859" s="430" t="s">
        <v>337</v>
      </c>
      <c r="H2859" s="431"/>
      <c r="I2859" s="431"/>
      <c r="L2859" s="181"/>
      <c r="M2859" s="181"/>
      <c r="N2859" s="179"/>
    </row>
    <row r="2860" spans="2:15" ht="13.5" customHeight="1" x14ac:dyDescent="0.25">
      <c r="B2860" s="434"/>
      <c r="C2860" s="420"/>
      <c r="D2860" s="421"/>
      <c r="E2860" s="421"/>
      <c r="F2860" s="422"/>
      <c r="G2860" s="154" t="s">
        <v>92</v>
      </c>
      <c r="H2860" s="432" t="s">
        <v>93</v>
      </c>
      <c r="I2860" s="432"/>
    </row>
    <row r="2861" spans="2:15" ht="16.5" customHeight="1" x14ac:dyDescent="0.25">
      <c r="B2861" s="435"/>
      <c r="C2861" s="420"/>
      <c r="D2861" s="421"/>
      <c r="E2861" s="421"/>
      <c r="F2861" s="422"/>
      <c r="G2861" s="155" t="s">
        <v>94</v>
      </c>
      <c r="H2861" s="156" t="s">
        <v>95</v>
      </c>
      <c r="I2861" s="157" t="s">
        <v>96</v>
      </c>
    </row>
    <row r="2862" spans="2:15" x14ac:dyDescent="0.25">
      <c r="B2862" s="268" t="s">
        <v>18</v>
      </c>
      <c r="C2862" s="427"/>
      <c r="D2862" s="428"/>
      <c r="E2862" s="428"/>
      <c r="F2862" s="429"/>
      <c r="G2862" s="155" t="s">
        <v>98</v>
      </c>
      <c r="H2862" s="157" t="s">
        <v>99</v>
      </c>
      <c r="I2862" s="157" t="s">
        <v>100</v>
      </c>
    </row>
    <row r="2863" spans="2:15" x14ac:dyDescent="0.25">
      <c r="B2863" s="269" t="s">
        <v>97</v>
      </c>
      <c r="C2863" s="427"/>
      <c r="D2863" s="428"/>
      <c r="E2863" s="428"/>
      <c r="F2863" s="429"/>
      <c r="G2863" s="154" t="s">
        <v>338</v>
      </c>
      <c r="H2863" s="426"/>
      <c r="I2863" s="426"/>
    </row>
    <row r="2864" spans="2:15" ht="15.75" thickBot="1" x14ac:dyDescent="0.3">
      <c r="B2864" s="270" t="s">
        <v>101</v>
      </c>
      <c r="C2864" s="423"/>
      <c r="D2864" s="424"/>
      <c r="E2864" s="424"/>
      <c r="F2864" s="425"/>
      <c r="G2864" s="154" t="s">
        <v>102</v>
      </c>
      <c r="H2864" s="426" t="s">
        <v>103</v>
      </c>
      <c r="I2864" s="426"/>
    </row>
    <row r="2865" spans="2:13" ht="45" customHeight="1" thickBot="1" x14ac:dyDescent="0.3">
      <c r="B2865" s="401"/>
      <c r="C2865" s="402"/>
      <c r="D2865" s="402"/>
      <c r="E2865" s="402"/>
      <c r="F2865" s="403" t="s">
        <v>0</v>
      </c>
      <c r="G2865" s="403"/>
      <c r="H2865" s="403"/>
      <c r="I2865" s="404"/>
    </row>
    <row r="2866" spans="2:13" ht="6" customHeight="1" thickBot="1" x14ac:dyDescent="0.3">
      <c r="B2866" s="373"/>
      <c r="C2866" s="373"/>
      <c r="D2866" s="373"/>
      <c r="E2866" s="373"/>
      <c r="F2866" s="373"/>
      <c r="G2866" s="373"/>
      <c r="H2866" s="373"/>
      <c r="I2866" s="373"/>
    </row>
    <row r="2867" spans="2:13" ht="10.5" customHeight="1" x14ac:dyDescent="0.25">
      <c r="B2867" s="405" t="s">
        <v>294</v>
      </c>
      <c r="C2867" s="406"/>
      <c r="D2867" s="407" t="s">
        <v>295</v>
      </c>
      <c r="E2867" s="409" t="s">
        <v>296</v>
      </c>
      <c r="F2867" s="410"/>
      <c r="G2867" s="410"/>
      <c r="H2867" s="410"/>
      <c r="I2867" s="411"/>
    </row>
    <row r="2868" spans="2:13" ht="9" customHeight="1" thickBot="1" x14ac:dyDescent="0.3">
      <c r="B2868" s="415"/>
      <c r="C2868" s="416"/>
      <c r="D2868" s="408"/>
      <c r="E2868" s="412"/>
      <c r="F2868" s="413"/>
      <c r="G2868" s="413"/>
      <c r="H2868" s="413"/>
      <c r="I2868" s="414"/>
    </row>
    <row r="2869" spans="2:13" ht="6" customHeight="1" thickBot="1" x14ac:dyDescent="0.3">
      <c r="B2869" s="373"/>
      <c r="C2869" s="373"/>
      <c r="D2869" s="373"/>
      <c r="E2869" s="373"/>
      <c r="F2869" s="373"/>
      <c r="G2869" s="373"/>
      <c r="H2869" s="373"/>
      <c r="I2869" s="373"/>
    </row>
    <row r="2870" spans="2:13" ht="17.25" customHeight="1" thickBot="1" x14ac:dyDescent="0.3">
      <c r="B2870" s="390" t="s">
        <v>297</v>
      </c>
      <c r="C2870" s="391"/>
      <c r="D2870" s="392"/>
      <c r="E2870" s="393"/>
      <c r="F2870" s="393"/>
      <c r="G2870" s="394"/>
      <c r="H2870" s="127" t="s">
        <v>298</v>
      </c>
      <c r="I2870" s="128"/>
    </row>
    <row r="2871" spans="2:13" ht="6" customHeight="1" thickBot="1" x14ac:dyDescent="0.3">
      <c r="B2871" s="373"/>
      <c r="C2871" s="373"/>
      <c r="D2871" s="373"/>
      <c r="E2871" s="373"/>
      <c r="F2871" s="373"/>
      <c r="G2871" s="373"/>
      <c r="H2871" s="373"/>
      <c r="I2871" s="373"/>
    </row>
    <row r="2872" spans="2:13" ht="19.5" customHeight="1" x14ac:dyDescent="0.25">
      <c r="B2872" s="261" t="s">
        <v>299</v>
      </c>
      <c r="C2872" s="129" t="s">
        <v>300</v>
      </c>
      <c r="D2872" s="130" t="s">
        <v>301</v>
      </c>
      <c r="E2872" s="130" t="s">
        <v>302</v>
      </c>
      <c r="F2872" s="398" t="s">
        <v>303</v>
      </c>
      <c r="G2872" s="399"/>
      <c r="H2872" s="400"/>
      <c r="I2872" s="131" t="s">
        <v>304</v>
      </c>
    </row>
    <row r="2873" spans="2:13" ht="11.25" customHeight="1" x14ac:dyDescent="0.25">
      <c r="B2873" s="262"/>
      <c r="C2873" s="132"/>
      <c r="D2873" s="132" t="s">
        <v>305</v>
      </c>
      <c r="E2873" s="132" t="s">
        <v>306</v>
      </c>
      <c r="F2873" s="395" t="s">
        <v>339</v>
      </c>
      <c r="G2873" s="396"/>
      <c r="H2873" s="397"/>
      <c r="I2873" s="133"/>
    </row>
    <row r="2874" spans="2:13" ht="28.5" customHeight="1" x14ac:dyDescent="0.25">
      <c r="B2874" s="263" t="s">
        <v>307</v>
      </c>
      <c r="C2874" s="383" t="s">
        <v>414</v>
      </c>
      <c r="D2874" s="384"/>
      <c r="E2874" s="384"/>
      <c r="F2874" s="384"/>
      <c r="G2874" s="384"/>
      <c r="H2874" s="384"/>
      <c r="I2874" s="385"/>
    </row>
    <row r="2875" spans="2:13" ht="10.5" customHeight="1" x14ac:dyDescent="0.25">
      <c r="B2875" s="264" t="s">
        <v>129</v>
      </c>
      <c r="C2875" s="388" t="s">
        <v>308</v>
      </c>
      <c r="D2875" s="389"/>
      <c r="E2875" s="389"/>
      <c r="F2875" s="389"/>
      <c r="G2875" s="389"/>
      <c r="H2875" s="389"/>
      <c r="I2875" s="134" t="s">
        <v>130</v>
      </c>
    </row>
    <row r="2876" spans="2:13" ht="50.25" customHeight="1" thickBot="1" x14ac:dyDescent="0.3">
      <c r="B2876" s="265">
        <v>8.1499999999999968</v>
      </c>
      <c r="C2876" s="386" t="s">
        <v>608</v>
      </c>
      <c r="D2876" s="387"/>
      <c r="E2876" s="387"/>
      <c r="F2876" s="387"/>
      <c r="G2876" s="387"/>
      <c r="H2876" s="387"/>
      <c r="I2876" s="135" t="s">
        <v>27</v>
      </c>
    </row>
    <row r="2877" spans="2:13" ht="6" customHeight="1" thickBot="1" x14ac:dyDescent="0.3">
      <c r="B2877" s="373"/>
      <c r="C2877" s="373"/>
      <c r="D2877" s="373"/>
      <c r="E2877" s="373"/>
      <c r="F2877" s="373"/>
      <c r="G2877" s="373"/>
      <c r="H2877" s="373"/>
      <c r="I2877" s="373"/>
    </row>
    <row r="2878" spans="2:13" x14ac:dyDescent="0.25">
      <c r="B2878" s="380" t="s">
        <v>309</v>
      </c>
      <c r="C2878" s="381"/>
      <c r="D2878" s="381"/>
      <c r="E2878" s="381"/>
      <c r="F2878" s="381"/>
      <c r="G2878" s="381"/>
      <c r="H2878" s="381"/>
      <c r="I2878" s="382"/>
      <c r="K2878" s="182"/>
    </row>
    <row r="2879" spans="2:13" ht="11.25" customHeight="1" x14ac:dyDescent="0.25">
      <c r="B2879" s="377" t="s">
        <v>310</v>
      </c>
      <c r="C2879" s="378"/>
      <c r="D2879" s="379"/>
      <c r="E2879" s="136"/>
      <c r="F2879" s="137" t="s">
        <v>311</v>
      </c>
      <c r="G2879" s="137" t="s">
        <v>312</v>
      </c>
      <c r="H2879" s="137" t="s">
        <v>313</v>
      </c>
      <c r="I2879" s="138" t="s">
        <v>314</v>
      </c>
      <c r="L2879" s="139"/>
      <c r="M2879" s="139"/>
    </row>
    <row r="2880" spans="2:13" ht="11.25" customHeight="1" x14ac:dyDescent="0.25">
      <c r="B2880" s="362" t="s">
        <v>315</v>
      </c>
      <c r="C2880" s="363"/>
      <c r="D2880" s="363"/>
      <c r="E2880" s="160"/>
      <c r="F2880" s="161" t="s">
        <v>316</v>
      </c>
      <c r="G2880" s="160">
        <v>5000</v>
      </c>
      <c r="H2880" s="142">
        <v>0.9</v>
      </c>
      <c r="I2880" s="143">
        <f>G2880*H2880</f>
        <v>4500</v>
      </c>
    </row>
    <row r="2881" spans="2:15" ht="16.5" customHeight="1" x14ac:dyDescent="0.25">
      <c r="B2881" s="362" t="s">
        <v>355</v>
      </c>
      <c r="C2881" s="363"/>
      <c r="D2881" s="363"/>
      <c r="E2881" s="160"/>
      <c r="F2881" s="161" t="s">
        <v>317</v>
      </c>
      <c r="G2881" s="160">
        <v>90000</v>
      </c>
      <c r="H2881" s="142">
        <f>+H2880</f>
        <v>0.9</v>
      </c>
      <c r="I2881" s="143">
        <f>G2881*H2881</f>
        <v>81000</v>
      </c>
    </row>
    <row r="2882" spans="2:15" ht="10.5" customHeight="1" thickBot="1" x14ac:dyDescent="0.3">
      <c r="B2882" s="371" t="s">
        <v>318</v>
      </c>
      <c r="C2882" s="372"/>
      <c r="D2882" s="372"/>
      <c r="E2882" s="372"/>
      <c r="F2882" s="372"/>
      <c r="G2882" s="372"/>
      <c r="H2882" s="372"/>
      <c r="I2882" s="144">
        <f>SUM(I2880:I2881)</f>
        <v>85500</v>
      </c>
      <c r="N2882" s="150"/>
    </row>
    <row r="2883" spans="2:15" ht="6" customHeight="1" thickBot="1" x14ac:dyDescent="0.3">
      <c r="B2883" s="373"/>
      <c r="C2883" s="373"/>
      <c r="D2883" s="373"/>
      <c r="E2883" s="373"/>
      <c r="F2883" s="373"/>
      <c r="G2883" s="373"/>
      <c r="H2883" s="373"/>
      <c r="I2883" s="373"/>
    </row>
    <row r="2884" spans="2:15" s="145" customFormat="1" x14ac:dyDescent="0.25">
      <c r="B2884" s="380" t="s">
        <v>319</v>
      </c>
      <c r="C2884" s="381"/>
      <c r="D2884" s="381"/>
      <c r="E2884" s="381"/>
      <c r="F2884" s="381"/>
      <c r="G2884" s="381"/>
      <c r="H2884" s="381"/>
      <c r="I2884" s="382"/>
    </row>
    <row r="2885" spans="2:15" s="145" customFormat="1" ht="15.75" customHeight="1" x14ac:dyDescent="0.25">
      <c r="B2885" s="377" t="s">
        <v>310</v>
      </c>
      <c r="C2885" s="378"/>
      <c r="D2885" s="379"/>
      <c r="E2885" s="137"/>
      <c r="F2885" s="137" t="s">
        <v>320</v>
      </c>
      <c r="G2885" s="137" t="s">
        <v>321</v>
      </c>
      <c r="H2885" s="137" t="s">
        <v>322</v>
      </c>
      <c r="I2885" s="138" t="s">
        <v>314</v>
      </c>
    </row>
    <row r="2886" spans="2:15" ht="72.75" customHeight="1" x14ac:dyDescent="0.25">
      <c r="B2886" s="436" t="s">
        <v>608</v>
      </c>
      <c r="C2886" s="437"/>
      <c r="D2886" s="438"/>
      <c r="E2886" s="163"/>
      <c r="F2886" s="161" t="s">
        <v>27</v>
      </c>
      <c r="G2886" s="160">
        <f>1189923+3062272+1673635-5059078+1+1165487+180285</f>
        <v>2212525</v>
      </c>
      <c r="H2886" s="142">
        <v>1</v>
      </c>
      <c r="I2886" s="143">
        <f>G2886*H2886</f>
        <v>2212525</v>
      </c>
      <c r="M2886">
        <v>4608265</v>
      </c>
    </row>
    <row r="2887" spans="2:15" ht="18" customHeight="1" thickBot="1" x14ac:dyDescent="0.3">
      <c r="B2887" s="371" t="s">
        <v>318</v>
      </c>
      <c r="C2887" s="372"/>
      <c r="D2887" s="372"/>
      <c r="E2887" s="372"/>
      <c r="F2887" s="372"/>
      <c r="G2887" s="372"/>
      <c r="H2887" s="372"/>
      <c r="I2887" s="144">
        <f>SUM(I2886:I2886)</f>
        <v>2212525</v>
      </c>
      <c r="N2887" s="150"/>
    </row>
    <row r="2888" spans="2:15" ht="6" customHeight="1" thickBot="1" x14ac:dyDescent="0.3">
      <c r="B2888" s="373"/>
      <c r="C2888" s="373"/>
      <c r="D2888" s="373"/>
      <c r="E2888" s="373"/>
      <c r="F2888" s="373"/>
      <c r="G2888" s="373"/>
      <c r="H2888" s="373"/>
      <c r="I2888" s="373"/>
    </row>
    <row r="2889" spans="2:15" s="145" customFormat="1" x14ac:dyDescent="0.25">
      <c r="B2889" s="380" t="s">
        <v>323</v>
      </c>
      <c r="C2889" s="381"/>
      <c r="D2889" s="381"/>
      <c r="E2889" s="381"/>
      <c r="F2889" s="381"/>
      <c r="G2889" s="381"/>
      <c r="H2889" s="381"/>
      <c r="I2889" s="382"/>
      <c r="L2889" s="146"/>
      <c r="M2889" s="146"/>
    </row>
    <row r="2890" spans="2:15" s="145" customFormat="1" x14ac:dyDescent="0.25">
      <c r="B2890" s="377" t="s">
        <v>324</v>
      </c>
      <c r="C2890" s="378"/>
      <c r="D2890" s="379"/>
      <c r="E2890" s="137" t="s">
        <v>325</v>
      </c>
      <c r="F2890" s="137" t="s">
        <v>326</v>
      </c>
      <c r="G2890" s="137" t="s">
        <v>130</v>
      </c>
      <c r="H2890" s="137" t="s">
        <v>327</v>
      </c>
      <c r="I2890" s="138" t="s">
        <v>314</v>
      </c>
      <c r="K2890" s="260"/>
      <c r="N2890" s="183"/>
      <c r="O2890" s="148"/>
    </row>
    <row r="2891" spans="2:15" ht="11.25" customHeight="1" x14ac:dyDescent="0.25">
      <c r="B2891" s="362" t="s">
        <v>711</v>
      </c>
      <c r="C2891" s="363"/>
      <c r="D2891" s="363"/>
      <c r="E2891" s="170">
        <v>1</v>
      </c>
      <c r="F2891" s="164"/>
      <c r="G2891" s="161"/>
      <c r="H2891" s="162">
        <v>35000</v>
      </c>
      <c r="I2891" s="143">
        <f>H2891*E2891</f>
        <v>35000</v>
      </c>
      <c r="K2891" s="281"/>
    </row>
    <row r="2892" spans="2:15" ht="10.5" customHeight="1" thickBot="1" x14ac:dyDescent="0.3">
      <c r="B2892" s="371" t="s">
        <v>318</v>
      </c>
      <c r="C2892" s="372"/>
      <c r="D2892" s="372"/>
      <c r="E2892" s="372"/>
      <c r="F2892" s="372"/>
      <c r="G2892" s="372"/>
      <c r="H2892" s="372"/>
      <c r="I2892" s="144">
        <f>SUM(I2891:I2891)</f>
        <v>35000</v>
      </c>
      <c r="K2892" s="281"/>
      <c r="N2892" s="150"/>
    </row>
    <row r="2893" spans="2:15" ht="6" customHeight="1" thickBot="1" x14ac:dyDescent="0.3">
      <c r="B2893" s="373"/>
      <c r="C2893" s="373"/>
      <c r="D2893" s="373"/>
      <c r="E2893" s="373"/>
      <c r="F2893" s="373"/>
      <c r="G2893" s="373"/>
      <c r="H2893" s="373"/>
      <c r="I2893" s="373"/>
    </row>
    <row r="2894" spans="2:15" s="145" customFormat="1" ht="20.100000000000001" customHeight="1" x14ac:dyDescent="0.25">
      <c r="B2894" s="380" t="s">
        <v>328</v>
      </c>
      <c r="C2894" s="381"/>
      <c r="D2894" s="381"/>
      <c r="E2894" s="381"/>
      <c r="F2894" s="381"/>
      <c r="G2894" s="381"/>
      <c r="H2894" s="381"/>
      <c r="I2894" s="382"/>
      <c r="K2894" s="147">
        <v>2704275</v>
      </c>
      <c r="N2894" s="148"/>
      <c r="O2894" s="149"/>
    </row>
    <row r="2895" spans="2:15" s="145" customFormat="1" ht="20.100000000000001" customHeight="1" x14ac:dyDescent="0.25">
      <c r="B2895" s="377" t="s">
        <v>329</v>
      </c>
      <c r="C2895" s="379"/>
      <c r="D2895" s="137" t="s">
        <v>322</v>
      </c>
      <c r="E2895" s="137" t="s">
        <v>330</v>
      </c>
      <c r="F2895" s="137" t="s">
        <v>331</v>
      </c>
      <c r="G2895" s="137" t="s">
        <v>332</v>
      </c>
      <c r="H2895" s="137" t="s">
        <v>313</v>
      </c>
      <c r="I2895" s="138" t="s">
        <v>314</v>
      </c>
      <c r="K2895" s="147">
        <f>+I2901-K2894</f>
        <v>0</v>
      </c>
      <c r="O2895" s="179"/>
    </row>
    <row r="2896" spans="2:15" s="151" customFormat="1" ht="9.75" customHeight="1" x14ac:dyDescent="0.25">
      <c r="B2896" s="367" t="s">
        <v>356</v>
      </c>
      <c r="C2896" s="368"/>
      <c r="D2896" s="180">
        <v>1</v>
      </c>
      <c r="E2896" s="141">
        <v>140000</v>
      </c>
      <c r="F2896" s="141">
        <f>+E2896*0.8</f>
        <v>112000</v>
      </c>
      <c r="G2896" s="178">
        <f>D2896*E2896+F2896*D2896</f>
        <v>252000</v>
      </c>
      <c r="H2896" s="184">
        <v>1.6</v>
      </c>
      <c r="I2896" s="143">
        <f>+G2896/H2896</f>
        <v>157500</v>
      </c>
      <c r="J2896" s="145"/>
      <c r="K2896" s="147"/>
    </row>
    <row r="2897" spans="2:14" s="151" customFormat="1" ht="11.25" customHeight="1" x14ac:dyDescent="0.25">
      <c r="B2897" s="367" t="s">
        <v>374</v>
      </c>
      <c r="C2897" s="368"/>
      <c r="D2897" s="180">
        <v>1</v>
      </c>
      <c r="E2897" s="141">
        <v>80000</v>
      </c>
      <c r="F2897" s="141">
        <f>+E2897*0.8</f>
        <v>64000</v>
      </c>
      <c r="G2897" s="178">
        <f>D2897*E2897+F2897*D2897</f>
        <v>144000</v>
      </c>
      <c r="H2897" s="184">
        <f>+H2896</f>
        <v>1.6</v>
      </c>
      <c r="I2897" s="143">
        <f>+G2897/H2897</f>
        <v>90000</v>
      </c>
      <c r="J2897" s="145"/>
      <c r="K2897" s="147"/>
      <c r="L2897" s="179"/>
      <c r="M2897" s="179"/>
    </row>
    <row r="2898" spans="2:14" s="145" customFormat="1" ht="10.5" customHeight="1" x14ac:dyDescent="0.25">
      <c r="B2898" s="367" t="s">
        <v>333</v>
      </c>
      <c r="C2898" s="368"/>
      <c r="D2898" s="180">
        <v>2</v>
      </c>
      <c r="E2898" s="141">
        <v>55000</v>
      </c>
      <c r="F2898" s="141">
        <f>+E2898*0.8</f>
        <v>44000</v>
      </c>
      <c r="G2898" s="178">
        <f>D2898*E2898+F2898*D2898</f>
        <v>198000</v>
      </c>
      <c r="H2898" s="184">
        <f>+H2897</f>
        <v>1.6</v>
      </c>
      <c r="I2898" s="143">
        <f>+G2898/H2898</f>
        <v>123750</v>
      </c>
      <c r="K2898" s="147"/>
    </row>
    <row r="2899" spans="2:14" ht="10.5" customHeight="1" thickBot="1" x14ac:dyDescent="0.3">
      <c r="B2899" s="371" t="s">
        <v>318</v>
      </c>
      <c r="C2899" s="372"/>
      <c r="D2899" s="372"/>
      <c r="E2899" s="372"/>
      <c r="F2899" s="372"/>
      <c r="G2899" s="372"/>
      <c r="H2899" s="372"/>
      <c r="I2899" s="144">
        <f>SUM(I2896:I2898)</f>
        <v>371250</v>
      </c>
      <c r="K2899" s="281"/>
      <c r="N2899" s="150"/>
    </row>
    <row r="2900" spans="2:14" ht="6" customHeight="1" thickBot="1" x14ac:dyDescent="0.3">
      <c r="B2900" s="373"/>
      <c r="C2900" s="373"/>
      <c r="D2900" s="373"/>
      <c r="E2900" s="373"/>
      <c r="F2900" s="373"/>
      <c r="G2900" s="373"/>
      <c r="H2900" s="373"/>
      <c r="I2900" s="373"/>
    </row>
    <row r="2901" spans="2:14" ht="10.5" customHeight="1" thickBot="1" x14ac:dyDescent="0.3">
      <c r="B2901" s="374" t="s">
        <v>334</v>
      </c>
      <c r="C2901" s="375"/>
      <c r="D2901" s="375"/>
      <c r="E2901" s="375"/>
      <c r="F2901" s="375"/>
      <c r="G2901" s="375"/>
      <c r="H2901" s="376"/>
      <c r="I2901" s="152">
        <f>ROUND(+I2882+I2887+I2892+I2899,0)</f>
        <v>2704275</v>
      </c>
      <c r="J2901" s="281"/>
      <c r="K2901" s="169"/>
      <c r="L2901" s="181"/>
      <c r="M2901" s="181"/>
      <c r="N2901" s="153"/>
    </row>
    <row r="2902" spans="2:14" ht="6" customHeight="1" thickBot="1" x14ac:dyDescent="0.3">
      <c r="B2902" s="373"/>
      <c r="C2902" s="373"/>
      <c r="D2902" s="373"/>
      <c r="E2902" s="373"/>
      <c r="F2902" s="373"/>
      <c r="G2902" s="373"/>
      <c r="H2902" s="373"/>
      <c r="I2902" s="373"/>
    </row>
    <row r="2903" spans="2:14" ht="8.25" customHeight="1" x14ac:dyDescent="0.25">
      <c r="B2903" s="433" t="s">
        <v>335</v>
      </c>
      <c r="C2903" s="417"/>
      <c r="D2903" s="418"/>
      <c r="E2903" s="418"/>
      <c r="F2903" s="419"/>
      <c r="G2903" s="369" t="s">
        <v>336</v>
      </c>
      <c r="H2903" s="370"/>
      <c r="I2903" s="370"/>
    </row>
    <row r="2904" spans="2:14" ht="33.75" customHeight="1" x14ac:dyDescent="0.25">
      <c r="B2904" s="434"/>
      <c r="C2904" s="420"/>
      <c r="D2904" s="421"/>
      <c r="E2904" s="421"/>
      <c r="F2904" s="422"/>
      <c r="G2904" s="430" t="s">
        <v>337</v>
      </c>
      <c r="H2904" s="431"/>
      <c r="I2904" s="431"/>
      <c r="L2904" s="181"/>
      <c r="M2904" s="181"/>
      <c r="N2904" s="179"/>
    </row>
    <row r="2905" spans="2:14" ht="13.5" customHeight="1" x14ac:dyDescent="0.25">
      <c r="B2905" s="434"/>
      <c r="C2905" s="420"/>
      <c r="D2905" s="421"/>
      <c r="E2905" s="421"/>
      <c r="F2905" s="422"/>
      <c r="G2905" s="154" t="s">
        <v>92</v>
      </c>
      <c r="H2905" s="432" t="s">
        <v>93</v>
      </c>
      <c r="I2905" s="432"/>
    </row>
    <row r="2906" spans="2:14" ht="16.5" customHeight="1" x14ac:dyDescent="0.25">
      <c r="B2906" s="435"/>
      <c r="C2906" s="420"/>
      <c r="D2906" s="421"/>
      <c r="E2906" s="421"/>
      <c r="F2906" s="422"/>
      <c r="G2906" s="155" t="s">
        <v>94</v>
      </c>
      <c r="H2906" s="156" t="s">
        <v>95</v>
      </c>
      <c r="I2906" s="157" t="s">
        <v>96</v>
      </c>
    </row>
    <row r="2907" spans="2:14" x14ac:dyDescent="0.25">
      <c r="B2907" s="268" t="s">
        <v>18</v>
      </c>
      <c r="C2907" s="427"/>
      <c r="D2907" s="428"/>
      <c r="E2907" s="428"/>
      <c r="F2907" s="429"/>
      <c r="G2907" s="155" t="s">
        <v>98</v>
      </c>
      <c r="H2907" s="157" t="s">
        <v>99</v>
      </c>
      <c r="I2907" s="157" t="s">
        <v>100</v>
      </c>
    </row>
    <row r="2908" spans="2:14" x14ac:dyDescent="0.25">
      <c r="B2908" s="269" t="s">
        <v>97</v>
      </c>
      <c r="C2908" s="427"/>
      <c r="D2908" s="428"/>
      <c r="E2908" s="428"/>
      <c r="F2908" s="429"/>
      <c r="G2908" s="154" t="s">
        <v>338</v>
      </c>
      <c r="H2908" s="426"/>
      <c r="I2908" s="426"/>
    </row>
    <row r="2909" spans="2:14" ht="15.75" thickBot="1" x14ac:dyDescent="0.3">
      <c r="B2909" s="270" t="s">
        <v>101</v>
      </c>
      <c r="C2909" s="423"/>
      <c r="D2909" s="424"/>
      <c r="E2909" s="424"/>
      <c r="F2909" s="425"/>
      <c r="G2909" s="154" t="s">
        <v>102</v>
      </c>
      <c r="H2909" s="426" t="s">
        <v>103</v>
      </c>
      <c r="I2909" s="426"/>
    </row>
    <row r="2910" spans="2:14" ht="45" customHeight="1" thickBot="1" x14ac:dyDescent="0.3">
      <c r="B2910" s="401"/>
      <c r="C2910" s="402"/>
      <c r="D2910" s="402"/>
      <c r="E2910" s="402"/>
      <c r="F2910" s="403" t="s">
        <v>0</v>
      </c>
      <c r="G2910" s="403"/>
      <c r="H2910" s="403"/>
      <c r="I2910" s="404"/>
    </row>
    <row r="2911" spans="2:14" ht="6" customHeight="1" thickBot="1" x14ac:dyDescent="0.3">
      <c r="B2911" s="373"/>
      <c r="C2911" s="373"/>
      <c r="D2911" s="373"/>
      <c r="E2911" s="373"/>
      <c r="F2911" s="373"/>
      <c r="G2911" s="373"/>
      <c r="H2911" s="373"/>
      <c r="I2911" s="373"/>
    </row>
    <row r="2912" spans="2:14" ht="10.5" customHeight="1" x14ac:dyDescent="0.25">
      <c r="B2912" s="405" t="s">
        <v>294</v>
      </c>
      <c r="C2912" s="406"/>
      <c r="D2912" s="407" t="s">
        <v>295</v>
      </c>
      <c r="E2912" s="409" t="s">
        <v>296</v>
      </c>
      <c r="F2912" s="410"/>
      <c r="G2912" s="410"/>
      <c r="H2912" s="410"/>
      <c r="I2912" s="411"/>
    </row>
    <row r="2913" spans="2:14" ht="9" customHeight="1" thickBot="1" x14ac:dyDescent="0.3">
      <c r="B2913" s="415"/>
      <c r="C2913" s="416"/>
      <c r="D2913" s="408"/>
      <c r="E2913" s="412"/>
      <c r="F2913" s="413"/>
      <c r="G2913" s="413"/>
      <c r="H2913" s="413"/>
      <c r="I2913" s="414"/>
    </row>
    <row r="2914" spans="2:14" ht="6" customHeight="1" thickBot="1" x14ac:dyDescent="0.3">
      <c r="B2914" s="373"/>
      <c r="C2914" s="373"/>
      <c r="D2914" s="373"/>
      <c r="E2914" s="373"/>
      <c r="F2914" s="373"/>
      <c r="G2914" s="373"/>
      <c r="H2914" s="373"/>
      <c r="I2914" s="373"/>
    </row>
    <row r="2915" spans="2:14" ht="17.25" customHeight="1" thickBot="1" x14ac:dyDescent="0.3">
      <c r="B2915" s="390" t="s">
        <v>297</v>
      </c>
      <c r="C2915" s="391"/>
      <c r="D2915" s="392"/>
      <c r="E2915" s="393"/>
      <c r="F2915" s="393"/>
      <c r="G2915" s="394"/>
      <c r="H2915" s="127" t="s">
        <v>298</v>
      </c>
      <c r="I2915" s="128"/>
    </row>
    <row r="2916" spans="2:14" ht="6" customHeight="1" thickBot="1" x14ac:dyDescent="0.3">
      <c r="B2916" s="373"/>
      <c r="C2916" s="373"/>
      <c r="D2916" s="373"/>
      <c r="E2916" s="373"/>
      <c r="F2916" s="373"/>
      <c r="G2916" s="373"/>
      <c r="H2916" s="373"/>
      <c r="I2916" s="373"/>
    </row>
    <row r="2917" spans="2:14" ht="19.5" customHeight="1" x14ac:dyDescent="0.25">
      <c r="B2917" s="261" t="s">
        <v>299</v>
      </c>
      <c r="C2917" s="129" t="s">
        <v>300</v>
      </c>
      <c r="D2917" s="130" t="s">
        <v>301</v>
      </c>
      <c r="E2917" s="130" t="s">
        <v>302</v>
      </c>
      <c r="F2917" s="398" t="s">
        <v>303</v>
      </c>
      <c r="G2917" s="399"/>
      <c r="H2917" s="400"/>
      <c r="I2917" s="131" t="s">
        <v>304</v>
      </c>
    </row>
    <row r="2918" spans="2:14" ht="11.25" customHeight="1" x14ac:dyDescent="0.25">
      <c r="B2918" s="262"/>
      <c r="C2918" s="132"/>
      <c r="D2918" s="132" t="s">
        <v>305</v>
      </c>
      <c r="E2918" s="132" t="s">
        <v>306</v>
      </c>
      <c r="F2918" s="395" t="s">
        <v>339</v>
      </c>
      <c r="G2918" s="396"/>
      <c r="H2918" s="397"/>
      <c r="I2918" s="133"/>
    </row>
    <row r="2919" spans="2:14" ht="28.5" customHeight="1" x14ac:dyDescent="0.25">
      <c r="B2919" s="263" t="s">
        <v>307</v>
      </c>
      <c r="C2919" s="383" t="s">
        <v>414</v>
      </c>
      <c r="D2919" s="384"/>
      <c r="E2919" s="384"/>
      <c r="F2919" s="384"/>
      <c r="G2919" s="384"/>
      <c r="H2919" s="384"/>
      <c r="I2919" s="385"/>
    </row>
    <row r="2920" spans="2:14" ht="10.5" customHeight="1" x14ac:dyDescent="0.25">
      <c r="B2920" s="264" t="s">
        <v>129</v>
      </c>
      <c r="C2920" s="388" t="s">
        <v>308</v>
      </c>
      <c r="D2920" s="389"/>
      <c r="E2920" s="389"/>
      <c r="F2920" s="389"/>
      <c r="G2920" s="389"/>
      <c r="H2920" s="389"/>
      <c r="I2920" s="134" t="s">
        <v>130</v>
      </c>
    </row>
    <row r="2921" spans="2:14" ht="50.25" customHeight="1" thickBot="1" x14ac:dyDescent="0.3">
      <c r="B2921" s="265">
        <v>8.1599999999999966</v>
      </c>
      <c r="C2921" s="386" t="s">
        <v>609</v>
      </c>
      <c r="D2921" s="387"/>
      <c r="E2921" s="387"/>
      <c r="F2921" s="387"/>
      <c r="G2921" s="387"/>
      <c r="H2921" s="387"/>
      <c r="I2921" s="135" t="s">
        <v>27</v>
      </c>
    </row>
    <row r="2922" spans="2:14" ht="6" customHeight="1" thickBot="1" x14ac:dyDescent="0.3">
      <c r="B2922" s="373"/>
      <c r="C2922" s="373"/>
      <c r="D2922" s="373"/>
      <c r="E2922" s="373"/>
      <c r="F2922" s="373"/>
      <c r="G2922" s="373"/>
      <c r="H2922" s="373"/>
      <c r="I2922" s="373"/>
    </row>
    <row r="2923" spans="2:14" x14ac:dyDescent="0.25">
      <c r="B2923" s="380" t="s">
        <v>309</v>
      </c>
      <c r="C2923" s="381"/>
      <c r="D2923" s="381"/>
      <c r="E2923" s="381"/>
      <c r="F2923" s="381"/>
      <c r="G2923" s="381"/>
      <c r="H2923" s="381"/>
      <c r="I2923" s="382"/>
      <c r="K2923" s="182"/>
    </row>
    <row r="2924" spans="2:14" ht="11.25" customHeight="1" x14ac:dyDescent="0.25">
      <c r="B2924" s="377" t="s">
        <v>310</v>
      </c>
      <c r="C2924" s="378"/>
      <c r="D2924" s="379"/>
      <c r="E2924" s="136"/>
      <c r="F2924" s="137" t="s">
        <v>311</v>
      </c>
      <c r="G2924" s="137" t="s">
        <v>312</v>
      </c>
      <c r="H2924" s="137" t="s">
        <v>313</v>
      </c>
      <c r="I2924" s="138" t="s">
        <v>314</v>
      </c>
      <c r="L2924" s="139"/>
      <c r="M2924" s="139"/>
    </row>
    <row r="2925" spans="2:14" ht="11.25" customHeight="1" x14ac:dyDescent="0.25">
      <c r="B2925" s="362" t="s">
        <v>315</v>
      </c>
      <c r="C2925" s="363"/>
      <c r="D2925" s="363"/>
      <c r="E2925" s="160"/>
      <c r="F2925" s="161" t="s">
        <v>316</v>
      </c>
      <c r="G2925" s="160">
        <v>5000</v>
      </c>
      <c r="H2925" s="142">
        <v>0.7</v>
      </c>
      <c r="I2925" s="143">
        <f>G2925*H2925</f>
        <v>3500</v>
      </c>
    </row>
    <row r="2926" spans="2:14" ht="16.5" customHeight="1" x14ac:dyDescent="0.25">
      <c r="B2926" s="362" t="s">
        <v>355</v>
      </c>
      <c r="C2926" s="363"/>
      <c r="D2926" s="363"/>
      <c r="E2926" s="160"/>
      <c r="F2926" s="161" t="s">
        <v>317</v>
      </c>
      <c r="G2926" s="160">
        <v>90000</v>
      </c>
      <c r="H2926" s="142">
        <f>+H2925</f>
        <v>0.7</v>
      </c>
      <c r="I2926" s="143">
        <f>G2926*H2926</f>
        <v>62999.999999999993</v>
      </c>
    </row>
    <row r="2927" spans="2:14" ht="10.5" customHeight="1" thickBot="1" x14ac:dyDescent="0.3">
      <c r="B2927" s="371" t="s">
        <v>318</v>
      </c>
      <c r="C2927" s="372"/>
      <c r="D2927" s="372"/>
      <c r="E2927" s="372"/>
      <c r="F2927" s="372"/>
      <c r="G2927" s="372"/>
      <c r="H2927" s="372"/>
      <c r="I2927" s="144">
        <f>SUM(I2925:I2926)</f>
        <v>66500</v>
      </c>
      <c r="N2927" s="150"/>
    </row>
    <row r="2928" spans="2:14" ht="6" customHeight="1" thickBot="1" x14ac:dyDescent="0.3">
      <c r="B2928" s="373"/>
      <c r="C2928" s="373"/>
      <c r="D2928" s="373"/>
      <c r="E2928" s="373"/>
      <c r="F2928" s="373"/>
      <c r="G2928" s="373"/>
      <c r="H2928" s="373"/>
      <c r="I2928" s="373"/>
    </row>
    <row r="2929" spans="2:15" s="145" customFormat="1" x14ac:dyDescent="0.25">
      <c r="B2929" s="380" t="s">
        <v>319</v>
      </c>
      <c r="C2929" s="381"/>
      <c r="D2929" s="381"/>
      <c r="E2929" s="381"/>
      <c r="F2929" s="381"/>
      <c r="G2929" s="381"/>
      <c r="H2929" s="381"/>
      <c r="I2929" s="382"/>
    </row>
    <row r="2930" spans="2:15" s="145" customFormat="1" ht="15.75" customHeight="1" x14ac:dyDescent="0.25">
      <c r="B2930" s="377" t="s">
        <v>310</v>
      </c>
      <c r="C2930" s="378"/>
      <c r="D2930" s="379"/>
      <c r="E2930" s="137"/>
      <c r="F2930" s="137" t="s">
        <v>320</v>
      </c>
      <c r="G2930" s="137" t="s">
        <v>321</v>
      </c>
      <c r="H2930" s="137" t="s">
        <v>322</v>
      </c>
      <c r="I2930" s="138" t="s">
        <v>314</v>
      </c>
    </row>
    <row r="2931" spans="2:15" ht="72.75" customHeight="1" x14ac:dyDescent="0.25">
      <c r="B2931" s="436" t="s">
        <v>609</v>
      </c>
      <c r="C2931" s="437"/>
      <c r="D2931" s="438"/>
      <c r="E2931" s="163"/>
      <c r="F2931" s="161" t="s">
        <v>27</v>
      </c>
      <c r="G2931" s="160">
        <f>1189923+3062272+1673635-5059078+1+1165487+180285-560748+1</f>
        <v>1651778</v>
      </c>
      <c r="H2931" s="142">
        <v>1</v>
      </c>
      <c r="I2931" s="143">
        <f>G2931*H2931</f>
        <v>1651778</v>
      </c>
      <c r="M2931">
        <v>4608265</v>
      </c>
    </row>
    <row r="2932" spans="2:15" ht="18" customHeight="1" thickBot="1" x14ac:dyDescent="0.3">
      <c r="B2932" s="371" t="s">
        <v>318</v>
      </c>
      <c r="C2932" s="372"/>
      <c r="D2932" s="372"/>
      <c r="E2932" s="372"/>
      <c r="F2932" s="372"/>
      <c r="G2932" s="372"/>
      <c r="H2932" s="372"/>
      <c r="I2932" s="144">
        <f>SUM(I2931:I2931)</f>
        <v>1651778</v>
      </c>
      <c r="N2932" s="150"/>
    </row>
    <row r="2933" spans="2:15" ht="6" customHeight="1" thickBot="1" x14ac:dyDescent="0.3">
      <c r="B2933" s="373"/>
      <c r="C2933" s="373"/>
      <c r="D2933" s="373"/>
      <c r="E2933" s="373"/>
      <c r="F2933" s="373"/>
      <c r="G2933" s="373"/>
      <c r="H2933" s="373"/>
      <c r="I2933" s="373"/>
    </row>
    <row r="2934" spans="2:15" s="145" customFormat="1" x14ac:dyDescent="0.25">
      <c r="B2934" s="380" t="s">
        <v>323</v>
      </c>
      <c r="C2934" s="381"/>
      <c r="D2934" s="381"/>
      <c r="E2934" s="381"/>
      <c r="F2934" s="381"/>
      <c r="G2934" s="381"/>
      <c r="H2934" s="381"/>
      <c r="I2934" s="382"/>
      <c r="L2934" s="146"/>
      <c r="M2934" s="146"/>
    </row>
    <row r="2935" spans="2:15" s="145" customFormat="1" x14ac:dyDescent="0.25">
      <c r="B2935" s="377" t="s">
        <v>324</v>
      </c>
      <c r="C2935" s="378"/>
      <c r="D2935" s="379"/>
      <c r="E2935" s="137" t="s">
        <v>325</v>
      </c>
      <c r="F2935" s="137" t="s">
        <v>326</v>
      </c>
      <c r="G2935" s="137" t="s">
        <v>130</v>
      </c>
      <c r="H2935" s="137" t="s">
        <v>327</v>
      </c>
      <c r="I2935" s="138" t="s">
        <v>314</v>
      </c>
      <c r="K2935" s="260"/>
      <c r="N2935" s="183"/>
      <c r="O2935" s="148"/>
    </row>
    <row r="2936" spans="2:15" ht="11.25" customHeight="1" x14ac:dyDescent="0.25">
      <c r="B2936" s="362" t="s">
        <v>711</v>
      </c>
      <c r="C2936" s="363"/>
      <c r="D2936" s="363"/>
      <c r="E2936" s="170">
        <v>1</v>
      </c>
      <c r="F2936" s="164"/>
      <c r="G2936" s="161"/>
      <c r="H2936" s="162">
        <v>25000</v>
      </c>
      <c r="I2936" s="143">
        <f>H2936*E2936</f>
        <v>25000</v>
      </c>
      <c r="K2936" s="281"/>
    </row>
    <row r="2937" spans="2:15" ht="10.5" customHeight="1" thickBot="1" x14ac:dyDescent="0.3">
      <c r="B2937" s="371" t="s">
        <v>318</v>
      </c>
      <c r="C2937" s="372"/>
      <c r="D2937" s="372"/>
      <c r="E2937" s="372"/>
      <c r="F2937" s="372"/>
      <c r="G2937" s="372"/>
      <c r="H2937" s="372"/>
      <c r="I2937" s="144">
        <f>SUM(I2936:I2936)</f>
        <v>25000</v>
      </c>
      <c r="K2937" s="281"/>
      <c r="N2937" s="150"/>
    </row>
    <row r="2938" spans="2:15" ht="6" customHeight="1" thickBot="1" x14ac:dyDescent="0.3">
      <c r="B2938" s="373"/>
      <c r="C2938" s="373"/>
      <c r="D2938" s="373"/>
      <c r="E2938" s="373"/>
      <c r="F2938" s="373"/>
      <c r="G2938" s="373"/>
      <c r="H2938" s="373"/>
      <c r="I2938" s="373"/>
    </row>
    <row r="2939" spans="2:15" s="145" customFormat="1" ht="20.100000000000001" customHeight="1" x14ac:dyDescent="0.25">
      <c r="B2939" s="380" t="s">
        <v>328</v>
      </c>
      <c r="C2939" s="381"/>
      <c r="D2939" s="381"/>
      <c r="E2939" s="381"/>
      <c r="F2939" s="381"/>
      <c r="G2939" s="381"/>
      <c r="H2939" s="381"/>
      <c r="I2939" s="382"/>
      <c r="K2939" s="147"/>
      <c r="N2939" s="148"/>
      <c r="O2939" s="149"/>
    </row>
    <row r="2940" spans="2:15" s="145" customFormat="1" ht="20.100000000000001" customHeight="1" x14ac:dyDescent="0.25">
      <c r="B2940" s="377" t="s">
        <v>329</v>
      </c>
      <c r="C2940" s="379"/>
      <c r="D2940" s="137" t="s">
        <v>322</v>
      </c>
      <c r="E2940" s="137" t="s">
        <v>330</v>
      </c>
      <c r="F2940" s="137" t="s">
        <v>331</v>
      </c>
      <c r="G2940" s="137" t="s">
        <v>332</v>
      </c>
      <c r="H2940" s="137" t="s">
        <v>313</v>
      </c>
      <c r="I2940" s="138" t="s">
        <v>314</v>
      </c>
      <c r="K2940" s="147">
        <v>2073277.5</v>
      </c>
      <c r="O2940" s="179"/>
    </row>
    <row r="2941" spans="2:15" s="151" customFormat="1" ht="9.75" customHeight="1" x14ac:dyDescent="0.25">
      <c r="B2941" s="367" t="s">
        <v>356</v>
      </c>
      <c r="C2941" s="368"/>
      <c r="D2941" s="180">
        <v>1</v>
      </c>
      <c r="E2941" s="141">
        <v>140000</v>
      </c>
      <c r="F2941" s="141">
        <f>+E2941*0.8</f>
        <v>112000</v>
      </c>
      <c r="G2941" s="178">
        <f>D2941*E2941+F2941*D2941</f>
        <v>252000</v>
      </c>
      <c r="H2941" s="184">
        <v>1.8</v>
      </c>
      <c r="I2941" s="143">
        <f>+G2941/H2941</f>
        <v>140000</v>
      </c>
      <c r="J2941" s="145"/>
      <c r="K2941" s="147"/>
    </row>
    <row r="2942" spans="2:15" s="151" customFormat="1" ht="11.25" customHeight="1" x14ac:dyDescent="0.25">
      <c r="B2942" s="367" t="s">
        <v>374</v>
      </c>
      <c r="C2942" s="368"/>
      <c r="D2942" s="180">
        <v>1</v>
      </c>
      <c r="E2942" s="141">
        <v>80000</v>
      </c>
      <c r="F2942" s="141">
        <f>+E2942*0.8</f>
        <v>64000</v>
      </c>
      <c r="G2942" s="178">
        <f>D2942*E2942+F2942*D2942</f>
        <v>144000</v>
      </c>
      <c r="H2942" s="184">
        <f>+H2941</f>
        <v>1.8</v>
      </c>
      <c r="I2942" s="143">
        <f>+G2942/H2942</f>
        <v>80000</v>
      </c>
      <c r="J2942" s="145"/>
      <c r="K2942" s="147">
        <f>+K2940-I2946</f>
        <v>-0.5</v>
      </c>
      <c r="L2942" s="179"/>
      <c r="M2942" s="179"/>
    </row>
    <row r="2943" spans="2:15" s="145" customFormat="1" ht="10.5" customHeight="1" x14ac:dyDescent="0.25">
      <c r="B2943" s="367" t="s">
        <v>333</v>
      </c>
      <c r="C2943" s="368"/>
      <c r="D2943" s="180">
        <v>2</v>
      </c>
      <c r="E2943" s="141">
        <v>55000</v>
      </c>
      <c r="F2943" s="141">
        <f>+E2943*0.8</f>
        <v>44000</v>
      </c>
      <c r="G2943" s="178">
        <f>D2943*E2943+F2943*D2943</f>
        <v>198000</v>
      </c>
      <c r="H2943" s="184">
        <f>+H2942</f>
        <v>1.8</v>
      </c>
      <c r="I2943" s="143">
        <f>+G2943/H2943</f>
        <v>110000</v>
      </c>
      <c r="K2943" s="147"/>
    </row>
    <row r="2944" spans="2:15" ht="10.5" customHeight="1" thickBot="1" x14ac:dyDescent="0.3">
      <c r="B2944" s="371" t="s">
        <v>318</v>
      </c>
      <c r="C2944" s="372"/>
      <c r="D2944" s="372"/>
      <c r="E2944" s="372"/>
      <c r="F2944" s="372"/>
      <c r="G2944" s="372"/>
      <c r="H2944" s="372"/>
      <c r="I2944" s="144">
        <f>SUM(I2941:I2943)</f>
        <v>330000</v>
      </c>
      <c r="K2944" s="281"/>
      <c r="N2944" s="150"/>
    </row>
    <row r="2945" spans="2:14" ht="6" customHeight="1" thickBot="1" x14ac:dyDescent="0.3">
      <c r="B2945" s="373"/>
      <c r="C2945" s="373"/>
      <c r="D2945" s="373"/>
      <c r="E2945" s="373"/>
      <c r="F2945" s="373"/>
      <c r="G2945" s="373"/>
      <c r="H2945" s="373"/>
      <c r="I2945" s="373"/>
    </row>
    <row r="2946" spans="2:14" ht="10.5" customHeight="1" thickBot="1" x14ac:dyDescent="0.3">
      <c r="B2946" s="374" t="s">
        <v>334</v>
      </c>
      <c r="C2946" s="375"/>
      <c r="D2946" s="375"/>
      <c r="E2946" s="375"/>
      <c r="F2946" s="375"/>
      <c r="G2946" s="375"/>
      <c r="H2946" s="376"/>
      <c r="I2946" s="152">
        <f>ROUND(+I2927+I2932+I2937+I2944,0)</f>
        <v>2073278</v>
      </c>
      <c r="J2946" s="281"/>
      <c r="K2946" s="169"/>
      <c r="L2946" s="181"/>
      <c r="M2946" s="181"/>
      <c r="N2946" s="153"/>
    </row>
    <row r="2947" spans="2:14" ht="6" customHeight="1" thickBot="1" x14ac:dyDescent="0.3">
      <c r="B2947" s="373"/>
      <c r="C2947" s="373"/>
      <c r="D2947" s="373"/>
      <c r="E2947" s="373"/>
      <c r="F2947" s="373"/>
      <c r="G2947" s="373"/>
      <c r="H2947" s="373"/>
      <c r="I2947" s="373"/>
    </row>
    <row r="2948" spans="2:14" ht="8.25" customHeight="1" x14ac:dyDescent="0.25">
      <c r="B2948" s="433" t="s">
        <v>335</v>
      </c>
      <c r="C2948" s="417"/>
      <c r="D2948" s="418"/>
      <c r="E2948" s="418"/>
      <c r="F2948" s="419"/>
      <c r="G2948" s="369" t="s">
        <v>336</v>
      </c>
      <c r="H2948" s="370"/>
      <c r="I2948" s="370"/>
    </row>
    <row r="2949" spans="2:14" ht="33.75" customHeight="1" x14ac:dyDescent="0.25">
      <c r="B2949" s="434"/>
      <c r="C2949" s="420"/>
      <c r="D2949" s="421"/>
      <c r="E2949" s="421"/>
      <c r="F2949" s="422"/>
      <c r="G2949" s="430" t="s">
        <v>337</v>
      </c>
      <c r="H2949" s="431"/>
      <c r="I2949" s="431"/>
      <c r="L2949" s="181"/>
      <c r="M2949" s="181"/>
      <c r="N2949" s="179"/>
    </row>
    <row r="2950" spans="2:14" ht="13.5" customHeight="1" x14ac:dyDescent="0.25">
      <c r="B2950" s="434"/>
      <c r="C2950" s="420"/>
      <c r="D2950" s="421"/>
      <c r="E2950" s="421"/>
      <c r="F2950" s="422"/>
      <c r="G2950" s="154" t="s">
        <v>92</v>
      </c>
      <c r="H2950" s="432" t="s">
        <v>93</v>
      </c>
      <c r="I2950" s="432"/>
    </row>
    <row r="2951" spans="2:14" ht="16.5" customHeight="1" x14ac:dyDescent="0.25">
      <c r="B2951" s="435"/>
      <c r="C2951" s="420"/>
      <c r="D2951" s="421"/>
      <c r="E2951" s="421"/>
      <c r="F2951" s="422"/>
      <c r="G2951" s="155" t="s">
        <v>94</v>
      </c>
      <c r="H2951" s="156" t="s">
        <v>95</v>
      </c>
      <c r="I2951" s="157" t="s">
        <v>96</v>
      </c>
    </row>
    <row r="2952" spans="2:14" x14ac:dyDescent="0.25">
      <c r="B2952" s="268" t="s">
        <v>18</v>
      </c>
      <c r="C2952" s="427"/>
      <c r="D2952" s="428"/>
      <c r="E2952" s="428"/>
      <c r="F2952" s="429"/>
      <c r="G2952" s="155" t="s">
        <v>98</v>
      </c>
      <c r="H2952" s="157" t="s">
        <v>99</v>
      </c>
      <c r="I2952" s="157" t="s">
        <v>100</v>
      </c>
    </row>
    <row r="2953" spans="2:14" x14ac:dyDescent="0.25">
      <c r="B2953" s="269" t="s">
        <v>97</v>
      </c>
      <c r="C2953" s="427"/>
      <c r="D2953" s="428"/>
      <c r="E2953" s="428"/>
      <c r="F2953" s="429"/>
      <c r="G2953" s="154" t="s">
        <v>338</v>
      </c>
      <c r="H2953" s="426"/>
      <c r="I2953" s="426"/>
    </row>
    <row r="2954" spans="2:14" ht="15.75" thickBot="1" x14ac:dyDescent="0.3">
      <c r="B2954" s="270" t="s">
        <v>101</v>
      </c>
      <c r="C2954" s="423"/>
      <c r="D2954" s="424"/>
      <c r="E2954" s="424"/>
      <c r="F2954" s="425"/>
      <c r="G2954" s="154" t="s">
        <v>102</v>
      </c>
      <c r="H2954" s="426" t="s">
        <v>103</v>
      </c>
      <c r="I2954" s="426"/>
    </row>
    <row r="2955" spans="2:14" ht="45" customHeight="1" thickBot="1" x14ac:dyDescent="0.3">
      <c r="B2955" s="401"/>
      <c r="C2955" s="402"/>
      <c r="D2955" s="402"/>
      <c r="E2955" s="402"/>
      <c r="F2955" s="403" t="s">
        <v>0</v>
      </c>
      <c r="G2955" s="403"/>
      <c r="H2955" s="403"/>
      <c r="I2955" s="404"/>
    </row>
    <row r="2956" spans="2:14" ht="6" customHeight="1" thickBot="1" x14ac:dyDescent="0.3">
      <c r="B2956" s="373"/>
      <c r="C2956" s="373"/>
      <c r="D2956" s="373"/>
      <c r="E2956" s="373"/>
      <c r="F2956" s="373"/>
      <c r="G2956" s="373"/>
      <c r="H2956" s="373"/>
      <c r="I2956" s="373"/>
    </row>
    <row r="2957" spans="2:14" ht="10.5" customHeight="1" x14ac:dyDescent="0.25">
      <c r="B2957" s="405" t="s">
        <v>294</v>
      </c>
      <c r="C2957" s="406"/>
      <c r="D2957" s="407" t="s">
        <v>295</v>
      </c>
      <c r="E2957" s="409" t="s">
        <v>296</v>
      </c>
      <c r="F2957" s="410"/>
      <c r="G2957" s="410"/>
      <c r="H2957" s="410"/>
      <c r="I2957" s="411"/>
    </row>
    <row r="2958" spans="2:14" ht="9" customHeight="1" thickBot="1" x14ac:dyDescent="0.3">
      <c r="B2958" s="415"/>
      <c r="C2958" s="416"/>
      <c r="D2958" s="408"/>
      <c r="E2958" s="412"/>
      <c r="F2958" s="413"/>
      <c r="G2958" s="413"/>
      <c r="H2958" s="413"/>
      <c r="I2958" s="414"/>
    </row>
    <row r="2959" spans="2:14" ht="6" customHeight="1" thickBot="1" x14ac:dyDescent="0.3">
      <c r="B2959" s="373"/>
      <c r="C2959" s="373"/>
      <c r="D2959" s="373"/>
      <c r="E2959" s="373"/>
      <c r="F2959" s="373"/>
      <c r="G2959" s="373"/>
      <c r="H2959" s="373"/>
      <c r="I2959" s="373"/>
    </row>
    <row r="2960" spans="2:14" ht="17.25" customHeight="1" thickBot="1" x14ac:dyDescent="0.3">
      <c r="B2960" s="390" t="s">
        <v>297</v>
      </c>
      <c r="C2960" s="391"/>
      <c r="D2960" s="392"/>
      <c r="E2960" s="393"/>
      <c r="F2960" s="393"/>
      <c r="G2960" s="394"/>
      <c r="H2960" s="127" t="s">
        <v>298</v>
      </c>
      <c r="I2960" s="128"/>
    </row>
    <row r="2961" spans="2:14" ht="6" customHeight="1" thickBot="1" x14ac:dyDescent="0.3">
      <c r="B2961" s="373"/>
      <c r="C2961" s="373"/>
      <c r="D2961" s="373"/>
      <c r="E2961" s="373"/>
      <c r="F2961" s="373"/>
      <c r="G2961" s="373"/>
      <c r="H2961" s="373"/>
      <c r="I2961" s="373"/>
    </row>
    <row r="2962" spans="2:14" ht="19.5" customHeight="1" x14ac:dyDescent="0.25">
      <c r="B2962" s="261" t="s">
        <v>299</v>
      </c>
      <c r="C2962" s="129" t="s">
        <v>300</v>
      </c>
      <c r="D2962" s="130" t="s">
        <v>301</v>
      </c>
      <c r="E2962" s="130" t="s">
        <v>302</v>
      </c>
      <c r="F2962" s="398" t="s">
        <v>303</v>
      </c>
      <c r="G2962" s="399"/>
      <c r="H2962" s="400"/>
      <c r="I2962" s="131" t="s">
        <v>304</v>
      </c>
    </row>
    <row r="2963" spans="2:14" ht="11.25" customHeight="1" x14ac:dyDescent="0.25">
      <c r="B2963" s="262"/>
      <c r="C2963" s="132"/>
      <c r="D2963" s="132" t="s">
        <v>305</v>
      </c>
      <c r="E2963" s="132" t="s">
        <v>306</v>
      </c>
      <c r="F2963" s="395" t="s">
        <v>339</v>
      </c>
      <c r="G2963" s="396"/>
      <c r="H2963" s="397"/>
      <c r="I2963" s="133"/>
    </row>
    <row r="2964" spans="2:14" ht="28.5" customHeight="1" x14ac:dyDescent="0.25">
      <c r="B2964" s="263" t="s">
        <v>307</v>
      </c>
      <c r="C2964" s="383" t="s">
        <v>414</v>
      </c>
      <c r="D2964" s="384"/>
      <c r="E2964" s="384"/>
      <c r="F2964" s="384"/>
      <c r="G2964" s="384"/>
      <c r="H2964" s="384"/>
      <c r="I2964" s="385"/>
    </row>
    <row r="2965" spans="2:14" ht="10.5" customHeight="1" x14ac:dyDescent="0.25">
      <c r="B2965" s="264" t="s">
        <v>129</v>
      </c>
      <c r="C2965" s="388" t="s">
        <v>308</v>
      </c>
      <c r="D2965" s="389"/>
      <c r="E2965" s="389"/>
      <c r="F2965" s="389"/>
      <c r="G2965" s="389"/>
      <c r="H2965" s="389"/>
      <c r="I2965" s="134" t="s">
        <v>130</v>
      </c>
    </row>
    <row r="2966" spans="2:14" ht="50.25" customHeight="1" thickBot="1" x14ac:dyDescent="0.3">
      <c r="B2966" s="265">
        <v>8.1699999999999964</v>
      </c>
      <c r="C2966" s="386" t="s">
        <v>610</v>
      </c>
      <c r="D2966" s="387"/>
      <c r="E2966" s="387"/>
      <c r="F2966" s="387"/>
      <c r="G2966" s="387"/>
      <c r="H2966" s="387"/>
      <c r="I2966" s="135" t="s">
        <v>27</v>
      </c>
    </row>
    <row r="2967" spans="2:14" ht="6" customHeight="1" thickBot="1" x14ac:dyDescent="0.3">
      <c r="B2967" s="373"/>
      <c r="C2967" s="373"/>
      <c r="D2967" s="373"/>
      <c r="E2967" s="373"/>
      <c r="F2967" s="373"/>
      <c r="G2967" s="373"/>
      <c r="H2967" s="373"/>
      <c r="I2967" s="373"/>
    </row>
    <row r="2968" spans="2:14" x14ac:dyDescent="0.25">
      <c r="B2968" s="380" t="s">
        <v>309</v>
      </c>
      <c r="C2968" s="381"/>
      <c r="D2968" s="381"/>
      <c r="E2968" s="381"/>
      <c r="F2968" s="381"/>
      <c r="G2968" s="381"/>
      <c r="H2968" s="381"/>
      <c r="I2968" s="382"/>
      <c r="K2968" s="182"/>
    </row>
    <row r="2969" spans="2:14" ht="11.25" customHeight="1" x14ac:dyDescent="0.25">
      <c r="B2969" s="377" t="s">
        <v>310</v>
      </c>
      <c r="C2969" s="378"/>
      <c r="D2969" s="379"/>
      <c r="E2969" s="136"/>
      <c r="F2969" s="137" t="s">
        <v>311</v>
      </c>
      <c r="G2969" s="137" t="s">
        <v>312</v>
      </c>
      <c r="H2969" s="137" t="s">
        <v>313</v>
      </c>
      <c r="I2969" s="138" t="s">
        <v>314</v>
      </c>
      <c r="L2969" s="139"/>
      <c r="M2969" s="139"/>
    </row>
    <row r="2970" spans="2:14" ht="11.25" customHeight="1" x14ac:dyDescent="0.25">
      <c r="B2970" s="362" t="s">
        <v>315</v>
      </c>
      <c r="C2970" s="363"/>
      <c r="D2970" s="363"/>
      <c r="E2970" s="160"/>
      <c r="F2970" s="161" t="s">
        <v>316</v>
      </c>
      <c r="G2970" s="160">
        <v>5000</v>
      </c>
      <c r="H2970" s="142">
        <v>1</v>
      </c>
      <c r="I2970" s="143">
        <f>G2970*H2970</f>
        <v>5000</v>
      </c>
    </row>
    <row r="2971" spans="2:14" ht="16.5" customHeight="1" x14ac:dyDescent="0.25">
      <c r="B2971" s="362" t="s">
        <v>355</v>
      </c>
      <c r="C2971" s="363"/>
      <c r="D2971" s="363"/>
      <c r="E2971" s="160"/>
      <c r="F2971" s="161" t="s">
        <v>317</v>
      </c>
      <c r="G2971" s="160">
        <v>90000</v>
      </c>
      <c r="H2971" s="142">
        <f>+H2970</f>
        <v>1</v>
      </c>
      <c r="I2971" s="143">
        <f>G2971*H2971</f>
        <v>90000</v>
      </c>
    </row>
    <row r="2972" spans="2:14" ht="10.5" customHeight="1" thickBot="1" x14ac:dyDescent="0.3">
      <c r="B2972" s="371" t="s">
        <v>318</v>
      </c>
      <c r="C2972" s="372"/>
      <c r="D2972" s="372"/>
      <c r="E2972" s="372"/>
      <c r="F2972" s="372"/>
      <c r="G2972" s="372"/>
      <c r="H2972" s="372"/>
      <c r="I2972" s="144">
        <f>SUM(I2970:I2971)</f>
        <v>95000</v>
      </c>
      <c r="N2972" s="150"/>
    </row>
    <row r="2973" spans="2:14" ht="6" customHeight="1" thickBot="1" x14ac:dyDescent="0.3">
      <c r="B2973" s="373"/>
      <c r="C2973" s="373"/>
      <c r="D2973" s="373"/>
      <c r="E2973" s="373"/>
      <c r="F2973" s="373"/>
      <c r="G2973" s="373"/>
      <c r="H2973" s="373"/>
      <c r="I2973" s="373"/>
    </row>
    <row r="2974" spans="2:14" s="145" customFormat="1" x14ac:dyDescent="0.25">
      <c r="B2974" s="380" t="s">
        <v>319</v>
      </c>
      <c r="C2974" s="381"/>
      <c r="D2974" s="381"/>
      <c r="E2974" s="381"/>
      <c r="F2974" s="381"/>
      <c r="G2974" s="381"/>
      <c r="H2974" s="381"/>
      <c r="I2974" s="382"/>
    </row>
    <row r="2975" spans="2:14" s="145" customFormat="1" ht="15.75" customHeight="1" x14ac:dyDescent="0.25">
      <c r="B2975" s="377" t="s">
        <v>310</v>
      </c>
      <c r="C2975" s="378"/>
      <c r="D2975" s="379"/>
      <c r="E2975" s="137"/>
      <c r="F2975" s="137" t="s">
        <v>320</v>
      </c>
      <c r="G2975" s="137" t="s">
        <v>321</v>
      </c>
      <c r="H2975" s="137" t="s">
        <v>322</v>
      </c>
      <c r="I2975" s="138" t="s">
        <v>314</v>
      </c>
    </row>
    <row r="2976" spans="2:14" ht="77.25" customHeight="1" x14ac:dyDescent="0.25">
      <c r="B2976" s="436" t="s">
        <v>610</v>
      </c>
      <c r="C2976" s="437"/>
      <c r="D2976" s="438"/>
      <c r="E2976" s="163"/>
      <c r="F2976" s="161" t="s">
        <v>27</v>
      </c>
      <c r="G2976" s="160">
        <f>1189923+3062272+1673635-5059078+1+1165487+180285+1579458</f>
        <v>3791983</v>
      </c>
      <c r="H2976" s="142">
        <v>1</v>
      </c>
      <c r="I2976" s="143">
        <f>G2976*H2976</f>
        <v>3791983</v>
      </c>
      <c r="M2976">
        <v>4608265</v>
      </c>
    </row>
    <row r="2977" spans="2:15" ht="18" customHeight="1" thickBot="1" x14ac:dyDescent="0.3">
      <c r="B2977" s="371" t="s">
        <v>318</v>
      </c>
      <c r="C2977" s="372"/>
      <c r="D2977" s="372"/>
      <c r="E2977" s="372"/>
      <c r="F2977" s="372"/>
      <c r="G2977" s="372"/>
      <c r="H2977" s="372"/>
      <c r="I2977" s="144">
        <f>SUM(I2976:I2976)</f>
        <v>3791983</v>
      </c>
      <c r="N2977" s="150"/>
    </row>
    <row r="2978" spans="2:15" ht="6" customHeight="1" thickBot="1" x14ac:dyDescent="0.3">
      <c r="B2978" s="373"/>
      <c r="C2978" s="373"/>
      <c r="D2978" s="373"/>
      <c r="E2978" s="373"/>
      <c r="F2978" s="373"/>
      <c r="G2978" s="373"/>
      <c r="H2978" s="373"/>
      <c r="I2978" s="373"/>
    </row>
    <row r="2979" spans="2:15" s="145" customFormat="1" x14ac:dyDescent="0.25">
      <c r="B2979" s="380" t="s">
        <v>323</v>
      </c>
      <c r="C2979" s="381"/>
      <c r="D2979" s="381"/>
      <c r="E2979" s="381"/>
      <c r="F2979" s="381"/>
      <c r="G2979" s="381"/>
      <c r="H2979" s="381"/>
      <c r="I2979" s="382"/>
      <c r="L2979" s="146"/>
      <c r="M2979" s="146"/>
    </row>
    <row r="2980" spans="2:15" s="145" customFormat="1" x14ac:dyDescent="0.25">
      <c r="B2980" s="377" t="s">
        <v>324</v>
      </c>
      <c r="C2980" s="378"/>
      <c r="D2980" s="379"/>
      <c r="E2980" s="137" t="s">
        <v>325</v>
      </c>
      <c r="F2980" s="137" t="s">
        <v>326</v>
      </c>
      <c r="G2980" s="137" t="s">
        <v>130</v>
      </c>
      <c r="H2980" s="137" t="s">
        <v>327</v>
      </c>
      <c r="I2980" s="138" t="s">
        <v>314</v>
      </c>
      <c r="K2980" s="260"/>
      <c r="N2980" s="183"/>
      <c r="O2980" s="148"/>
    </row>
    <row r="2981" spans="2:15" ht="11.25" customHeight="1" x14ac:dyDescent="0.25">
      <c r="B2981" s="362" t="s">
        <v>711</v>
      </c>
      <c r="C2981" s="363"/>
      <c r="D2981" s="363"/>
      <c r="E2981" s="170">
        <v>1</v>
      </c>
      <c r="F2981" s="164"/>
      <c r="G2981" s="161"/>
      <c r="H2981" s="162">
        <v>35000</v>
      </c>
      <c r="I2981" s="143">
        <f>H2981*E2981</f>
        <v>35000</v>
      </c>
      <c r="K2981" s="281"/>
    </row>
    <row r="2982" spans="2:15" ht="10.5" customHeight="1" thickBot="1" x14ac:dyDescent="0.3">
      <c r="B2982" s="371" t="s">
        <v>318</v>
      </c>
      <c r="C2982" s="372"/>
      <c r="D2982" s="372"/>
      <c r="E2982" s="372"/>
      <c r="F2982" s="372"/>
      <c r="G2982" s="372"/>
      <c r="H2982" s="372"/>
      <c r="I2982" s="144">
        <f>SUM(I2981:I2981)</f>
        <v>35000</v>
      </c>
      <c r="K2982" s="281"/>
      <c r="N2982" s="150"/>
    </row>
    <row r="2983" spans="2:15" ht="6" customHeight="1" thickBot="1" x14ac:dyDescent="0.3">
      <c r="B2983" s="373"/>
      <c r="C2983" s="373"/>
      <c r="D2983" s="373"/>
      <c r="E2983" s="373"/>
      <c r="F2983" s="373"/>
      <c r="G2983" s="373"/>
      <c r="H2983" s="373"/>
      <c r="I2983" s="373"/>
    </row>
    <row r="2984" spans="2:15" s="145" customFormat="1" ht="20.100000000000001" customHeight="1" x14ac:dyDescent="0.25">
      <c r="B2984" s="380" t="s">
        <v>328</v>
      </c>
      <c r="C2984" s="381"/>
      <c r="D2984" s="381"/>
      <c r="E2984" s="381"/>
      <c r="F2984" s="381"/>
      <c r="G2984" s="381"/>
      <c r="H2984" s="381"/>
      <c r="I2984" s="382"/>
      <c r="K2984" s="147">
        <f>+I2991-K2985</f>
        <v>0.5</v>
      </c>
      <c r="N2984" s="148"/>
      <c r="O2984" s="149"/>
    </row>
    <row r="2985" spans="2:15" s="145" customFormat="1" ht="20.100000000000001" customHeight="1" x14ac:dyDescent="0.25">
      <c r="B2985" s="377" t="s">
        <v>329</v>
      </c>
      <c r="C2985" s="379"/>
      <c r="D2985" s="137" t="s">
        <v>322</v>
      </c>
      <c r="E2985" s="137" t="s">
        <v>330</v>
      </c>
      <c r="F2985" s="137" t="s">
        <v>331</v>
      </c>
      <c r="G2985" s="137" t="s">
        <v>332</v>
      </c>
      <c r="H2985" s="137" t="s">
        <v>313</v>
      </c>
      <c r="I2985" s="138" t="s">
        <v>314</v>
      </c>
      <c r="K2985" s="147">
        <v>4416982.5</v>
      </c>
      <c r="O2985" s="179"/>
    </row>
    <row r="2986" spans="2:15" s="151" customFormat="1" ht="9.75" customHeight="1" x14ac:dyDescent="0.25">
      <c r="B2986" s="367" t="s">
        <v>356</v>
      </c>
      <c r="C2986" s="368"/>
      <c r="D2986" s="180">
        <v>1</v>
      </c>
      <c r="E2986" s="141">
        <v>140000</v>
      </c>
      <c r="F2986" s="141">
        <f>+E2986*0.8</f>
        <v>112000</v>
      </c>
      <c r="G2986" s="178">
        <f>D2986*E2986+F2986*D2986</f>
        <v>252000</v>
      </c>
      <c r="H2986" s="184">
        <v>1.2</v>
      </c>
      <c r="I2986" s="143">
        <f>+G2986/H2986</f>
        <v>210000</v>
      </c>
      <c r="J2986" s="145"/>
      <c r="K2986" s="147"/>
    </row>
    <row r="2987" spans="2:15" s="151" customFormat="1" ht="11.25" customHeight="1" x14ac:dyDescent="0.25">
      <c r="B2987" s="367" t="s">
        <v>374</v>
      </c>
      <c r="C2987" s="368"/>
      <c r="D2987" s="180">
        <v>1</v>
      </c>
      <c r="E2987" s="141">
        <v>80000</v>
      </c>
      <c r="F2987" s="141">
        <f>+E2987*0.8</f>
        <v>64000</v>
      </c>
      <c r="G2987" s="178">
        <f>D2987*E2987+F2987*D2987</f>
        <v>144000</v>
      </c>
      <c r="H2987" s="184">
        <f>+H2986</f>
        <v>1.2</v>
      </c>
      <c r="I2987" s="143">
        <f>+G2987/H2987</f>
        <v>120000</v>
      </c>
      <c r="J2987" s="145"/>
      <c r="K2987" s="147"/>
      <c r="L2987" s="179"/>
      <c r="M2987" s="179"/>
    </row>
    <row r="2988" spans="2:15" s="145" customFormat="1" ht="10.5" customHeight="1" x14ac:dyDescent="0.25">
      <c r="B2988" s="367" t="s">
        <v>333</v>
      </c>
      <c r="C2988" s="368"/>
      <c r="D2988" s="180">
        <v>2</v>
      </c>
      <c r="E2988" s="141">
        <v>55000</v>
      </c>
      <c r="F2988" s="141">
        <f>+E2988*0.8</f>
        <v>44000</v>
      </c>
      <c r="G2988" s="178">
        <f>D2988*E2988+F2988*D2988</f>
        <v>198000</v>
      </c>
      <c r="H2988" s="184">
        <f>+H2987</f>
        <v>1.2</v>
      </c>
      <c r="I2988" s="143">
        <f>+G2988/H2988</f>
        <v>165000</v>
      </c>
      <c r="K2988" s="147"/>
    </row>
    <row r="2989" spans="2:15" ht="10.5" customHeight="1" thickBot="1" x14ac:dyDescent="0.3">
      <c r="B2989" s="371" t="s">
        <v>318</v>
      </c>
      <c r="C2989" s="372"/>
      <c r="D2989" s="372"/>
      <c r="E2989" s="372"/>
      <c r="F2989" s="372"/>
      <c r="G2989" s="372"/>
      <c r="H2989" s="372"/>
      <c r="I2989" s="144">
        <f>SUM(I2986:I2988)</f>
        <v>495000</v>
      </c>
      <c r="K2989" s="281"/>
      <c r="N2989" s="150"/>
    </row>
    <row r="2990" spans="2:15" ht="6" customHeight="1" thickBot="1" x14ac:dyDescent="0.3">
      <c r="B2990" s="373"/>
      <c r="C2990" s="373"/>
      <c r="D2990" s="373"/>
      <c r="E2990" s="373"/>
      <c r="F2990" s="373"/>
      <c r="G2990" s="373"/>
      <c r="H2990" s="373"/>
      <c r="I2990" s="373"/>
    </row>
    <row r="2991" spans="2:15" ht="10.5" customHeight="1" thickBot="1" x14ac:dyDescent="0.3">
      <c r="B2991" s="374" t="s">
        <v>334</v>
      </c>
      <c r="C2991" s="375"/>
      <c r="D2991" s="375"/>
      <c r="E2991" s="375"/>
      <c r="F2991" s="375"/>
      <c r="G2991" s="375"/>
      <c r="H2991" s="376"/>
      <c r="I2991" s="152">
        <f>ROUND(+I2972+I2977+I2982+I2989,0)</f>
        <v>4416983</v>
      </c>
      <c r="J2991" s="281"/>
      <c r="K2991" s="169"/>
      <c r="L2991" s="181"/>
      <c r="M2991" s="181"/>
      <c r="N2991" s="153"/>
    </row>
    <row r="2992" spans="2:15" ht="6" customHeight="1" thickBot="1" x14ac:dyDescent="0.3">
      <c r="B2992" s="373"/>
      <c r="C2992" s="373"/>
      <c r="D2992" s="373"/>
      <c r="E2992" s="373"/>
      <c r="F2992" s="373"/>
      <c r="G2992" s="373"/>
      <c r="H2992" s="373"/>
      <c r="I2992" s="373"/>
    </row>
    <row r="2993" spans="2:14" ht="8.25" customHeight="1" x14ac:dyDescent="0.25">
      <c r="B2993" s="433" t="s">
        <v>335</v>
      </c>
      <c r="C2993" s="417"/>
      <c r="D2993" s="418"/>
      <c r="E2993" s="418"/>
      <c r="F2993" s="419"/>
      <c r="G2993" s="369" t="s">
        <v>336</v>
      </c>
      <c r="H2993" s="370"/>
      <c r="I2993" s="370"/>
    </row>
    <row r="2994" spans="2:14" ht="33.75" customHeight="1" x14ac:dyDescent="0.25">
      <c r="B2994" s="434"/>
      <c r="C2994" s="420"/>
      <c r="D2994" s="421"/>
      <c r="E2994" s="421"/>
      <c r="F2994" s="422"/>
      <c r="G2994" s="430" t="s">
        <v>337</v>
      </c>
      <c r="H2994" s="431"/>
      <c r="I2994" s="431"/>
      <c r="L2994" s="181"/>
      <c r="M2994" s="181"/>
      <c r="N2994" s="179"/>
    </row>
    <row r="2995" spans="2:14" ht="13.5" customHeight="1" x14ac:dyDescent="0.25">
      <c r="B2995" s="434"/>
      <c r="C2995" s="420"/>
      <c r="D2995" s="421"/>
      <c r="E2995" s="421"/>
      <c r="F2995" s="422"/>
      <c r="G2995" s="154" t="s">
        <v>92</v>
      </c>
      <c r="H2995" s="432" t="s">
        <v>93</v>
      </c>
      <c r="I2995" s="432"/>
    </row>
    <row r="2996" spans="2:14" ht="16.5" customHeight="1" x14ac:dyDescent="0.25">
      <c r="B2996" s="435"/>
      <c r="C2996" s="420"/>
      <c r="D2996" s="421"/>
      <c r="E2996" s="421"/>
      <c r="F2996" s="422"/>
      <c r="G2996" s="155" t="s">
        <v>94</v>
      </c>
      <c r="H2996" s="156" t="s">
        <v>95</v>
      </c>
      <c r="I2996" s="157" t="s">
        <v>96</v>
      </c>
    </row>
    <row r="2997" spans="2:14" x14ac:dyDescent="0.25">
      <c r="B2997" s="268" t="s">
        <v>18</v>
      </c>
      <c r="C2997" s="427"/>
      <c r="D2997" s="428"/>
      <c r="E2997" s="428"/>
      <c r="F2997" s="429"/>
      <c r="G2997" s="155" t="s">
        <v>98</v>
      </c>
      <c r="H2997" s="157" t="s">
        <v>99</v>
      </c>
      <c r="I2997" s="157" t="s">
        <v>100</v>
      </c>
    </row>
    <row r="2998" spans="2:14" x14ac:dyDescent="0.25">
      <c r="B2998" s="269" t="s">
        <v>97</v>
      </c>
      <c r="C2998" s="427"/>
      <c r="D2998" s="428"/>
      <c r="E2998" s="428"/>
      <c r="F2998" s="429"/>
      <c r="G2998" s="154" t="s">
        <v>338</v>
      </c>
      <c r="H2998" s="426"/>
      <c r="I2998" s="426"/>
    </row>
    <row r="2999" spans="2:14" ht="15.75" thickBot="1" x14ac:dyDescent="0.3">
      <c r="B2999" s="270" t="s">
        <v>101</v>
      </c>
      <c r="C2999" s="423"/>
      <c r="D2999" s="424"/>
      <c r="E2999" s="424"/>
      <c r="F2999" s="425"/>
      <c r="G2999" s="154" t="s">
        <v>102</v>
      </c>
      <c r="H2999" s="426" t="s">
        <v>103</v>
      </c>
      <c r="I2999" s="426"/>
    </row>
    <row r="3000" spans="2:14" ht="45" customHeight="1" thickBot="1" x14ac:dyDescent="0.3">
      <c r="B3000" s="401"/>
      <c r="C3000" s="402"/>
      <c r="D3000" s="402"/>
      <c r="E3000" s="402"/>
      <c r="F3000" s="403" t="s">
        <v>0</v>
      </c>
      <c r="G3000" s="403"/>
      <c r="H3000" s="403"/>
      <c r="I3000" s="404"/>
    </row>
    <row r="3001" spans="2:14" ht="6" customHeight="1" thickBot="1" x14ac:dyDescent="0.3">
      <c r="B3001" s="373"/>
      <c r="C3001" s="373"/>
      <c r="D3001" s="373"/>
      <c r="E3001" s="373"/>
      <c r="F3001" s="373"/>
      <c r="G3001" s="373"/>
      <c r="H3001" s="373"/>
      <c r="I3001" s="373"/>
    </row>
    <row r="3002" spans="2:14" ht="10.5" customHeight="1" x14ac:dyDescent="0.25">
      <c r="B3002" s="405" t="s">
        <v>294</v>
      </c>
      <c r="C3002" s="406"/>
      <c r="D3002" s="407" t="s">
        <v>295</v>
      </c>
      <c r="E3002" s="409" t="s">
        <v>296</v>
      </c>
      <c r="F3002" s="410"/>
      <c r="G3002" s="410"/>
      <c r="H3002" s="410"/>
      <c r="I3002" s="411"/>
    </row>
    <row r="3003" spans="2:14" ht="9" customHeight="1" thickBot="1" x14ac:dyDescent="0.3">
      <c r="B3003" s="415"/>
      <c r="C3003" s="416"/>
      <c r="D3003" s="408"/>
      <c r="E3003" s="412"/>
      <c r="F3003" s="413"/>
      <c r="G3003" s="413"/>
      <c r="H3003" s="413"/>
      <c r="I3003" s="414"/>
    </row>
    <row r="3004" spans="2:14" ht="6" customHeight="1" thickBot="1" x14ac:dyDescent="0.3">
      <c r="B3004" s="373"/>
      <c r="C3004" s="373"/>
      <c r="D3004" s="373"/>
      <c r="E3004" s="373"/>
      <c r="F3004" s="373"/>
      <c r="G3004" s="373"/>
      <c r="H3004" s="373"/>
      <c r="I3004" s="373"/>
    </row>
    <row r="3005" spans="2:14" ht="17.25" customHeight="1" thickBot="1" x14ac:dyDescent="0.3">
      <c r="B3005" s="390" t="s">
        <v>297</v>
      </c>
      <c r="C3005" s="391"/>
      <c r="D3005" s="392"/>
      <c r="E3005" s="393"/>
      <c r="F3005" s="393"/>
      <c r="G3005" s="394"/>
      <c r="H3005" s="127" t="s">
        <v>298</v>
      </c>
      <c r="I3005" s="128"/>
    </row>
    <row r="3006" spans="2:14" ht="6" customHeight="1" thickBot="1" x14ac:dyDescent="0.3">
      <c r="B3006" s="373"/>
      <c r="C3006" s="373"/>
      <c r="D3006" s="373"/>
      <c r="E3006" s="373"/>
      <c r="F3006" s="373"/>
      <c r="G3006" s="373"/>
      <c r="H3006" s="373"/>
      <c r="I3006" s="373"/>
    </row>
    <row r="3007" spans="2:14" ht="19.5" customHeight="1" x14ac:dyDescent="0.25">
      <c r="B3007" s="261" t="s">
        <v>299</v>
      </c>
      <c r="C3007" s="129" t="s">
        <v>300</v>
      </c>
      <c r="D3007" s="130" t="s">
        <v>301</v>
      </c>
      <c r="E3007" s="130" t="s">
        <v>302</v>
      </c>
      <c r="F3007" s="398" t="s">
        <v>303</v>
      </c>
      <c r="G3007" s="399"/>
      <c r="H3007" s="400"/>
      <c r="I3007" s="131" t="s">
        <v>304</v>
      </c>
    </row>
    <row r="3008" spans="2:14" ht="11.25" customHeight="1" x14ac:dyDescent="0.25">
      <c r="B3008" s="262"/>
      <c r="C3008" s="132"/>
      <c r="D3008" s="132" t="s">
        <v>305</v>
      </c>
      <c r="E3008" s="132" t="s">
        <v>306</v>
      </c>
      <c r="F3008" s="395" t="s">
        <v>339</v>
      </c>
      <c r="G3008" s="396"/>
      <c r="H3008" s="397"/>
      <c r="I3008" s="133"/>
    </row>
    <row r="3009" spans="2:14" ht="28.5" customHeight="1" x14ac:dyDescent="0.25">
      <c r="B3009" s="263" t="s">
        <v>307</v>
      </c>
      <c r="C3009" s="383" t="s">
        <v>414</v>
      </c>
      <c r="D3009" s="384"/>
      <c r="E3009" s="384"/>
      <c r="F3009" s="384"/>
      <c r="G3009" s="384"/>
      <c r="H3009" s="384"/>
      <c r="I3009" s="385"/>
    </row>
    <row r="3010" spans="2:14" ht="10.5" customHeight="1" x14ac:dyDescent="0.25">
      <c r="B3010" s="264" t="s">
        <v>129</v>
      </c>
      <c r="C3010" s="388" t="s">
        <v>308</v>
      </c>
      <c r="D3010" s="389"/>
      <c r="E3010" s="389"/>
      <c r="F3010" s="389"/>
      <c r="G3010" s="389"/>
      <c r="H3010" s="389"/>
      <c r="I3010" s="134" t="s">
        <v>130</v>
      </c>
    </row>
    <row r="3011" spans="2:14" ht="50.25" customHeight="1" thickBot="1" x14ac:dyDescent="0.3">
      <c r="B3011" s="265">
        <v>8.1799999999999962</v>
      </c>
      <c r="C3011" s="386" t="s">
        <v>611</v>
      </c>
      <c r="D3011" s="387"/>
      <c r="E3011" s="387"/>
      <c r="F3011" s="387"/>
      <c r="G3011" s="387"/>
      <c r="H3011" s="387"/>
      <c r="I3011" s="135" t="s">
        <v>27</v>
      </c>
    </row>
    <row r="3012" spans="2:14" ht="6" customHeight="1" thickBot="1" x14ac:dyDescent="0.3">
      <c r="B3012" s="373"/>
      <c r="C3012" s="373"/>
      <c r="D3012" s="373"/>
      <c r="E3012" s="373"/>
      <c r="F3012" s="373"/>
      <c r="G3012" s="373"/>
      <c r="H3012" s="373"/>
      <c r="I3012" s="373"/>
    </row>
    <row r="3013" spans="2:14" x14ac:dyDescent="0.25">
      <c r="B3013" s="380" t="s">
        <v>309</v>
      </c>
      <c r="C3013" s="381"/>
      <c r="D3013" s="381"/>
      <c r="E3013" s="381"/>
      <c r="F3013" s="381"/>
      <c r="G3013" s="381"/>
      <c r="H3013" s="381"/>
      <c r="I3013" s="382"/>
      <c r="K3013" s="182"/>
    </row>
    <row r="3014" spans="2:14" ht="11.25" customHeight="1" x14ac:dyDescent="0.25">
      <c r="B3014" s="377" t="s">
        <v>310</v>
      </c>
      <c r="C3014" s="378"/>
      <c r="D3014" s="379"/>
      <c r="E3014" s="136"/>
      <c r="F3014" s="137" t="s">
        <v>311</v>
      </c>
      <c r="G3014" s="137" t="s">
        <v>312</v>
      </c>
      <c r="H3014" s="137" t="s">
        <v>313</v>
      </c>
      <c r="I3014" s="138" t="s">
        <v>314</v>
      </c>
      <c r="L3014" s="139"/>
      <c r="M3014" s="139"/>
    </row>
    <row r="3015" spans="2:14" ht="11.25" customHeight="1" x14ac:dyDescent="0.25">
      <c r="B3015" s="362" t="s">
        <v>315</v>
      </c>
      <c r="C3015" s="363"/>
      <c r="D3015" s="363"/>
      <c r="E3015" s="160"/>
      <c r="F3015" s="161" t="s">
        <v>316</v>
      </c>
      <c r="G3015" s="160">
        <v>5000</v>
      </c>
      <c r="H3015" s="142">
        <v>0.9</v>
      </c>
      <c r="I3015" s="143">
        <f>G3015*H3015</f>
        <v>4500</v>
      </c>
    </row>
    <row r="3016" spans="2:14" ht="16.5" customHeight="1" x14ac:dyDescent="0.25">
      <c r="B3016" s="362" t="s">
        <v>355</v>
      </c>
      <c r="C3016" s="363"/>
      <c r="D3016" s="363"/>
      <c r="E3016" s="160"/>
      <c r="F3016" s="161" t="s">
        <v>317</v>
      </c>
      <c r="G3016" s="160">
        <v>90000</v>
      </c>
      <c r="H3016" s="142">
        <f>+H3015</f>
        <v>0.9</v>
      </c>
      <c r="I3016" s="143">
        <f>G3016*H3016</f>
        <v>81000</v>
      </c>
    </row>
    <row r="3017" spans="2:14" ht="10.5" customHeight="1" thickBot="1" x14ac:dyDescent="0.3">
      <c r="B3017" s="371" t="s">
        <v>318</v>
      </c>
      <c r="C3017" s="372"/>
      <c r="D3017" s="372"/>
      <c r="E3017" s="372"/>
      <c r="F3017" s="372"/>
      <c r="G3017" s="372"/>
      <c r="H3017" s="372"/>
      <c r="I3017" s="144">
        <f>SUM(I3015:I3016)</f>
        <v>85500</v>
      </c>
      <c r="N3017" s="150"/>
    </row>
    <row r="3018" spans="2:14" ht="6" customHeight="1" thickBot="1" x14ac:dyDescent="0.3">
      <c r="B3018" s="373"/>
      <c r="C3018" s="373"/>
      <c r="D3018" s="373"/>
      <c r="E3018" s="373"/>
      <c r="F3018" s="373"/>
      <c r="G3018" s="373"/>
      <c r="H3018" s="373"/>
      <c r="I3018" s="373"/>
    </row>
    <row r="3019" spans="2:14" s="145" customFormat="1" x14ac:dyDescent="0.25">
      <c r="B3019" s="380" t="s">
        <v>319</v>
      </c>
      <c r="C3019" s="381"/>
      <c r="D3019" s="381"/>
      <c r="E3019" s="381"/>
      <c r="F3019" s="381"/>
      <c r="G3019" s="381"/>
      <c r="H3019" s="381"/>
      <c r="I3019" s="382"/>
    </row>
    <row r="3020" spans="2:14" s="145" customFormat="1" ht="15.75" customHeight="1" x14ac:dyDescent="0.25">
      <c r="B3020" s="377" t="s">
        <v>310</v>
      </c>
      <c r="C3020" s="378"/>
      <c r="D3020" s="379"/>
      <c r="E3020" s="137"/>
      <c r="F3020" s="137" t="s">
        <v>320</v>
      </c>
      <c r="G3020" s="137" t="s">
        <v>321</v>
      </c>
      <c r="H3020" s="137" t="s">
        <v>322</v>
      </c>
      <c r="I3020" s="138" t="s">
        <v>314</v>
      </c>
    </row>
    <row r="3021" spans="2:14" ht="72.75" customHeight="1" x14ac:dyDescent="0.25">
      <c r="B3021" s="436" t="s">
        <v>611</v>
      </c>
      <c r="C3021" s="437"/>
      <c r="D3021" s="438"/>
      <c r="E3021" s="163"/>
      <c r="F3021" s="161" t="s">
        <v>27</v>
      </c>
      <c r="G3021" s="160">
        <f>1189923+3062272+1673635-5059078+1+1165487</f>
        <v>2032240</v>
      </c>
      <c r="H3021" s="142">
        <v>1</v>
      </c>
      <c r="I3021" s="143">
        <f>G3021*H3021</f>
        <v>2032240</v>
      </c>
      <c r="M3021">
        <v>4608265</v>
      </c>
    </row>
    <row r="3022" spans="2:14" ht="18" customHeight="1" thickBot="1" x14ac:dyDescent="0.3">
      <c r="B3022" s="371" t="s">
        <v>318</v>
      </c>
      <c r="C3022" s="372"/>
      <c r="D3022" s="372"/>
      <c r="E3022" s="372"/>
      <c r="F3022" s="372"/>
      <c r="G3022" s="372"/>
      <c r="H3022" s="372"/>
      <c r="I3022" s="144">
        <f>SUM(I3021:I3021)</f>
        <v>2032240</v>
      </c>
      <c r="N3022" s="150"/>
    </row>
    <row r="3023" spans="2:14" ht="6" customHeight="1" thickBot="1" x14ac:dyDescent="0.3">
      <c r="B3023" s="373"/>
      <c r="C3023" s="373"/>
      <c r="D3023" s="373"/>
      <c r="E3023" s="373"/>
      <c r="F3023" s="373"/>
      <c r="G3023" s="373"/>
      <c r="H3023" s="373"/>
      <c r="I3023" s="373"/>
    </row>
    <row r="3024" spans="2:14" s="145" customFormat="1" x14ac:dyDescent="0.25">
      <c r="B3024" s="380" t="s">
        <v>323</v>
      </c>
      <c r="C3024" s="381"/>
      <c r="D3024" s="381"/>
      <c r="E3024" s="381"/>
      <c r="F3024" s="381"/>
      <c r="G3024" s="381"/>
      <c r="H3024" s="381"/>
      <c r="I3024" s="382"/>
      <c r="L3024" s="146"/>
      <c r="M3024" s="146"/>
    </row>
    <row r="3025" spans="2:15" s="145" customFormat="1" x14ac:dyDescent="0.25">
      <c r="B3025" s="377" t="s">
        <v>324</v>
      </c>
      <c r="C3025" s="378"/>
      <c r="D3025" s="379"/>
      <c r="E3025" s="137" t="s">
        <v>325</v>
      </c>
      <c r="F3025" s="137" t="s">
        <v>326</v>
      </c>
      <c r="G3025" s="137" t="s">
        <v>130</v>
      </c>
      <c r="H3025" s="137" t="s">
        <v>327</v>
      </c>
      <c r="I3025" s="138" t="s">
        <v>314</v>
      </c>
      <c r="K3025" s="260"/>
      <c r="N3025" s="183"/>
      <c r="O3025" s="148"/>
    </row>
    <row r="3026" spans="2:15" ht="11.25" customHeight="1" x14ac:dyDescent="0.25">
      <c r="B3026" s="362" t="s">
        <v>711</v>
      </c>
      <c r="C3026" s="363"/>
      <c r="D3026" s="363"/>
      <c r="E3026" s="170">
        <v>1</v>
      </c>
      <c r="F3026" s="164"/>
      <c r="G3026" s="161"/>
      <c r="H3026" s="162">
        <v>35000</v>
      </c>
      <c r="I3026" s="143">
        <f>H3026*E3026</f>
        <v>35000</v>
      </c>
      <c r="K3026" s="281"/>
    </row>
    <row r="3027" spans="2:15" ht="10.5" customHeight="1" thickBot="1" x14ac:dyDescent="0.3">
      <c r="B3027" s="371" t="s">
        <v>318</v>
      </c>
      <c r="C3027" s="372"/>
      <c r="D3027" s="372"/>
      <c r="E3027" s="372"/>
      <c r="F3027" s="372"/>
      <c r="G3027" s="372"/>
      <c r="H3027" s="372"/>
      <c r="I3027" s="144">
        <f>SUM(I3026:I3026)</f>
        <v>35000</v>
      </c>
      <c r="K3027" s="281"/>
      <c r="N3027" s="150"/>
    </row>
    <row r="3028" spans="2:15" ht="6" customHeight="1" thickBot="1" x14ac:dyDescent="0.3">
      <c r="B3028" s="373"/>
      <c r="C3028" s="373"/>
      <c r="D3028" s="373"/>
      <c r="E3028" s="373"/>
      <c r="F3028" s="373"/>
      <c r="G3028" s="373"/>
      <c r="H3028" s="373"/>
      <c r="I3028" s="373"/>
    </row>
    <row r="3029" spans="2:15" s="145" customFormat="1" ht="20.100000000000001" customHeight="1" x14ac:dyDescent="0.25">
      <c r="B3029" s="380" t="s">
        <v>328</v>
      </c>
      <c r="C3029" s="381"/>
      <c r="D3029" s="381"/>
      <c r="E3029" s="381"/>
      <c r="F3029" s="381"/>
      <c r="G3029" s="381"/>
      <c r="H3029" s="381"/>
      <c r="I3029" s="382"/>
      <c r="K3029" s="147">
        <v>2523990</v>
      </c>
      <c r="N3029" s="148"/>
      <c r="O3029" s="149"/>
    </row>
    <row r="3030" spans="2:15" s="145" customFormat="1" ht="20.100000000000001" customHeight="1" x14ac:dyDescent="0.25">
      <c r="B3030" s="377" t="s">
        <v>329</v>
      </c>
      <c r="C3030" s="379"/>
      <c r="D3030" s="137" t="s">
        <v>322</v>
      </c>
      <c r="E3030" s="137" t="s">
        <v>330</v>
      </c>
      <c r="F3030" s="137" t="s">
        <v>331</v>
      </c>
      <c r="G3030" s="137" t="s">
        <v>332</v>
      </c>
      <c r="H3030" s="137" t="s">
        <v>313</v>
      </c>
      <c r="I3030" s="138" t="s">
        <v>314</v>
      </c>
      <c r="K3030" s="147">
        <f>+K3029-I3036</f>
        <v>0</v>
      </c>
      <c r="O3030" s="179"/>
    </row>
    <row r="3031" spans="2:15" s="151" customFormat="1" ht="9.75" customHeight="1" x14ac:dyDescent="0.25">
      <c r="B3031" s="367" t="s">
        <v>356</v>
      </c>
      <c r="C3031" s="368"/>
      <c r="D3031" s="180">
        <v>1</v>
      </c>
      <c r="E3031" s="141">
        <v>140000</v>
      </c>
      <c r="F3031" s="141">
        <f>+E3031*0.8</f>
        <v>112000</v>
      </c>
      <c r="G3031" s="178">
        <f>D3031*E3031+F3031*D3031</f>
        <v>252000</v>
      </c>
      <c r="H3031" s="184">
        <v>1.6</v>
      </c>
      <c r="I3031" s="143">
        <f>+G3031/H3031</f>
        <v>157500</v>
      </c>
      <c r="J3031" s="145"/>
      <c r="K3031" s="147"/>
    </row>
    <row r="3032" spans="2:15" s="151" customFormat="1" ht="11.25" customHeight="1" x14ac:dyDescent="0.25">
      <c r="B3032" s="367" t="s">
        <v>374</v>
      </c>
      <c r="C3032" s="368"/>
      <c r="D3032" s="180">
        <v>1</v>
      </c>
      <c r="E3032" s="141">
        <v>80000</v>
      </c>
      <c r="F3032" s="141">
        <f>+E3032*0.8</f>
        <v>64000</v>
      </c>
      <c r="G3032" s="178">
        <f>D3032*E3032+F3032*D3032</f>
        <v>144000</v>
      </c>
      <c r="H3032" s="184">
        <f>+H3031</f>
        <v>1.6</v>
      </c>
      <c r="I3032" s="143">
        <f>+G3032/H3032</f>
        <v>90000</v>
      </c>
      <c r="J3032" s="145"/>
      <c r="K3032" s="147"/>
      <c r="L3032" s="179"/>
      <c r="M3032" s="179"/>
    </row>
    <row r="3033" spans="2:15" s="145" customFormat="1" ht="10.5" customHeight="1" x14ac:dyDescent="0.25">
      <c r="B3033" s="367" t="s">
        <v>333</v>
      </c>
      <c r="C3033" s="368"/>
      <c r="D3033" s="180">
        <v>2</v>
      </c>
      <c r="E3033" s="141">
        <v>55000</v>
      </c>
      <c r="F3033" s="141">
        <f>+E3033*0.8</f>
        <v>44000</v>
      </c>
      <c r="G3033" s="178">
        <f>D3033*E3033+F3033*D3033</f>
        <v>198000</v>
      </c>
      <c r="H3033" s="184">
        <f>+H3032</f>
        <v>1.6</v>
      </c>
      <c r="I3033" s="143">
        <f>+G3033/H3033</f>
        <v>123750</v>
      </c>
      <c r="K3033" s="147"/>
    </row>
    <row r="3034" spans="2:15" ht="10.5" customHeight="1" thickBot="1" x14ac:dyDescent="0.3">
      <c r="B3034" s="371" t="s">
        <v>318</v>
      </c>
      <c r="C3034" s="372"/>
      <c r="D3034" s="372"/>
      <c r="E3034" s="372"/>
      <c r="F3034" s="372"/>
      <c r="G3034" s="372"/>
      <c r="H3034" s="372"/>
      <c r="I3034" s="144">
        <f>SUM(I3031:I3033)</f>
        <v>371250</v>
      </c>
      <c r="K3034" s="281"/>
      <c r="N3034" s="150"/>
    </row>
    <row r="3035" spans="2:15" ht="6" customHeight="1" thickBot="1" x14ac:dyDescent="0.3">
      <c r="B3035" s="373"/>
      <c r="C3035" s="373"/>
      <c r="D3035" s="373"/>
      <c r="E3035" s="373"/>
      <c r="F3035" s="373"/>
      <c r="G3035" s="373"/>
      <c r="H3035" s="373"/>
      <c r="I3035" s="373"/>
    </row>
    <row r="3036" spans="2:15" ht="10.5" customHeight="1" thickBot="1" x14ac:dyDescent="0.3">
      <c r="B3036" s="374" t="s">
        <v>334</v>
      </c>
      <c r="C3036" s="375"/>
      <c r="D3036" s="375"/>
      <c r="E3036" s="375"/>
      <c r="F3036" s="375"/>
      <c r="G3036" s="375"/>
      <c r="H3036" s="376"/>
      <c r="I3036" s="152">
        <f>ROUND(+I3017+I3022+I3027+I3034,0)</f>
        <v>2523990</v>
      </c>
      <c r="J3036" s="281"/>
      <c r="K3036" s="169"/>
      <c r="L3036" s="181"/>
      <c r="M3036" s="181"/>
      <c r="N3036" s="153"/>
    </row>
    <row r="3037" spans="2:15" ht="6" customHeight="1" thickBot="1" x14ac:dyDescent="0.3">
      <c r="B3037" s="373"/>
      <c r="C3037" s="373"/>
      <c r="D3037" s="373"/>
      <c r="E3037" s="373"/>
      <c r="F3037" s="373"/>
      <c r="G3037" s="373"/>
      <c r="H3037" s="373"/>
      <c r="I3037" s="373"/>
    </row>
    <row r="3038" spans="2:15" ht="8.25" customHeight="1" x14ac:dyDescent="0.25">
      <c r="B3038" s="433" t="s">
        <v>335</v>
      </c>
      <c r="C3038" s="417"/>
      <c r="D3038" s="418"/>
      <c r="E3038" s="418"/>
      <c r="F3038" s="419"/>
      <c r="G3038" s="369" t="s">
        <v>336</v>
      </c>
      <c r="H3038" s="370"/>
      <c r="I3038" s="370"/>
    </row>
    <row r="3039" spans="2:15" ht="33.75" customHeight="1" x14ac:dyDescent="0.25">
      <c r="B3039" s="434"/>
      <c r="C3039" s="420"/>
      <c r="D3039" s="421"/>
      <c r="E3039" s="421"/>
      <c r="F3039" s="422"/>
      <c r="G3039" s="430" t="s">
        <v>337</v>
      </c>
      <c r="H3039" s="431"/>
      <c r="I3039" s="431"/>
      <c r="L3039" s="181"/>
      <c r="M3039" s="181"/>
      <c r="N3039" s="179"/>
    </row>
    <row r="3040" spans="2:15" ht="13.5" customHeight="1" x14ac:dyDescent="0.25">
      <c r="B3040" s="434"/>
      <c r="C3040" s="420"/>
      <c r="D3040" s="421"/>
      <c r="E3040" s="421"/>
      <c r="F3040" s="422"/>
      <c r="G3040" s="154" t="s">
        <v>92</v>
      </c>
      <c r="H3040" s="432" t="s">
        <v>93</v>
      </c>
      <c r="I3040" s="432"/>
    </row>
    <row r="3041" spans="2:9" ht="16.5" customHeight="1" x14ac:dyDescent="0.25">
      <c r="B3041" s="435"/>
      <c r="C3041" s="420"/>
      <c r="D3041" s="421"/>
      <c r="E3041" s="421"/>
      <c r="F3041" s="422"/>
      <c r="G3041" s="155" t="s">
        <v>94</v>
      </c>
      <c r="H3041" s="156" t="s">
        <v>95</v>
      </c>
      <c r="I3041" s="157" t="s">
        <v>96</v>
      </c>
    </row>
    <row r="3042" spans="2:9" x14ac:dyDescent="0.25">
      <c r="B3042" s="268" t="s">
        <v>18</v>
      </c>
      <c r="C3042" s="427"/>
      <c r="D3042" s="428"/>
      <c r="E3042" s="428"/>
      <c r="F3042" s="429"/>
      <c r="G3042" s="155" t="s">
        <v>98</v>
      </c>
      <c r="H3042" s="157" t="s">
        <v>99</v>
      </c>
      <c r="I3042" s="157" t="s">
        <v>100</v>
      </c>
    </row>
    <row r="3043" spans="2:9" x14ac:dyDescent="0.25">
      <c r="B3043" s="269" t="s">
        <v>97</v>
      </c>
      <c r="C3043" s="427"/>
      <c r="D3043" s="428"/>
      <c r="E3043" s="428"/>
      <c r="F3043" s="429"/>
      <c r="G3043" s="154" t="s">
        <v>338</v>
      </c>
      <c r="H3043" s="426"/>
      <c r="I3043" s="426"/>
    </row>
    <row r="3044" spans="2:9" ht="15.75" thickBot="1" x14ac:dyDescent="0.3">
      <c r="B3044" s="270" t="s">
        <v>101</v>
      </c>
      <c r="C3044" s="423"/>
      <c r="D3044" s="424"/>
      <c r="E3044" s="424"/>
      <c r="F3044" s="425"/>
      <c r="G3044" s="154" t="s">
        <v>102</v>
      </c>
      <c r="H3044" s="426" t="s">
        <v>103</v>
      </c>
      <c r="I3044" s="426"/>
    </row>
    <row r="3045" spans="2:9" ht="45" customHeight="1" thickBot="1" x14ac:dyDescent="0.3">
      <c r="B3045" s="401"/>
      <c r="C3045" s="402"/>
      <c r="D3045" s="402"/>
      <c r="E3045" s="402"/>
      <c r="F3045" s="403" t="s">
        <v>0</v>
      </c>
      <c r="G3045" s="403"/>
      <c r="H3045" s="403"/>
      <c r="I3045" s="404"/>
    </row>
    <row r="3046" spans="2:9" ht="6" customHeight="1" thickBot="1" x14ac:dyDescent="0.3">
      <c r="B3046" s="373"/>
      <c r="C3046" s="373"/>
      <c r="D3046" s="373"/>
      <c r="E3046" s="373"/>
      <c r="F3046" s="373"/>
      <c r="G3046" s="373"/>
      <c r="H3046" s="373"/>
      <c r="I3046" s="373"/>
    </row>
    <row r="3047" spans="2:9" ht="10.5" customHeight="1" x14ac:dyDescent="0.25">
      <c r="B3047" s="405" t="s">
        <v>294</v>
      </c>
      <c r="C3047" s="406"/>
      <c r="D3047" s="407" t="s">
        <v>295</v>
      </c>
      <c r="E3047" s="409" t="s">
        <v>296</v>
      </c>
      <c r="F3047" s="410"/>
      <c r="G3047" s="410"/>
      <c r="H3047" s="410"/>
      <c r="I3047" s="411"/>
    </row>
    <row r="3048" spans="2:9" ht="9" customHeight="1" thickBot="1" x14ac:dyDescent="0.3">
      <c r="B3048" s="415"/>
      <c r="C3048" s="416"/>
      <c r="D3048" s="408"/>
      <c r="E3048" s="412"/>
      <c r="F3048" s="413"/>
      <c r="G3048" s="413"/>
      <c r="H3048" s="413"/>
      <c r="I3048" s="414"/>
    </row>
    <row r="3049" spans="2:9" ht="6" customHeight="1" thickBot="1" x14ac:dyDescent="0.3">
      <c r="B3049" s="373"/>
      <c r="C3049" s="373"/>
      <c r="D3049" s="373"/>
      <c r="E3049" s="373"/>
      <c r="F3049" s="373"/>
      <c r="G3049" s="373"/>
      <c r="H3049" s="373"/>
      <c r="I3049" s="373"/>
    </row>
    <row r="3050" spans="2:9" ht="17.25" customHeight="1" thickBot="1" x14ac:dyDescent="0.3">
      <c r="B3050" s="390" t="s">
        <v>297</v>
      </c>
      <c r="C3050" s="391"/>
      <c r="D3050" s="392"/>
      <c r="E3050" s="393"/>
      <c r="F3050" s="393"/>
      <c r="G3050" s="394"/>
      <c r="H3050" s="127" t="s">
        <v>298</v>
      </c>
      <c r="I3050" s="128"/>
    </row>
    <row r="3051" spans="2:9" ht="6" customHeight="1" thickBot="1" x14ac:dyDescent="0.3">
      <c r="B3051" s="373"/>
      <c r="C3051" s="373"/>
      <c r="D3051" s="373"/>
      <c r="E3051" s="373"/>
      <c r="F3051" s="373"/>
      <c r="G3051" s="373"/>
      <c r="H3051" s="373"/>
      <c r="I3051" s="373"/>
    </row>
    <row r="3052" spans="2:9" ht="19.5" customHeight="1" x14ac:dyDescent="0.25">
      <c r="B3052" s="261" t="s">
        <v>299</v>
      </c>
      <c r="C3052" s="129" t="s">
        <v>300</v>
      </c>
      <c r="D3052" s="130" t="s">
        <v>301</v>
      </c>
      <c r="E3052" s="130" t="s">
        <v>302</v>
      </c>
      <c r="F3052" s="398" t="s">
        <v>303</v>
      </c>
      <c r="G3052" s="399"/>
      <c r="H3052" s="400"/>
      <c r="I3052" s="131" t="s">
        <v>304</v>
      </c>
    </row>
    <row r="3053" spans="2:9" ht="11.25" customHeight="1" x14ac:dyDescent="0.25">
      <c r="B3053" s="262"/>
      <c r="C3053" s="132"/>
      <c r="D3053" s="132" t="s">
        <v>305</v>
      </c>
      <c r="E3053" s="132" t="s">
        <v>306</v>
      </c>
      <c r="F3053" s="395" t="s">
        <v>339</v>
      </c>
      <c r="G3053" s="396"/>
      <c r="H3053" s="397"/>
      <c r="I3053" s="133"/>
    </row>
    <row r="3054" spans="2:9" ht="28.5" customHeight="1" x14ac:dyDescent="0.25">
      <c r="B3054" s="263" t="s">
        <v>307</v>
      </c>
      <c r="C3054" s="383" t="s">
        <v>414</v>
      </c>
      <c r="D3054" s="384"/>
      <c r="E3054" s="384"/>
      <c r="F3054" s="384"/>
      <c r="G3054" s="384"/>
      <c r="H3054" s="384"/>
      <c r="I3054" s="385"/>
    </row>
    <row r="3055" spans="2:9" ht="10.5" customHeight="1" x14ac:dyDescent="0.25">
      <c r="B3055" s="264" t="s">
        <v>129</v>
      </c>
      <c r="C3055" s="388" t="s">
        <v>308</v>
      </c>
      <c r="D3055" s="389"/>
      <c r="E3055" s="389"/>
      <c r="F3055" s="389"/>
      <c r="G3055" s="389"/>
      <c r="H3055" s="389"/>
      <c r="I3055" s="134" t="s">
        <v>130</v>
      </c>
    </row>
    <row r="3056" spans="2:9" ht="50.25" customHeight="1" thickBot="1" x14ac:dyDescent="0.3">
      <c r="B3056" s="265">
        <v>8.1899999999999959</v>
      </c>
      <c r="C3056" s="386" t="s">
        <v>612</v>
      </c>
      <c r="D3056" s="387"/>
      <c r="E3056" s="387"/>
      <c r="F3056" s="387"/>
      <c r="G3056" s="387"/>
      <c r="H3056" s="387"/>
      <c r="I3056" s="135" t="s">
        <v>27</v>
      </c>
    </row>
    <row r="3057" spans="2:15" ht="6" customHeight="1" thickBot="1" x14ac:dyDescent="0.3">
      <c r="B3057" s="373"/>
      <c r="C3057" s="373"/>
      <c r="D3057" s="373"/>
      <c r="E3057" s="373"/>
      <c r="F3057" s="373"/>
      <c r="G3057" s="373"/>
      <c r="H3057" s="373"/>
      <c r="I3057" s="373"/>
    </row>
    <row r="3058" spans="2:15" x14ac:dyDescent="0.25">
      <c r="B3058" s="380" t="s">
        <v>309</v>
      </c>
      <c r="C3058" s="381"/>
      <c r="D3058" s="381"/>
      <c r="E3058" s="381"/>
      <c r="F3058" s="381"/>
      <c r="G3058" s="381"/>
      <c r="H3058" s="381"/>
      <c r="I3058" s="382"/>
      <c r="K3058" s="182"/>
    </row>
    <row r="3059" spans="2:15" ht="11.25" customHeight="1" x14ac:dyDescent="0.25">
      <c r="B3059" s="377" t="s">
        <v>310</v>
      </c>
      <c r="C3059" s="378"/>
      <c r="D3059" s="379"/>
      <c r="E3059" s="136"/>
      <c r="F3059" s="137" t="s">
        <v>311</v>
      </c>
      <c r="G3059" s="137" t="s">
        <v>312</v>
      </c>
      <c r="H3059" s="137" t="s">
        <v>313</v>
      </c>
      <c r="I3059" s="138" t="s">
        <v>314</v>
      </c>
      <c r="L3059" s="139"/>
      <c r="M3059" s="139"/>
    </row>
    <row r="3060" spans="2:15" ht="11.25" customHeight="1" x14ac:dyDescent="0.25">
      <c r="B3060" s="362" t="s">
        <v>315</v>
      </c>
      <c r="C3060" s="363"/>
      <c r="D3060" s="363"/>
      <c r="E3060" s="160"/>
      <c r="F3060" s="161" t="s">
        <v>316</v>
      </c>
      <c r="G3060" s="160">
        <v>5000</v>
      </c>
      <c r="H3060" s="142">
        <v>1</v>
      </c>
      <c r="I3060" s="143">
        <f>G3060*H3060</f>
        <v>5000</v>
      </c>
    </row>
    <row r="3061" spans="2:15" ht="16.5" customHeight="1" x14ac:dyDescent="0.25">
      <c r="B3061" s="362" t="s">
        <v>355</v>
      </c>
      <c r="C3061" s="363"/>
      <c r="D3061" s="363"/>
      <c r="E3061" s="160"/>
      <c r="F3061" s="161" t="s">
        <v>317</v>
      </c>
      <c r="G3061" s="160">
        <v>90000</v>
      </c>
      <c r="H3061" s="142">
        <f>+H3060</f>
        <v>1</v>
      </c>
      <c r="I3061" s="143">
        <f>G3061*H3061</f>
        <v>90000</v>
      </c>
    </row>
    <row r="3062" spans="2:15" ht="10.5" customHeight="1" thickBot="1" x14ac:dyDescent="0.3">
      <c r="B3062" s="371" t="s">
        <v>318</v>
      </c>
      <c r="C3062" s="372"/>
      <c r="D3062" s="372"/>
      <c r="E3062" s="372"/>
      <c r="F3062" s="372"/>
      <c r="G3062" s="372"/>
      <c r="H3062" s="372"/>
      <c r="I3062" s="144">
        <f>SUM(I3060:I3061)</f>
        <v>95000</v>
      </c>
      <c r="N3062" s="150"/>
    </row>
    <row r="3063" spans="2:15" ht="6" customHeight="1" thickBot="1" x14ac:dyDescent="0.3">
      <c r="B3063" s="373"/>
      <c r="C3063" s="373"/>
      <c r="D3063" s="373"/>
      <c r="E3063" s="373"/>
      <c r="F3063" s="373"/>
      <c r="G3063" s="373"/>
      <c r="H3063" s="373"/>
      <c r="I3063" s="373"/>
    </row>
    <row r="3064" spans="2:15" s="145" customFormat="1" x14ac:dyDescent="0.25">
      <c r="B3064" s="380" t="s">
        <v>319</v>
      </c>
      <c r="C3064" s="381"/>
      <c r="D3064" s="381"/>
      <c r="E3064" s="381"/>
      <c r="F3064" s="381"/>
      <c r="G3064" s="381"/>
      <c r="H3064" s="381"/>
      <c r="I3064" s="382"/>
    </row>
    <row r="3065" spans="2:15" s="145" customFormat="1" ht="15.75" customHeight="1" x14ac:dyDescent="0.25">
      <c r="B3065" s="377" t="s">
        <v>310</v>
      </c>
      <c r="C3065" s="378"/>
      <c r="D3065" s="379"/>
      <c r="E3065" s="137"/>
      <c r="F3065" s="137" t="s">
        <v>320</v>
      </c>
      <c r="G3065" s="137" t="s">
        <v>321</v>
      </c>
      <c r="H3065" s="137" t="s">
        <v>322</v>
      </c>
      <c r="I3065" s="138" t="s">
        <v>314</v>
      </c>
    </row>
    <row r="3066" spans="2:15" ht="72.75" customHeight="1" x14ac:dyDescent="0.25">
      <c r="B3066" s="436" t="s">
        <v>612</v>
      </c>
      <c r="C3066" s="437"/>
      <c r="D3066" s="438"/>
      <c r="E3066" s="163"/>
      <c r="F3066" s="161" t="s">
        <v>27</v>
      </c>
      <c r="G3066" s="160">
        <v>3791993</v>
      </c>
      <c r="H3066" s="142">
        <v>1</v>
      </c>
      <c r="I3066" s="143">
        <f>G3066*H3066</f>
        <v>3791993</v>
      </c>
      <c r="M3066">
        <v>4608265</v>
      </c>
    </row>
    <row r="3067" spans="2:15" ht="18" customHeight="1" thickBot="1" x14ac:dyDescent="0.3">
      <c r="B3067" s="371" t="s">
        <v>318</v>
      </c>
      <c r="C3067" s="372"/>
      <c r="D3067" s="372"/>
      <c r="E3067" s="372"/>
      <c r="F3067" s="372"/>
      <c r="G3067" s="372"/>
      <c r="H3067" s="372"/>
      <c r="I3067" s="144">
        <f>SUM(I3066:I3066)</f>
        <v>3791993</v>
      </c>
      <c r="N3067" s="150"/>
    </row>
    <row r="3068" spans="2:15" ht="6" customHeight="1" thickBot="1" x14ac:dyDescent="0.3">
      <c r="B3068" s="373"/>
      <c r="C3068" s="373"/>
      <c r="D3068" s="373"/>
      <c r="E3068" s="373"/>
      <c r="F3068" s="373"/>
      <c r="G3068" s="373"/>
      <c r="H3068" s="373"/>
      <c r="I3068" s="373"/>
    </row>
    <row r="3069" spans="2:15" s="145" customFormat="1" x14ac:dyDescent="0.25">
      <c r="B3069" s="380" t="s">
        <v>323</v>
      </c>
      <c r="C3069" s="381"/>
      <c r="D3069" s="381"/>
      <c r="E3069" s="381"/>
      <c r="F3069" s="381"/>
      <c r="G3069" s="381"/>
      <c r="H3069" s="381"/>
      <c r="I3069" s="382"/>
      <c r="L3069" s="146"/>
      <c r="M3069" s="146"/>
    </row>
    <row r="3070" spans="2:15" s="145" customFormat="1" x14ac:dyDescent="0.25">
      <c r="B3070" s="377" t="s">
        <v>324</v>
      </c>
      <c r="C3070" s="378"/>
      <c r="D3070" s="379"/>
      <c r="E3070" s="137" t="s">
        <v>325</v>
      </c>
      <c r="F3070" s="137" t="s">
        <v>326</v>
      </c>
      <c r="G3070" s="137" t="s">
        <v>130</v>
      </c>
      <c r="H3070" s="137" t="s">
        <v>327</v>
      </c>
      <c r="I3070" s="138" t="s">
        <v>314</v>
      </c>
      <c r="K3070" s="260"/>
      <c r="N3070" s="183"/>
      <c r="O3070" s="148"/>
    </row>
    <row r="3071" spans="2:15" ht="11.25" customHeight="1" x14ac:dyDescent="0.25">
      <c r="B3071" s="362" t="s">
        <v>711</v>
      </c>
      <c r="C3071" s="363"/>
      <c r="D3071" s="363"/>
      <c r="E3071" s="170">
        <v>1</v>
      </c>
      <c r="F3071" s="164"/>
      <c r="G3071" s="161"/>
      <c r="H3071" s="162">
        <v>35000</v>
      </c>
      <c r="I3071" s="143">
        <f>H3071*E3071</f>
        <v>35000</v>
      </c>
      <c r="K3071" s="281"/>
    </row>
    <row r="3072" spans="2:15" ht="10.5" customHeight="1" thickBot="1" x14ac:dyDescent="0.3">
      <c r="B3072" s="371" t="s">
        <v>318</v>
      </c>
      <c r="C3072" s="372"/>
      <c r="D3072" s="372"/>
      <c r="E3072" s="372"/>
      <c r="F3072" s="372"/>
      <c r="G3072" s="372"/>
      <c r="H3072" s="372"/>
      <c r="I3072" s="144">
        <f>SUM(I3071:I3071)</f>
        <v>35000</v>
      </c>
      <c r="K3072" s="281"/>
      <c r="N3072" s="150"/>
    </row>
    <row r="3073" spans="2:15" ht="6" customHeight="1" thickBot="1" x14ac:dyDescent="0.3">
      <c r="B3073" s="373"/>
      <c r="C3073" s="373"/>
      <c r="D3073" s="373"/>
      <c r="E3073" s="373"/>
      <c r="F3073" s="373"/>
      <c r="G3073" s="373"/>
      <c r="H3073" s="373"/>
      <c r="I3073" s="373"/>
    </row>
    <row r="3074" spans="2:15" s="145" customFormat="1" ht="20.100000000000001" customHeight="1" x14ac:dyDescent="0.25">
      <c r="B3074" s="380" t="s">
        <v>328</v>
      </c>
      <c r="C3074" s="381"/>
      <c r="D3074" s="381"/>
      <c r="E3074" s="381"/>
      <c r="F3074" s="381"/>
      <c r="G3074" s="381"/>
      <c r="H3074" s="381"/>
      <c r="I3074" s="382"/>
      <c r="K3074" s="147">
        <v>4416982.5</v>
      </c>
      <c r="N3074" s="148"/>
      <c r="O3074" s="149"/>
    </row>
    <row r="3075" spans="2:15" s="145" customFormat="1" ht="20.100000000000001" customHeight="1" x14ac:dyDescent="0.25">
      <c r="B3075" s="377" t="s">
        <v>329</v>
      </c>
      <c r="C3075" s="379"/>
      <c r="D3075" s="137" t="s">
        <v>322</v>
      </c>
      <c r="E3075" s="137" t="s">
        <v>330</v>
      </c>
      <c r="F3075" s="137" t="s">
        <v>331</v>
      </c>
      <c r="G3075" s="137" t="s">
        <v>332</v>
      </c>
      <c r="H3075" s="137" t="s">
        <v>313</v>
      </c>
      <c r="I3075" s="138" t="s">
        <v>314</v>
      </c>
      <c r="K3075" s="147"/>
      <c r="O3075" s="179"/>
    </row>
    <row r="3076" spans="2:15" s="151" customFormat="1" ht="9.75" customHeight="1" x14ac:dyDescent="0.25">
      <c r="B3076" s="367" t="s">
        <v>356</v>
      </c>
      <c r="C3076" s="368"/>
      <c r="D3076" s="180">
        <v>1</v>
      </c>
      <c r="E3076" s="141">
        <v>140000</v>
      </c>
      <c r="F3076" s="141">
        <f>+E3076*0.8</f>
        <v>112000</v>
      </c>
      <c r="G3076" s="178">
        <f>D3076*E3076+F3076*D3076</f>
        <v>252000</v>
      </c>
      <c r="H3076" s="184">
        <v>1.2</v>
      </c>
      <c r="I3076" s="143">
        <f>+G3076/H3076</f>
        <v>210000</v>
      </c>
      <c r="J3076" s="145"/>
      <c r="K3076" s="147"/>
    </row>
    <row r="3077" spans="2:15" s="151" customFormat="1" ht="11.25" customHeight="1" x14ac:dyDescent="0.25">
      <c r="B3077" s="367" t="s">
        <v>374</v>
      </c>
      <c r="C3077" s="368"/>
      <c r="D3077" s="180">
        <v>1</v>
      </c>
      <c r="E3077" s="141">
        <v>80000</v>
      </c>
      <c r="F3077" s="141">
        <f>+E3077*0.8</f>
        <v>64000</v>
      </c>
      <c r="G3077" s="178">
        <f>D3077*E3077+F3077*D3077</f>
        <v>144000</v>
      </c>
      <c r="H3077" s="184">
        <f>+H3076</f>
        <v>1.2</v>
      </c>
      <c r="I3077" s="143">
        <f>+G3077/H3077</f>
        <v>120000</v>
      </c>
      <c r="J3077" s="145"/>
      <c r="K3077" s="147"/>
      <c r="L3077" s="179"/>
      <c r="M3077" s="179"/>
    </row>
    <row r="3078" spans="2:15" s="145" customFormat="1" ht="10.5" customHeight="1" x14ac:dyDescent="0.25">
      <c r="B3078" s="367" t="s">
        <v>333</v>
      </c>
      <c r="C3078" s="368"/>
      <c r="D3078" s="180">
        <v>2</v>
      </c>
      <c r="E3078" s="141">
        <v>55000</v>
      </c>
      <c r="F3078" s="141">
        <f>+E3078*0.8</f>
        <v>44000</v>
      </c>
      <c r="G3078" s="178">
        <f>D3078*E3078+F3078*D3078</f>
        <v>198000</v>
      </c>
      <c r="H3078" s="184">
        <f>+H3077</f>
        <v>1.2</v>
      </c>
      <c r="I3078" s="143">
        <f>+G3078/H3078</f>
        <v>165000</v>
      </c>
      <c r="K3078" s="147"/>
    </row>
    <row r="3079" spans="2:15" ht="10.5" customHeight="1" thickBot="1" x14ac:dyDescent="0.3">
      <c r="B3079" s="371" t="s">
        <v>318</v>
      </c>
      <c r="C3079" s="372"/>
      <c r="D3079" s="372"/>
      <c r="E3079" s="372"/>
      <c r="F3079" s="372"/>
      <c r="G3079" s="372"/>
      <c r="H3079" s="372"/>
      <c r="I3079" s="144">
        <f>SUM(I3076:I3078)</f>
        <v>495000</v>
      </c>
      <c r="K3079" s="281"/>
      <c r="N3079" s="150"/>
    </row>
    <row r="3080" spans="2:15" ht="6" customHeight="1" thickBot="1" x14ac:dyDescent="0.3">
      <c r="B3080" s="373"/>
      <c r="C3080" s="373"/>
      <c r="D3080" s="373"/>
      <c r="E3080" s="373"/>
      <c r="F3080" s="373"/>
      <c r="G3080" s="373"/>
      <c r="H3080" s="373"/>
      <c r="I3080" s="373"/>
    </row>
    <row r="3081" spans="2:15" ht="10.5" customHeight="1" thickBot="1" x14ac:dyDescent="0.3">
      <c r="B3081" s="374" t="s">
        <v>334</v>
      </c>
      <c r="C3081" s="375"/>
      <c r="D3081" s="375"/>
      <c r="E3081" s="375"/>
      <c r="F3081" s="375"/>
      <c r="G3081" s="375"/>
      <c r="H3081" s="376"/>
      <c r="I3081" s="152">
        <f>ROUND(+I3062+I3067+I3072+I3079,0)</f>
        <v>4416993</v>
      </c>
      <c r="J3081" s="281"/>
      <c r="K3081" s="169"/>
      <c r="L3081" s="181"/>
      <c r="M3081" s="181"/>
      <c r="N3081" s="153"/>
    </row>
    <row r="3082" spans="2:15" ht="6" customHeight="1" thickBot="1" x14ac:dyDescent="0.3">
      <c r="B3082" s="373"/>
      <c r="C3082" s="373"/>
      <c r="D3082" s="373"/>
      <c r="E3082" s="373"/>
      <c r="F3082" s="373"/>
      <c r="G3082" s="373"/>
      <c r="H3082" s="373"/>
      <c r="I3082" s="373"/>
    </row>
    <row r="3083" spans="2:15" ht="8.25" customHeight="1" x14ac:dyDescent="0.25">
      <c r="B3083" s="433" t="s">
        <v>335</v>
      </c>
      <c r="C3083" s="417"/>
      <c r="D3083" s="418"/>
      <c r="E3083" s="418"/>
      <c r="F3083" s="419"/>
      <c r="G3083" s="369" t="s">
        <v>336</v>
      </c>
      <c r="H3083" s="370"/>
      <c r="I3083" s="370"/>
    </row>
    <row r="3084" spans="2:15" ht="33.75" customHeight="1" x14ac:dyDescent="0.25">
      <c r="B3084" s="434"/>
      <c r="C3084" s="420"/>
      <c r="D3084" s="421"/>
      <c r="E3084" s="421"/>
      <c r="F3084" s="422"/>
      <c r="G3084" s="430" t="s">
        <v>337</v>
      </c>
      <c r="H3084" s="431"/>
      <c r="I3084" s="431"/>
      <c r="L3084" s="181"/>
      <c r="M3084" s="181"/>
      <c r="N3084" s="179"/>
    </row>
    <row r="3085" spans="2:15" ht="13.5" customHeight="1" x14ac:dyDescent="0.25">
      <c r="B3085" s="434"/>
      <c r="C3085" s="420"/>
      <c r="D3085" s="421"/>
      <c r="E3085" s="421"/>
      <c r="F3085" s="422"/>
      <c r="G3085" s="154" t="s">
        <v>92</v>
      </c>
      <c r="H3085" s="432" t="s">
        <v>93</v>
      </c>
      <c r="I3085" s="432"/>
    </row>
    <row r="3086" spans="2:15" ht="16.5" customHeight="1" x14ac:dyDescent="0.25">
      <c r="B3086" s="435"/>
      <c r="C3086" s="420"/>
      <c r="D3086" s="421"/>
      <c r="E3086" s="421"/>
      <c r="F3086" s="422"/>
      <c r="G3086" s="155" t="s">
        <v>94</v>
      </c>
      <c r="H3086" s="156" t="s">
        <v>95</v>
      </c>
      <c r="I3086" s="157" t="s">
        <v>96</v>
      </c>
    </row>
    <row r="3087" spans="2:15" x14ac:dyDescent="0.25">
      <c r="B3087" s="268" t="s">
        <v>18</v>
      </c>
      <c r="C3087" s="427"/>
      <c r="D3087" s="428"/>
      <c r="E3087" s="428"/>
      <c r="F3087" s="429"/>
      <c r="G3087" s="155" t="s">
        <v>98</v>
      </c>
      <c r="H3087" s="157" t="s">
        <v>99</v>
      </c>
      <c r="I3087" s="157" t="s">
        <v>100</v>
      </c>
    </row>
    <row r="3088" spans="2:15" x14ac:dyDescent="0.25">
      <c r="B3088" s="269" t="s">
        <v>97</v>
      </c>
      <c r="C3088" s="427"/>
      <c r="D3088" s="428"/>
      <c r="E3088" s="428"/>
      <c r="F3088" s="429"/>
      <c r="G3088" s="154" t="s">
        <v>338</v>
      </c>
      <c r="H3088" s="426"/>
      <c r="I3088" s="426"/>
    </row>
    <row r="3089" spans="2:13" ht="15.75" thickBot="1" x14ac:dyDescent="0.3">
      <c r="B3089" s="270" t="s">
        <v>101</v>
      </c>
      <c r="C3089" s="423"/>
      <c r="D3089" s="424"/>
      <c r="E3089" s="424"/>
      <c r="F3089" s="425"/>
      <c r="G3089" s="154" t="s">
        <v>102</v>
      </c>
      <c r="H3089" s="426" t="s">
        <v>103</v>
      </c>
      <c r="I3089" s="426"/>
    </row>
    <row r="3090" spans="2:13" ht="45" customHeight="1" thickBot="1" x14ac:dyDescent="0.3">
      <c r="B3090" s="401"/>
      <c r="C3090" s="402"/>
      <c r="D3090" s="402"/>
      <c r="E3090" s="402"/>
      <c r="F3090" s="403" t="s">
        <v>0</v>
      </c>
      <c r="G3090" s="403"/>
      <c r="H3090" s="403"/>
      <c r="I3090" s="404"/>
    </row>
    <row r="3091" spans="2:13" ht="6" customHeight="1" thickBot="1" x14ac:dyDescent="0.3">
      <c r="B3091" s="373"/>
      <c r="C3091" s="373"/>
      <c r="D3091" s="373"/>
      <c r="E3091" s="373"/>
      <c r="F3091" s="373"/>
      <c r="G3091" s="373"/>
      <c r="H3091" s="373"/>
      <c r="I3091" s="373"/>
    </row>
    <row r="3092" spans="2:13" ht="10.5" customHeight="1" x14ac:dyDescent="0.25">
      <c r="B3092" s="405" t="s">
        <v>294</v>
      </c>
      <c r="C3092" s="406"/>
      <c r="D3092" s="407" t="s">
        <v>295</v>
      </c>
      <c r="E3092" s="409" t="s">
        <v>296</v>
      </c>
      <c r="F3092" s="410"/>
      <c r="G3092" s="410"/>
      <c r="H3092" s="410"/>
      <c r="I3092" s="411"/>
    </row>
    <row r="3093" spans="2:13" ht="9" customHeight="1" thickBot="1" x14ac:dyDescent="0.3">
      <c r="B3093" s="415"/>
      <c r="C3093" s="416"/>
      <c r="D3093" s="408"/>
      <c r="E3093" s="412"/>
      <c r="F3093" s="413"/>
      <c r="G3093" s="413"/>
      <c r="H3093" s="413"/>
      <c r="I3093" s="414"/>
    </row>
    <row r="3094" spans="2:13" ht="6" customHeight="1" thickBot="1" x14ac:dyDescent="0.3">
      <c r="B3094" s="373"/>
      <c r="C3094" s="373"/>
      <c r="D3094" s="373"/>
      <c r="E3094" s="373"/>
      <c r="F3094" s="373"/>
      <c r="G3094" s="373"/>
      <c r="H3094" s="373"/>
      <c r="I3094" s="373"/>
    </row>
    <row r="3095" spans="2:13" ht="17.25" customHeight="1" thickBot="1" x14ac:dyDescent="0.3">
      <c r="B3095" s="390" t="s">
        <v>297</v>
      </c>
      <c r="C3095" s="391"/>
      <c r="D3095" s="392"/>
      <c r="E3095" s="393"/>
      <c r="F3095" s="393"/>
      <c r="G3095" s="394"/>
      <c r="H3095" s="127" t="s">
        <v>298</v>
      </c>
      <c r="I3095" s="128"/>
    </row>
    <row r="3096" spans="2:13" ht="6" customHeight="1" thickBot="1" x14ac:dyDescent="0.3">
      <c r="B3096" s="373"/>
      <c r="C3096" s="373"/>
      <c r="D3096" s="373"/>
      <c r="E3096" s="373"/>
      <c r="F3096" s="373"/>
      <c r="G3096" s="373"/>
      <c r="H3096" s="373"/>
      <c r="I3096" s="373"/>
    </row>
    <row r="3097" spans="2:13" ht="19.5" customHeight="1" x14ac:dyDescent="0.25">
      <c r="B3097" s="261" t="s">
        <v>299</v>
      </c>
      <c r="C3097" s="129" t="s">
        <v>300</v>
      </c>
      <c r="D3097" s="130" t="s">
        <v>301</v>
      </c>
      <c r="E3097" s="130" t="s">
        <v>302</v>
      </c>
      <c r="F3097" s="398" t="s">
        <v>303</v>
      </c>
      <c r="G3097" s="399"/>
      <c r="H3097" s="400"/>
      <c r="I3097" s="131" t="s">
        <v>304</v>
      </c>
    </row>
    <row r="3098" spans="2:13" ht="11.25" customHeight="1" x14ac:dyDescent="0.25">
      <c r="B3098" s="262"/>
      <c r="C3098" s="132"/>
      <c r="D3098" s="132" t="s">
        <v>305</v>
      </c>
      <c r="E3098" s="132" t="s">
        <v>306</v>
      </c>
      <c r="F3098" s="395" t="s">
        <v>339</v>
      </c>
      <c r="G3098" s="396"/>
      <c r="H3098" s="397"/>
      <c r="I3098" s="133"/>
    </row>
    <row r="3099" spans="2:13" ht="28.5" customHeight="1" x14ac:dyDescent="0.25">
      <c r="B3099" s="263" t="s">
        <v>307</v>
      </c>
      <c r="C3099" s="383" t="s">
        <v>414</v>
      </c>
      <c r="D3099" s="384"/>
      <c r="E3099" s="384"/>
      <c r="F3099" s="384"/>
      <c r="G3099" s="384"/>
      <c r="H3099" s="384"/>
      <c r="I3099" s="385"/>
    </row>
    <row r="3100" spans="2:13" ht="10.5" customHeight="1" x14ac:dyDescent="0.25">
      <c r="B3100" s="264" t="s">
        <v>129</v>
      </c>
      <c r="C3100" s="388" t="s">
        <v>308</v>
      </c>
      <c r="D3100" s="389"/>
      <c r="E3100" s="389"/>
      <c r="F3100" s="389"/>
      <c r="G3100" s="389"/>
      <c r="H3100" s="389"/>
      <c r="I3100" s="134" t="s">
        <v>130</v>
      </c>
    </row>
    <row r="3101" spans="2:13" ht="50.25" customHeight="1" thickBot="1" x14ac:dyDescent="0.3">
      <c r="B3101" s="265">
        <v>8.1999999999999957</v>
      </c>
      <c r="C3101" s="386" t="s">
        <v>613</v>
      </c>
      <c r="D3101" s="387"/>
      <c r="E3101" s="387"/>
      <c r="F3101" s="387"/>
      <c r="G3101" s="387"/>
      <c r="H3101" s="387"/>
      <c r="I3101" s="135" t="s">
        <v>27</v>
      </c>
    </row>
    <row r="3102" spans="2:13" ht="6" customHeight="1" thickBot="1" x14ac:dyDescent="0.3">
      <c r="B3102" s="373"/>
      <c r="C3102" s="373"/>
      <c r="D3102" s="373"/>
      <c r="E3102" s="373"/>
      <c r="F3102" s="373"/>
      <c r="G3102" s="373"/>
      <c r="H3102" s="373"/>
      <c r="I3102" s="373"/>
    </row>
    <row r="3103" spans="2:13" x14ac:dyDescent="0.25">
      <c r="B3103" s="380" t="s">
        <v>309</v>
      </c>
      <c r="C3103" s="381"/>
      <c r="D3103" s="381"/>
      <c r="E3103" s="381"/>
      <c r="F3103" s="381"/>
      <c r="G3103" s="381"/>
      <c r="H3103" s="381"/>
      <c r="I3103" s="382"/>
      <c r="K3103" s="182"/>
    </row>
    <row r="3104" spans="2:13" ht="11.25" customHeight="1" x14ac:dyDescent="0.25">
      <c r="B3104" s="377" t="s">
        <v>310</v>
      </c>
      <c r="C3104" s="378"/>
      <c r="D3104" s="379"/>
      <c r="E3104" s="136"/>
      <c r="F3104" s="137" t="s">
        <v>311</v>
      </c>
      <c r="G3104" s="137" t="s">
        <v>312</v>
      </c>
      <c r="H3104" s="137" t="s">
        <v>313</v>
      </c>
      <c r="I3104" s="138" t="s">
        <v>314</v>
      </c>
      <c r="L3104" s="139"/>
      <c r="M3104" s="139"/>
    </row>
    <row r="3105" spans="2:15" ht="11.25" customHeight="1" x14ac:dyDescent="0.25">
      <c r="B3105" s="362" t="s">
        <v>315</v>
      </c>
      <c r="C3105" s="363"/>
      <c r="D3105" s="363"/>
      <c r="E3105" s="160"/>
      <c r="F3105" s="161" t="s">
        <v>316</v>
      </c>
      <c r="G3105" s="160">
        <v>5000</v>
      </c>
      <c r="H3105" s="142">
        <v>1.1000000000000001</v>
      </c>
      <c r="I3105" s="143">
        <f>G3105*H3105</f>
        <v>5500</v>
      </c>
    </row>
    <row r="3106" spans="2:15" ht="16.5" customHeight="1" x14ac:dyDescent="0.25">
      <c r="B3106" s="362" t="s">
        <v>355</v>
      </c>
      <c r="C3106" s="363"/>
      <c r="D3106" s="363"/>
      <c r="E3106" s="160"/>
      <c r="F3106" s="161" t="s">
        <v>317</v>
      </c>
      <c r="G3106" s="160">
        <v>90000</v>
      </c>
      <c r="H3106" s="142">
        <f>+H3105</f>
        <v>1.1000000000000001</v>
      </c>
      <c r="I3106" s="143">
        <f>G3106*H3106</f>
        <v>99000.000000000015</v>
      </c>
    </row>
    <row r="3107" spans="2:15" ht="10.5" customHeight="1" thickBot="1" x14ac:dyDescent="0.3">
      <c r="B3107" s="371" t="s">
        <v>318</v>
      </c>
      <c r="C3107" s="372"/>
      <c r="D3107" s="372"/>
      <c r="E3107" s="372"/>
      <c r="F3107" s="372"/>
      <c r="G3107" s="372"/>
      <c r="H3107" s="372"/>
      <c r="I3107" s="144">
        <f>SUM(I3105:I3106)</f>
        <v>104500.00000000001</v>
      </c>
      <c r="N3107" s="150"/>
    </row>
    <row r="3108" spans="2:15" ht="6" customHeight="1" thickBot="1" x14ac:dyDescent="0.3">
      <c r="B3108" s="373"/>
      <c r="C3108" s="373"/>
      <c r="D3108" s="373"/>
      <c r="E3108" s="373"/>
      <c r="F3108" s="373"/>
      <c r="G3108" s="373"/>
      <c r="H3108" s="373"/>
      <c r="I3108" s="373"/>
    </row>
    <row r="3109" spans="2:15" s="145" customFormat="1" x14ac:dyDescent="0.25">
      <c r="B3109" s="380" t="s">
        <v>319</v>
      </c>
      <c r="C3109" s="381"/>
      <c r="D3109" s="381"/>
      <c r="E3109" s="381"/>
      <c r="F3109" s="381"/>
      <c r="G3109" s="381"/>
      <c r="H3109" s="381"/>
      <c r="I3109" s="382"/>
    </row>
    <row r="3110" spans="2:15" s="145" customFormat="1" ht="15.75" customHeight="1" x14ac:dyDescent="0.25">
      <c r="B3110" s="377" t="s">
        <v>310</v>
      </c>
      <c r="C3110" s="378"/>
      <c r="D3110" s="379"/>
      <c r="E3110" s="137"/>
      <c r="F3110" s="137" t="s">
        <v>320</v>
      </c>
      <c r="G3110" s="137" t="s">
        <v>321</v>
      </c>
      <c r="H3110" s="137" t="s">
        <v>322</v>
      </c>
      <c r="I3110" s="138" t="s">
        <v>314</v>
      </c>
    </row>
    <row r="3111" spans="2:15" ht="72.75" customHeight="1" x14ac:dyDescent="0.25">
      <c r="B3111" s="436" t="s">
        <v>613</v>
      </c>
      <c r="C3111" s="437"/>
      <c r="D3111" s="438"/>
      <c r="E3111" s="163"/>
      <c r="F3111" s="161" t="s">
        <v>27</v>
      </c>
      <c r="G3111" s="160">
        <f>1189923+3062272+1673635-5059078+1+1165487+180285+415820</f>
        <v>2628345</v>
      </c>
      <c r="H3111" s="142">
        <v>1</v>
      </c>
      <c r="I3111" s="143">
        <f>G3111*H3111</f>
        <v>2628345</v>
      </c>
      <c r="M3111">
        <v>4608265</v>
      </c>
    </row>
    <row r="3112" spans="2:15" ht="18" customHeight="1" thickBot="1" x14ac:dyDescent="0.3">
      <c r="B3112" s="371" t="s">
        <v>318</v>
      </c>
      <c r="C3112" s="372"/>
      <c r="D3112" s="372"/>
      <c r="E3112" s="372"/>
      <c r="F3112" s="372"/>
      <c r="G3112" s="372"/>
      <c r="H3112" s="372"/>
      <c r="I3112" s="144">
        <f>SUM(I3111:I3111)</f>
        <v>2628345</v>
      </c>
      <c r="N3112" s="150"/>
    </row>
    <row r="3113" spans="2:15" ht="6" customHeight="1" thickBot="1" x14ac:dyDescent="0.3">
      <c r="B3113" s="373"/>
      <c r="C3113" s="373"/>
      <c r="D3113" s="373"/>
      <c r="E3113" s="373"/>
      <c r="F3113" s="373"/>
      <c r="G3113" s="373"/>
      <c r="H3113" s="373"/>
      <c r="I3113" s="373"/>
    </row>
    <row r="3114" spans="2:15" s="145" customFormat="1" x14ac:dyDescent="0.25">
      <c r="B3114" s="380" t="s">
        <v>323</v>
      </c>
      <c r="C3114" s="381"/>
      <c r="D3114" s="381"/>
      <c r="E3114" s="381"/>
      <c r="F3114" s="381"/>
      <c r="G3114" s="381"/>
      <c r="H3114" s="381"/>
      <c r="I3114" s="382"/>
      <c r="L3114" s="146"/>
      <c r="M3114" s="146"/>
    </row>
    <row r="3115" spans="2:15" s="145" customFormat="1" x14ac:dyDescent="0.25">
      <c r="B3115" s="377" t="s">
        <v>324</v>
      </c>
      <c r="C3115" s="378"/>
      <c r="D3115" s="379"/>
      <c r="E3115" s="137" t="s">
        <v>325</v>
      </c>
      <c r="F3115" s="137" t="s">
        <v>326</v>
      </c>
      <c r="G3115" s="137" t="s">
        <v>130</v>
      </c>
      <c r="H3115" s="137" t="s">
        <v>327</v>
      </c>
      <c r="I3115" s="138" t="s">
        <v>314</v>
      </c>
      <c r="K3115" s="260"/>
      <c r="N3115" s="183"/>
      <c r="O3115" s="148"/>
    </row>
    <row r="3116" spans="2:15" ht="11.25" customHeight="1" x14ac:dyDescent="0.25">
      <c r="B3116" s="362" t="s">
        <v>711</v>
      </c>
      <c r="C3116" s="363"/>
      <c r="D3116" s="363"/>
      <c r="E3116" s="170">
        <v>1</v>
      </c>
      <c r="F3116" s="164"/>
      <c r="G3116" s="161"/>
      <c r="H3116" s="162">
        <v>35000</v>
      </c>
      <c r="I3116" s="143">
        <f>H3116*E3116</f>
        <v>35000</v>
      </c>
      <c r="K3116" s="281"/>
    </row>
    <row r="3117" spans="2:15" ht="10.5" customHeight="1" thickBot="1" x14ac:dyDescent="0.3">
      <c r="B3117" s="371" t="s">
        <v>318</v>
      </c>
      <c r="C3117" s="372"/>
      <c r="D3117" s="372"/>
      <c r="E3117" s="372"/>
      <c r="F3117" s="372"/>
      <c r="G3117" s="372"/>
      <c r="H3117" s="372"/>
      <c r="I3117" s="144">
        <f>SUM(I3116:I3116)</f>
        <v>35000</v>
      </c>
      <c r="K3117" s="281"/>
      <c r="N3117" s="150"/>
    </row>
    <row r="3118" spans="2:15" ht="6" customHeight="1" thickBot="1" x14ac:dyDescent="0.3">
      <c r="B3118" s="373"/>
      <c r="C3118" s="373"/>
      <c r="D3118" s="373"/>
      <c r="E3118" s="373"/>
      <c r="F3118" s="373"/>
      <c r="G3118" s="373"/>
      <c r="H3118" s="373"/>
      <c r="I3118" s="373"/>
    </row>
    <row r="3119" spans="2:15" s="145" customFormat="1" ht="20.100000000000001" customHeight="1" x14ac:dyDescent="0.25">
      <c r="B3119" s="380" t="s">
        <v>328</v>
      </c>
      <c r="C3119" s="381"/>
      <c r="D3119" s="381"/>
      <c r="E3119" s="381"/>
      <c r="F3119" s="381"/>
      <c r="G3119" s="381"/>
      <c r="H3119" s="381"/>
      <c r="I3119" s="382"/>
      <c r="K3119" s="147">
        <f>+I3126-K3120</f>
        <v>0</v>
      </c>
      <c r="N3119" s="148"/>
      <c r="O3119" s="149"/>
    </row>
    <row r="3120" spans="2:15" s="145" customFormat="1" ht="20.100000000000001" customHeight="1" x14ac:dyDescent="0.25">
      <c r="B3120" s="377" t="s">
        <v>329</v>
      </c>
      <c r="C3120" s="379"/>
      <c r="D3120" s="137" t="s">
        <v>322</v>
      </c>
      <c r="E3120" s="137" t="s">
        <v>330</v>
      </c>
      <c r="F3120" s="137" t="s">
        <v>331</v>
      </c>
      <c r="G3120" s="137" t="s">
        <v>332</v>
      </c>
      <c r="H3120" s="137" t="s">
        <v>313</v>
      </c>
      <c r="I3120" s="138" t="s">
        <v>314</v>
      </c>
      <c r="K3120" s="147">
        <v>3064845</v>
      </c>
      <c r="O3120" s="179"/>
    </row>
    <row r="3121" spans="2:14" s="151" customFormat="1" ht="9.75" customHeight="1" x14ac:dyDescent="0.25">
      <c r="B3121" s="367" t="s">
        <v>356</v>
      </c>
      <c r="C3121" s="368"/>
      <c r="D3121" s="180">
        <v>1</v>
      </c>
      <c r="E3121" s="141">
        <v>140000</v>
      </c>
      <c r="F3121" s="141">
        <f>+E3121*0.8</f>
        <v>112000</v>
      </c>
      <c r="G3121" s="178">
        <f>D3121*E3121+F3121*D3121</f>
        <v>252000</v>
      </c>
      <c r="H3121" s="184">
        <v>2</v>
      </c>
      <c r="I3121" s="143">
        <f>+G3121/H3121</f>
        <v>126000</v>
      </c>
      <c r="J3121" s="145"/>
      <c r="K3121" s="147"/>
    </row>
    <row r="3122" spans="2:14" s="151" customFormat="1" ht="11.25" customHeight="1" x14ac:dyDescent="0.25">
      <c r="B3122" s="367" t="s">
        <v>374</v>
      </c>
      <c r="C3122" s="368"/>
      <c r="D3122" s="180">
        <v>1</v>
      </c>
      <c r="E3122" s="141">
        <v>80000</v>
      </c>
      <c r="F3122" s="141">
        <f>+E3122*0.8</f>
        <v>64000</v>
      </c>
      <c r="G3122" s="178">
        <f>D3122*E3122+F3122*D3122</f>
        <v>144000</v>
      </c>
      <c r="H3122" s="184">
        <f>+H3121</f>
        <v>2</v>
      </c>
      <c r="I3122" s="143">
        <f>+G3122/H3122</f>
        <v>72000</v>
      </c>
      <c r="J3122" s="145"/>
      <c r="K3122" s="147"/>
      <c r="L3122" s="179"/>
      <c r="M3122" s="179"/>
    </row>
    <row r="3123" spans="2:14" s="145" customFormat="1" ht="10.5" customHeight="1" x14ac:dyDescent="0.25">
      <c r="B3123" s="367" t="s">
        <v>333</v>
      </c>
      <c r="C3123" s="368"/>
      <c r="D3123" s="180">
        <v>2</v>
      </c>
      <c r="E3123" s="141">
        <v>55000</v>
      </c>
      <c r="F3123" s="141">
        <f>+E3123*0.8</f>
        <v>44000</v>
      </c>
      <c r="G3123" s="178">
        <f>D3123*E3123+F3123*D3123</f>
        <v>198000</v>
      </c>
      <c r="H3123" s="184">
        <f>+H3122</f>
        <v>2</v>
      </c>
      <c r="I3123" s="143">
        <f>+G3123/H3123</f>
        <v>99000</v>
      </c>
      <c r="K3123" s="147"/>
    </row>
    <row r="3124" spans="2:14" ht="10.5" customHeight="1" thickBot="1" x14ac:dyDescent="0.3">
      <c r="B3124" s="371" t="s">
        <v>318</v>
      </c>
      <c r="C3124" s="372"/>
      <c r="D3124" s="372"/>
      <c r="E3124" s="372"/>
      <c r="F3124" s="372"/>
      <c r="G3124" s="372"/>
      <c r="H3124" s="372"/>
      <c r="I3124" s="144">
        <f>SUM(I3121:I3123)</f>
        <v>297000</v>
      </c>
      <c r="K3124" s="281"/>
      <c r="N3124" s="150"/>
    </row>
    <row r="3125" spans="2:14" ht="6" customHeight="1" thickBot="1" x14ac:dyDescent="0.3">
      <c r="B3125" s="373"/>
      <c r="C3125" s="373"/>
      <c r="D3125" s="373"/>
      <c r="E3125" s="373"/>
      <c r="F3125" s="373"/>
      <c r="G3125" s="373"/>
      <c r="H3125" s="373"/>
      <c r="I3125" s="373"/>
    </row>
    <row r="3126" spans="2:14" ht="10.5" customHeight="1" thickBot="1" x14ac:dyDescent="0.3">
      <c r="B3126" s="374" t="s">
        <v>334</v>
      </c>
      <c r="C3126" s="375"/>
      <c r="D3126" s="375"/>
      <c r="E3126" s="375"/>
      <c r="F3126" s="375"/>
      <c r="G3126" s="375"/>
      <c r="H3126" s="376"/>
      <c r="I3126" s="152">
        <f>ROUND(+I3107+I3112+I3117+I3124,0)</f>
        <v>3064845</v>
      </c>
      <c r="J3126" s="281"/>
      <c r="K3126" s="169"/>
      <c r="L3126" s="181"/>
      <c r="M3126" s="181"/>
      <c r="N3126" s="153"/>
    </row>
    <row r="3127" spans="2:14" ht="6" customHeight="1" thickBot="1" x14ac:dyDescent="0.3">
      <c r="B3127" s="373"/>
      <c r="C3127" s="373"/>
      <c r="D3127" s="373"/>
      <c r="E3127" s="373"/>
      <c r="F3127" s="373"/>
      <c r="G3127" s="373"/>
      <c r="H3127" s="373"/>
      <c r="I3127" s="373"/>
    </row>
    <row r="3128" spans="2:14" ht="8.25" customHeight="1" x14ac:dyDescent="0.25">
      <c r="B3128" s="433" t="s">
        <v>335</v>
      </c>
      <c r="C3128" s="417"/>
      <c r="D3128" s="418"/>
      <c r="E3128" s="418"/>
      <c r="F3128" s="419"/>
      <c r="G3128" s="369" t="s">
        <v>336</v>
      </c>
      <c r="H3128" s="370"/>
      <c r="I3128" s="370"/>
    </row>
    <row r="3129" spans="2:14" ht="33.75" customHeight="1" x14ac:dyDescent="0.25">
      <c r="B3129" s="434"/>
      <c r="C3129" s="420"/>
      <c r="D3129" s="421"/>
      <c r="E3129" s="421"/>
      <c r="F3129" s="422"/>
      <c r="G3129" s="430" t="s">
        <v>337</v>
      </c>
      <c r="H3129" s="431"/>
      <c r="I3129" s="431"/>
      <c r="L3129" s="181"/>
      <c r="M3129" s="181"/>
      <c r="N3129" s="179"/>
    </row>
    <row r="3130" spans="2:14" ht="13.5" customHeight="1" x14ac:dyDescent="0.25">
      <c r="B3130" s="434"/>
      <c r="C3130" s="420"/>
      <c r="D3130" s="421"/>
      <c r="E3130" s="421"/>
      <c r="F3130" s="422"/>
      <c r="G3130" s="154" t="s">
        <v>92</v>
      </c>
      <c r="H3130" s="432" t="s">
        <v>93</v>
      </c>
      <c r="I3130" s="432"/>
    </row>
    <row r="3131" spans="2:14" ht="16.5" customHeight="1" x14ac:dyDescent="0.25">
      <c r="B3131" s="435"/>
      <c r="C3131" s="420"/>
      <c r="D3131" s="421"/>
      <c r="E3131" s="421"/>
      <c r="F3131" s="422"/>
      <c r="G3131" s="155" t="s">
        <v>94</v>
      </c>
      <c r="H3131" s="156" t="s">
        <v>95</v>
      </c>
      <c r="I3131" s="157" t="s">
        <v>96</v>
      </c>
    </row>
    <row r="3132" spans="2:14" x14ac:dyDescent="0.25">
      <c r="B3132" s="268" t="s">
        <v>18</v>
      </c>
      <c r="C3132" s="427"/>
      <c r="D3132" s="428"/>
      <c r="E3132" s="428"/>
      <c r="F3132" s="429"/>
      <c r="G3132" s="155" t="s">
        <v>98</v>
      </c>
      <c r="H3132" s="157" t="s">
        <v>99</v>
      </c>
      <c r="I3132" s="157" t="s">
        <v>100</v>
      </c>
    </row>
    <row r="3133" spans="2:14" x14ac:dyDescent="0.25">
      <c r="B3133" s="269" t="s">
        <v>97</v>
      </c>
      <c r="C3133" s="427"/>
      <c r="D3133" s="428"/>
      <c r="E3133" s="428"/>
      <c r="F3133" s="429"/>
      <c r="G3133" s="154" t="s">
        <v>338</v>
      </c>
      <c r="H3133" s="426"/>
      <c r="I3133" s="426"/>
    </row>
    <row r="3134" spans="2:14" ht="15.75" thickBot="1" x14ac:dyDescent="0.3">
      <c r="B3134" s="270" t="s">
        <v>101</v>
      </c>
      <c r="C3134" s="423"/>
      <c r="D3134" s="424"/>
      <c r="E3134" s="424"/>
      <c r="F3134" s="425"/>
      <c r="G3134" s="154" t="s">
        <v>102</v>
      </c>
      <c r="H3134" s="426" t="s">
        <v>103</v>
      </c>
      <c r="I3134" s="426"/>
    </row>
    <row r="3135" spans="2:14" ht="45" customHeight="1" thickBot="1" x14ac:dyDescent="0.3">
      <c r="B3135" s="401"/>
      <c r="C3135" s="402"/>
      <c r="D3135" s="402"/>
      <c r="E3135" s="402"/>
      <c r="F3135" s="403" t="s">
        <v>0</v>
      </c>
      <c r="G3135" s="403"/>
      <c r="H3135" s="403"/>
      <c r="I3135" s="404"/>
    </row>
    <row r="3136" spans="2:14" ht="6" customHeight="1" thickBot="1" x14ac:dyDescent="0.3">
      <c r="B3136" s="373"/>
      <c r="C3136" s="373"/>
      <c r="D3136" s="373"/>
      <c r="E3136" s="373"/>
      <c r="F3136" s="373"/>
      <c r="G3136" s="373"/>
      <c r="H3136" s="373"/>
      <c r="I3136" s="373"/>
    </row>
    <row r="3137" spans="2:14" ht="10.5" customHeight="1" x14ac:dyDescent="0.25">
      <c r="B3137" s="405" t="s">
        <v>294</v>
      </c>
      <c r="C3137" s="406"/>
      <c r="D3137" s="407" t="s">
        <v>295</v>
      </c>
      <c r="E3137" s="409" t="s">
        <v>296</v>
      </c>
      <c r="F3137" s="410"/>
      <c r="G3137" s="410"/>
      <c r="H3137" s="410"/>
      <c r="I3137" s="411"/>
    </row>
    <row r="3138" spans="2:14" ht="9" customHeight="1" thickBot="1" x14ac:dyDescent="0.3">
      <c r="B3138" s="415"/>
      <c r="C3138" s="416"/>
      <c r="D3138" s="408"/>
      <c r="E3138" s="412"/>
      <c r="F3138" s="413"/>
      <c r="G3138" s="413"/>
      <c r="H3138" s="413"/>
      <c r="I3138" s="414"/>
    </row>
    <row r="3139" spans="2:14" ht="6" customHeight="1" thickBot="1" x14ac:dyDescent="0.3">
      <c r="B3139" s="373"/>
      <c r="C3139" s="373"/>
      <c r="D3139" s="373"/>
      <c r="E3139" s="373"/>
      <c r="F3139" s="373"/>
      <c r="G3139" s="373"/>
      <c r="H3139" s="373"/>
      <c r="I3139" s="373"/>
    </row>
    <row r="3140" spans="2:14" ht="17.25" customHeight="1" thickBot="1" x14ac:dyDescent="0.3">
      <c r="B3140" s="390" t="s">
        <v>297</v>
      </c>
      <c r="C3140" s="391"/>
      <c r="D3140" s="392"/>
      <c r="E3140" s="393"/>
      <c r="F3140" s="393"/>
      <c r="G3140" s="394"/>
      <c r="H3140" s="127" t="s">
        <v>298</v>
      </c>
      <c r="I3140" s="128"/>
    </row>
    <row r="3141" spans="2:14" ht="6" customHeight="1" thickBot="1" x14ac:dyDescent="0.3">
      <c r="B3141" s="373"/>
      <c r="C3141" s="373"/>
      <c r="D3141" s="373"/>
      <c r="E3141" s="373"/>
      <c r="F3141" s="373"/>
      <c r="G3141" s="373"/>
      <c r="H3141" s="373"/>
      <c r="I3141" s="373"/>
    </row>
    <row r="3142" spans="2:14" ht="19.5" customHeight="1" x14ac:dyDescent="0.25">
      <c r="B3142" s="261" t="s">
        <v>299</v>
      </c>
      <c r="C3142" s="129" t="s">
        <v>300</v>
      </c>
      <c r="D3142" s="130" t="s">
        <v>301</v>
      </c>
      <c r="E3142" s="130" t="s">
        <v>302</v>
      </c>
      <c r="F3142" s="398" t="s">
        <v>303</v>
      </c>
      <c r="G3142" s="399"/>
      <c r="H3142" s="400"/>
      <c r="I3142" s="131" t="s">
        <v>304</v>
      </c>
    </row>
    <row r="3143" spans="2:14" ht="11.25" customHeight="1" x14ac:dyDescent="0.25">
      <c r="B3143" s="262"/>
      <c r="C3143" s="132"/>
      <c r="D3143" s="132" t="s">
        <v>305</v>
      </c>
      <c r="E3143" s="132" t="s">
        <v>306</v>
      </c>
      <c r="F3143" s="395" t="s">
        <v>339</v>
      </c>
      <c r="G3143" s="396"/>
      <c r="H3143" s="397"/>
      <c r="I3143" s="133"/>
    </row>
    <row r="3144" spans="2:14" ht="28.5" customHeight="1" x14ac:dyDescent="0.25">
      <c r="B3144" s="263" t="s">
        <v>307</v>
      </c>
      <c r="C3144" s="383" t="s">
        <v>414</v>
      </c>
      <c r="D3144" s="384"/>
      <c r="E3144" s="384"/>
      <c r="F3144" s="384"/>
      <c r="G3144" s="384"/>
      <c r="H3144" s="384"/>
      <c r="I3144" s="385"/>
    </row>
    <row r="3145" spans="2:14" ht="10.5" customHeight="1" x14ac:dyDescent="0.25">
      <c r="B3145" s="264" t="s">
        <v>129</v>
      </c>
      <c r="C3145" s="388" t="s">
        <v>308</v>
      </c>
      <c r="D3145" s="389"/>
      <c r="E3145" s="389"/>
      <c r="F3145" s="389"/>
      <c r="G3145" s="389"/>
      <c r="H3145" s="389"/>
      <c r="I3145" s="134" t="s">
        <v>130</v>
      </c>
    </row>
    <row r="3146" spans="2:14" ht="50.25" customHeight="1" thickBot="1" x14ac:dyDescent="0.3">
      <c r="B3146" s="265">
        <v>8.2099999999999955</v>
      </c>
      <c r="C3146" s="386" t="s">
        <v>614</v>
      </c>
      <c r="D3146" s="387"/>
      <c r="E3146" s="387"/>
      <c r="F3146" s="387"/>
      <c r="G3146" s="387"/>
      <c r="H3146" s="387"/>
      <c r="I3146" s="135" t="s">
        <v>27</v>
      </c>
    </row>
    <row r="3147" spans="2:14" ht="6" customHeight="1" thickBot="1" x14ac:dyDescent="0.3">
      <c r="B3147" s="373"/>
      <c r="C3147" s="373"/>
      <c r="D3147" s="373"/>
      <c r="E3147" s="373"/>
      <c r="F3147" s="373"/>
      <c r="G3147" s="373"/>
      <c r="H3147" s="373"/>
      <c r="I3147" s="373"/>
    </row>
    <row r="3148" spans="2:14" x14ac:dyDescent="0.25">
      <c r="B3148" s="380" t="s">
        <v>309</v>
      </c>
      <c r="C3148" s="381"/>
      <c r="D3148" s="381"/>
      <c r="E3148" s="381"/>
      <c r="F3148" s="381"/>
      <c r="G3148" s="381"/>
      <c r="H3148" s="381"/>
      <c r="I3148" s="382"/>
      <c r="K3148" s="182"/>
    </row>
    <row r="3149" spans="2:14" ht="11.25" customHeight="1" x14ac:dyDescent="0.25">
      <c r="B3149" s="377" t="s">
        <v>310</v>
      </c>
      <c r="C3149" s="378"/>
      <c r="D3149" s="379"/>
      <c r="E3149" s="136"/>
      <c r="F3149" s="137" t="s">
        <v>311</v>
      </c>
      <c r="G3149" s="137" t="s">
        <v>312</v>
      </c>
      <c r="H3149" s="137" t="s">
        <v>313</v>
      </c>
      <c r="I3149" s="138" t="s">
        <v>314</v>
      </c>
      <c r="L3149" s="139"/>
      <c r="M3149" s="139"/>
    </row>
    <row r="3150" spans="2:14" ht="11.25" customHeight="1" x14ac:dyDescent="0.25">
      <c r="B3150" s="362" t="s">
        <v>315</v>
      </c>
      <c r="C3150" s="363"/>
      <c r="D3150" s="363"/>
      <c r="E3150" s="160"/>
      <c r="F3150" s="161" t="s">
        <v>316</v>
      </c>
      <c r="G3150" s="160">
        <v>5000</v>
      </c>
      <c r="H3150" s="142">
        <v>1.3</v>
      </c>
      <c r="I3150" s="143">
        <f>G3150*H3150</f>
        <v>6500</v>
      </c>
    </row>
    <row r="3151" spans="2:14" ht="16.5" customHeight="1" x14ac:dyDescent="0.25">
      <c r="B3151" s="362" t="s">
        <v>355</v>
      </c>
      <c r="C3151" s="363"/>
      <c r="D3151" s="363"/>
      <c r="E3151" s="160"/>
      <c r="F3151" s="161" t="s">
        <v>317</v>
      </c>
      <c r="G3151" s="160">
        <v>90000</v>
      </c>
      <c r="H3151" s="142">
        <f>+H3150</f>
        <v>1.3</v>
      </c>
      <c r="I3151" s="143">
        <f>G3151*H3151</f>
        <v>117000</v>
      </c>
    </row>
    <row r="3152" spans="2:14" ht="10.5" customHeight="1" thickBot="1" x14ac:dyDescent="0.3">
      <c r="B3152" s="371" t="s">
        <v>318</v>
      </c>
      <c r="C3152" s="372"/>
      <c r="D3152" s="372"/>
      <c r="E3152" s="372"/>
      <c r="F3152" s="372"/>
      <c r="G3152" s="372"/>
      <c r="H3152" s="372"/>
      <c r="I3152" s="144">
        <f>SUM(I3150:I3151)</f>
        <v>123500</v>
      </c>
      <c r="N3152" s="150"/>
    </row>
    <row r="3153" spans="2:15" ht="6" customHeight="1" thickBot="1" x14ac:dyDescent="0.3">
      <c r="B3153" s="373"/>
      <c r="C3153" s="373"/>
      <c r="D3153" s="373"/>
      <c r="E3153" s="373"/>
      <c r="F3153" s="373"/>
      <c r="G3153" s="373"/>
      <c r="H3153" s="373"/>
      <c r="I3153" s="373"/>
    </row>
    <row r="3154" spans="2:15" s="145" customFormat="1" x14ac:dyDescent="0.25">
      <c r="B3154" s="380" t="s">
        <v>319</v>
      </c>
      <c r="C3154" s="381"/>
      <c r="D3154" s="381"/>
      <c r="E3154" s="381"/>
      <c r="F3154" s="381"/>
      <c r="G3154" s="381"/>
      <c r="H3154" s="381"/>
      <c r="I3154" s="382"/>
    </row>
    <row r="3155" spans="2:15" s="145" customFormat="1" ht="15.75" customHeight="1" x14ac:dyDescent="0.25">
      <c r="B3155" s="377" t="s">
        <v>310</v>
      </c>
      <c r="C3155" s="378"/>
      <c r="D3155" s="379"/>
      <c r="E3155" s="137"/>
      <c r="F3155" s="137" t="s">
        <v>320</v>
      </c>
      <c r="G3155" s="137" t="s">
        <v>321</v>
      </c>
      <c r="H3155" s="137" t="s">
        <v>322</v>
      </c>
      <c r="I3155" s="138" t="s">
        <v>314</v>
      </c>
    </row>
    <row r="3156" spans="2:15" ht="72.75" customHeight="1" x14ac:dyDescent="0.25">
      <c r="B3156" s="436" t="s">
        <v>614</v>
      </c>
      <c r="C3156" s="437"/>
      <c r="D3156" s="438"/>
      <c r="E3156" s="163"/>
      <c r="F3156" s="161" t="s">
        <v>27</v>
      </c>
      <c r="G3156" s="160">
        <f>1189923+3062272+1673635-5059078+1+1165487+180285+3041025+83697</f>
        <v>5337247</v>
      </c>
      <c r="H3156" s="142">
        <v>1</v>
      </c>
      <c r="I3156" s="143">
        <f>G3156*H3156</f>
        <v>5337247</v>
      </c>
      <c r="M3156">
        <v>4608265</v>
      </c>
    </row>
    <row r="3157" spans="2:15" ht="18" customHeight="1" thickBot="1" x14ac:dyDescent="0.3">
      <c r="B3157" s="371" t="s">
        <v>318</v>
      </c>
      <c r="C3157" s="372"/>
      <c r="D3157" s="372"/>
      <c r="E3157" s="372"/>
      <c r="F3157" s="372"/>
      <c r="G3157" s="372"/>
      <c r="H3157" s="372"/>
      <c r="I3157" s="144">
        <f>SUM(I3156:I3156)</f>
        <v>5337247</v>
      </c>
      <c r="N3157" s="150"/>
    </row>
    <row r="3158" spans="2:15" ht="6" customHeight="1" thickBot="1" x14ac:dyDescent="0.3">
      <c r="B3158" s="373"/>
      <c r="C3158" s="373"/>
      <c r="D3158" s="373"/>
      <c r="E3158" s="373"/>
      <c r="F3158" s="373"/>
      <c r="G3158" s="373"/>
      <c r="H3158" s="373"/>
      <c r="I3158" s="373"/>
    </row>
    <row r="3159" spans="2:15" s="145" customFormat="1" x14ac:dyDescent="0.25">
      <c r="B3159" s="380" t="s">
        <v>323</v>
      </c>
      <c r="C3159" s="381"/>
      <c r="D3159" s="381"/>
      <c r="E3159" s="381"/>
      <c r="F3159" s="381"/>
      <c r="G3159" s="381"/>
      <c r="H3159" s="381"/>
      <c r="I3159" s="382"/>
      <c r="L3159" s="146"/>
      <c r="M3159" s="146"/>
    </row>
    <row r="3160" spans="2:15" s="145" customFormat="1" x14ac:dyDescent="0.25">
      <c r="B3160" s="377" t="s">
        <v>324</v>
      </c>
      <c r="C3160" s="378"/>
      <c r="D3160" s="379"/>
      <c r="E3160" s="137" t="s">
        <v>325</v>
      </c>
      <c r="F3160" s="137" t="s">
        <v>326</v>
      </c>
      <c r="G3160" s="137" t="s">
        <v>130</v>
      </c>
      <c r="H3160" s="137" t="s">
        <v>327</v>
      </c>
      <c r="I3160" s="138" t="s">
        <v>314</v>
      </c>
      <c r="K3160" s="260"/>
      <c r="N3160" s="183"/>
      <c r="O3160" s="148"/>
    </row>
    <row r="3161" spans="2:15" ht="11.25" customHeight="1" x14ac:dyDescent="0.25">
      <c r="B3161" s="362" t="s">
        <v>711</v>
      </c>
      <c r="C3161" s="363"/>
      <c r="D3161" s="363"/>
      <c r="E3161" s="170">
        <v>1</v>
      </c>
      <c r="F3161" s="164"/>
      <c r="G3161" s="161"/>
      <c r="H3161" s="162">
        <v>45000</v>
      </c>
      <c r="I3161" s="143">
        <f>H3161*E3161</f>
        <v>45000</v>
      </c>
      <c r="K3161" s="281"/>
    </row>
    <row r="3162" spans="2:15" ht="10.5" customHeight="1" thickBot="1" x14ac:dyDescent="0.3">
      <c r="B3162" s="371" t="s">
        <v>318</v>
      </c>
      <c r="C3162" s="372"/>
      <c r="D3162" s="372"/>
      <c r="E3162" s="372"/>
      <c r="F3162" s="372"/>
      <c r="G3162" s="372"/>
      <c r="H3162" s="372"/>
      <c r="I3162" s="144">
        <f>SUM(I3161:I3161)</f>
        <v>45000</v>
      </c>
      <c r="K3162" s="281"/>
      <c r="N3162" s="150"/>
    </row>
    <row r="3163" spans="2:15" ht="6" customHeight="1" thickBot="1" x14ac:dyDescent="0.3">
      <c r="B3163" s="373"/>
      <c r="C3163" s="373"/>
      <c r="D3163" s="373"/>
      <c r="E3163" s="373"/>
      <c r="F3163" s="373"/>
      <c r="G3163" s="373"/>
      <c r="H3163" s="373"/>
      <c r="I3163" s="373"/>
    </row>
    <row r="3164" spans="2:15" s="145" customFormat="1" ht="20.100000000000001" customHeight="1" x14ac:dyDescent="0.25">
      <c r="B3164" s="380" t="s">
        <v>328</v>
      </c>
      <c r="C3164" s="381"/>
      <c r="D3164" s="381"/>
      <c r="E3164" s="381"/>
      <c r="F3164" s="381"/>
      <c r="G3164" s="381"/>
      <c r="H3164" s="381"/>
      <c r="I3164" s="382"/>
      <c r="K3164" s="147">
        <f>+K3165-I3171</f>
        <v>0</v>
      </c>
      <c r="N3164" s="148"/>
      <c r="O3164" s="149"/>
    </row>
    <row r="3165" spans="2:15" s="145" customFormat="1" ht="20.100000000000001" customHeight="1" x14ac:dyDescent="0.25">
      <c r="B3165" s="377" t="s">
        <v>329</v>
      </c>
      <c r="C3165" s="379"/>
      <c r="D3165" s="137" t="s">
        <v>322</v>
      </c>
      <c r="E3165" s="137" t="s">
        <v>330</v>
      </c>
      <c r="F3165" s="137" t="s">
        <v>331</v>
      </c>
      <c r="G3165" s="137" t="s">
        <v>332</v>
      </c>
      <c r="H3165" s="137" t="s">
        <v>313</v>
      </c>
      <c r="I3165" s="138" t="s">
        <v>314</v>
      </c>
      <c r="K3165" s="147">
        <v>6165747</v>
      </c>
      <c r="O3165" s="179"/>
    </row>
    <row r="3166" spans="2:15" s="151" customFormat="1" ht="9.75" customHeight="1" x14ac:dyDescent="0.25">
      <c r="B3166" s="367" t="s">
        <v>356</v>
      </c>
      <c r="C3166" s="368"/>
      <c r="D3166" s="180">
        <v>1</v>
      </c>
      <c r="E3166" s="141">
        <v>140000</v>
      </c>
      <c r="F3166" s="141">
        <f>+E3166*0.8</f>
        <v>112000</v>
      </c>
      <c r="G3166" s="178">
        <f>D3166*E3166+F3166*D3166</f>
        <v>252000</v>
      </c>
      <c r="H3166" s="184">
        <v>0.9</v>
      </c>
      <c r="I3166" s="143">
        <f>+G3166/H3166</f>
        <v>280000</v>
      </c>
      <c r="J3166" s="145"/>
      <c r="K3166" s="147"/>
    </row>
    <row r="3167" spans="2:15" s="151" customFormat="1" ht="11.25" customHeight="1" x14ac:dyDescent="0.25">
      <c r="B3167" s="367" t="s">
        <v>374</v>
      </c>
      <c r="C3167" s="368"/>
      <c r="D3167" s="180">
        <v>1</v>
      </c>
      <c r="E3167" s="141">
        <v>80000</v>
      </c>
      <c r="F3167" s="141">
        <f>+E3167*0.8</f>
        <v>64000</v>
      </c>
      <c r="G3167" s="178">
        <f>D3167*E3167+F3167*D3167</f>
        <v>144000</v>
      </c>
      <c r="H3167" s="184">
        <f>+H3166</f>
        <v>0.9</v>
      </c>
      <c r="I3167" s="143">
        <f>+G3167/H3167</f>
        <v>160000</v>
      </c>
      <c r="J3167" s="145"/>
      <c r="K3167" s="147"/>
      <c r="L3167" s="179"/>
      <c r="M3167" s="179"/>
    </row>
    <row r="3168" spans="2:15" s="145" customFormat="1" ht="10.5" customHeight="1" x14ac:dyDescent="0.25">
      <c r="B3168" s="367" t="s">
        <v>333</v>
      </c>
      <c r="C3168" s="368"/>
      <c r="D3168" s="180">
        <v>2</v>
      </c>
      <c r="E3168" s="141">
        <v>55000</v>
      </c>
      <c r="F3168" s="141">
        <f>+E3168*0.8</f>
        <v>44000</v>
      </c>
      <c r="G3168" s="178">
        <f>D3168*E3168+F3168*D3168</f>
        <v>198000</v>
      </c>
      <c r="H3168" s="184">
        <f>+H3167</f>
        <v>0.9</v>
      </c>
      <c r="I3168" s="143">
        <f>+G3168/H3168</f>
        <v>220000</v>
      </c>
      <c r="K3168" s="147"/>
    </row>
    <row r="3169" spans="2:14" ht="10.5" customHeight="1" thickBot="1" x14ac:dyDescent="0.3">
      <c r="B3169" s="371" t="s">
        <v>318</v>
      </c>
      <c r="C3169" s="372"/>
      <c r="D3169" s="372"/>
      <c r="E3169" s="372"/>
      <c r="F3169" s="372"/>
      <c r="G3169" s="372"/>
      <c r="H3169" s="372"/>
      <c r="I3169" s="144">
        <f>SUM(I3166:I3168)</f>
        <v>660000</v>
      </c>
      <c r="K3169" s="281"/>
      <c r="N3169" s="150"/>
    </row>
    <row r="3170" spans="2:14" ht="6" customHeight="1" thickBot="1" x14ac:dyDescent="0.3">
      <c r="B3170" s="373"/>
      <c r="C3170" s="373"/>
      <c r="D3170" s="373"/>
      <c r="E3170" s="373"/>
      <c r="F3170" s="373"/>
      <c r="G3170" s="373"/>
      <c r="H3170" s="373"/>
      <c r="I3170" s="373"/>
    </row>
    <row r="3171" spans="2:14" ht="10.5" customHeight="1" thickBot="1" x14ac:dyDescent="0.3">
      <c r="B3171" s="374" t="s">
        <v>334</v>
      </c>
      <c r="C3171" s="375"/>
      <c r="D3171" s="375"/>
      <c r="E3171" s="375"/>
      <c r="F3171" s="375"/>
      <c r="G3171" s="375"/>
      <c r="H3171" s="376"/>
      <c r="I3171" s="152">
        <f>ROUND(+I3152+I3157+I3162+I3169,0)</f>
        <v>6165747</v>
      </c>
      <c r="J3171" s="281"/>
      <c r="K3171" s="169"/>
      <c r="L3171" s="181"/>
      <c r="M3171" s="181"/>
      <c r="N3171" s="153"/>
    </row>
    <row r="3172" spans="2:14" ht="6" customHeight="1" thickBot="1" x14ac:dyDescent="0.3">
      <c r="B3172" s="373"/>
      <c r="C3172" s="373"/>
      <c r="D3172" s="373"/>
      <c r="E3172" s="373"/>
      <c r="F3172" s="373"/>
      <c r="G3172" s="373"/>
      <c r="H3172" s="373"/>
      <c r="I3172" s="373"/>
    </row>
    <row r="3173" spans="2:14" ht="8.25" customHeight="1" x14ac:dyDescent="0.25">
      <c r="B3173" s="433" t="s">
        <v>335</v>
      </c>
      <c r="C3173" s="417"/>
      <c r="D3173" s="418"/>
      <c r="E3173" s="418"/>
      <c r="F3173" s="419"/>
      <c r="G3173" s="369" t="s">
        <v>336</v>
      </c>
      <c r="H3173" s="370"/>
      <c r="I3173" s="370"/>
    </row>
    <row r="3174" spans="2:14" ht="33.75" customHeight="1" x14ac:dyDescent="0.25">
      <c r="B3174" s="434"/>
      <c r="C3174" s="420"/>
      <c r="D3174" s="421"/>
      <c r="E3174" s="421"/>
      <c r="F3174" s="422"/>
      <c r="G3174" s="430" t="s">
        <v>337</v>
      </c>
      <c r="H3174" s="431"/>
      <c r="I3174" s="431"/>
      <c r="L3174" s="181"/>
      <c r="M3174" s="181"/>
      <c r="N3174" s="179"/>
    </row>
    <row r="3175" spans="2:14" ht="13.5" customHeight="1" x14ac:dyDescent="0.25">
      <c r="B3175" s="434"/>
      <c r="C3175" s="420"/>
      <c r="D3175" s="421"/>
      <c r="E3175" s="421"/>
      <c r="F3175" s="422"/>
      <c r="G3175" s="154" t="s">
        <v>92</v>
      </c>
      <c r="H3175" s="432" t="s">
        <v>93</v>
      </c>
      <c r="I3175" s="432"/>
    </row>
    <row r="3176" spans="2:14" ht="16.5" customHeight="1" x14ac:dyDescent="0.25">
      <c r="B3176" s="435"/>
      <c r="C3176" s="420"/>
      <c r="D3176" s="421"/>
      <c r="E3176" s="421"/>
      <c r="F3176" s="422"/>
      <c r="G3176" s="155" t="s">
        <v>94</v>
      </c>
      <c r="H3176" s="156" t="s">
        <v>95</v>
      </c>
      <c r="I3176" s="157" t="s">
        <v>96</v>
      </c>
    </row>
    <row r="3177" spans="2:14" x14ac:dyDescent="0.25">
      <c r="B3177" s="268" t="s">
        <v>18</v>
      </c>
      <c r="C3177" s="427"/>
      <c r="D3177" s="428"/>
      <c r="E3177" s="428"/>
      <c r="F3177" s="429"/>
      <c r="G3177" s="155" t="s">
        <v>98</v>
      </c>
      <c r="H3177" s="157" t="s">
        <v>99</v>
      </c>
      <c r="I3177" s="157" t="s">
        <v>100</v>
      </c>
    </row>
    <row r="3178" spans="2:14" x14ac:dyDescent="0.25">
      <c r="B3178" s="269" t="s">
        <v>97</v>
      </c>
      <c r="C3178" s="427"/>
      <c r="D3178" s="428"/>
      <c r="E3178" s="428"/>
      <c r="F3178" s="429"/>
      <c r="G3178" s="154" t="s">
        <v>338</v>
      </c>
      <c r="H3178" s="426"/>
      <c r="I3178" s="426"/>
    </row>
    <row r="3179" spans="2:14" ht="15.75" thickBot="1" x14ac:dyDescent="0.3">
      <c r="B3179" s="270" t="s">
        <v>101</v>
      </c>
      <c r="C3179" s="423"/>
      <c r="D3179" s="424"/>
      <c r="E3179" s="424"/>
      <c r="F3179" s="425"/>
      <c r="G3179" s="154" t="s">
        <v>102</v>
      </c>
      <c r="H3179" s="426" t="s">
        <v>103</v>
      </c>
      <c r="I3179" s="426"/>
    </row>
    <row r="3180" spans="2:14" ht="45" customHeight="1" thickBot="1" x14ac:dyDescent="0.3">
      <c r="B3180" s="401"/>
      <c r="C3180" s="402"/>
      <c r="D3180" s="402"/>
      <c r="E3180" s="402"/>
      <c r="F3180" s="403" t="s">
        <v>0</v>
      </c>
      <c r="G3180" s="403"/>
      <c r="H3180" s="403"/>
      <c r="I3180" s="404"/>
    </row>
    <row r="3181" spans="2:14" ht="6" customHeight="1" thickBot="1" x14ac:dyDescent="0.3">
      <c r="B3181" s="373"/>
      <c r="C3181" s="373"/>
      <c r="D3181" s="373"/>
      <c r="E3181" s="373"/>
      <c r="F3181" s="373"/>
      <c r="G3181" s="373"/>
      <c r="H3181" s="373"/>
      <c r="I3181" s="373"/>
    </row>
    <row r="3182" spans="2:14" ht="10.5" customHeight="1" x14ac:dyDescent="0.25">
      <c r="B3182" s="405" t="s">
        <v>294</v>
      </c>
      <c r="C3182" s="406"/>
      <c r="D3182" s="407" t="s">
        <v>295</v>
      </c>
      <c r="E3182" s="409" t="s">
        <v>296</v>
      </c>
      <c r="F3182" s="410"/>
      <c r="G3182" s="410"/>
      <c r="H3182" s="410"/>
      <c r="I3182" s="411"/>
    </row>
    <row r="3183" spans="2:14" ht="9" customHeight="1" thickBot="1" x14ac:dyDescent="0.3">
      <c r="B3183" s="415"/>
      <c r="C3183" s="416"/>
      <c r="D3183" s="408"/>
      <c r="E3183" s="412"/>
      <c r="F3183" s="413"/>
      <c r="G3183" s="413"/>
      <c r="H3183" s="413"/>
      <c r="I3183" s="414"/>
    </row>
    <row r="3184" spans="2:14" ht="6" customHeight="1" thickBot="1" x14ac:dyDescent="0.3">
      <c r="B3184" s="373"/>
      <c r="C3184" s="373"/>
      <c r="D3184" s="373"/>
      <c r="E3184" s="373"/>
      <c r="F3184" s="373"/>
      <c r="G3184" s="373"/>
      <c r="H3184" s="373"/>
      <c r="I3184" s="373"/>
    </row>
    <row r="3185" spans="2:14" ht="17.25" customHeight="1" thickBot="1" x14ac:dyDescent="0.3">
      <c r="B3185" s="390" t="s">
        <v>297</v>
      </c>
      <c r="C3185" s="391"/>
      <c r="D3185" s="392"/>
      <c r="E3185" s="393"/>
      <c r="F3185" s="393"/>
      <c r="G3185" s="394"/>
      <c r="H3185" s="127" t="s">
        <v>298</v>
      </c>
      <c r="I3185" s="128"/>
    </row>
    <row r="3186" spans="2:14" ht="6" customHeight="1" thickBot="1" x14ac:dyDescent="0.3">
      <c r="B3186" s="373"/>
      <c r="C3186" s="373"/>
      <c r="D3186" s="373"/>
      <c r="E3186" s="373"/>
      <c r="F3186" s="373"/>
      <c r="G3186" s="373"/>
      <c r="H3186" s="373"/>
      <c r="I3186" s="373"/>
    </row>
    <row r="3187" spans="2:14" ht="19.5" customHeight="1" x14ac:dyDescent="0.25">
      <c r="B3187" s="261" t="s">
        <v>299</v>
      </c>
      <c r="C3187" s="129" t="s">
        <v>300</v>
      </c>
      <c r="D3187" s="130" t="s">
        <v>301</v>
      </c>
      <c r="E3187" s="130" t="s">
        <v>302</v>
      </c>
      <c r="F3187" s="398" t="s">
        <v>303</v>
      </c>
      <c r="G3187" s="399"/>
      <c r="H3187" s="400"/>
      <c r="I3187" s="131" t="s">
        <v>304</v>
      </c>
    </row>
    <row r="3188" spans="2:14" ht="11.25" customHeight="1" x14ac:dyDescent="0.25">
      <c r="B3188" s="262"/>
      <c r="C3188" s="132"/>
      <c r="D3188" s="132" t="s">
        <v>305</v>
      </c>
      <c r="E3188" s="132" t="s">
        <v>306</v>
      </c>
      <c r="F3188" s="395" t="s">
        <v>339</v>
      </c>
      <c r="G3188" s="396"/>
      <c r="H3188" s="397"/>
      <c r="I3188" s="133"/>
    </row>
    <row r="3189" spans="2:14" ht="28.5" customHeight="1" x14ac:dyDescent="0.25">
      <c r="B3189" s="263" t="s">
        <v>307</v>
      </c>
      <c r="C3189" s="383" t="s">
        <v>414</v>
      </c>
      <c r="D3189" s="384"/>
      <c r="E3189" s="384"/>
      <c r="F3189" s="384"/>
      <c r="G3189" s="384"/>
      <c r="H3189" s="384"/>
      <c r="I3189" s="385"/>
    </row>
    <row r="3190" spans="2:14" ht="10.5" customHeight="1" x14ac:dyDescent="0.25">
      <c r="B3190" s="264" t="s">
        <v>129</v>
      </c>
      <c r="C3190" s="388" t="s">
        <v>308</v>
      </c>
      <c r="D3190" s="389"/>
      <c r="E3190" s="389"/>
      <c r="F3190" s="389"/>
      <c r="G3190" s="389"/>
      <c r="H3190" s="389"/>
      <c r="I3190" s="134" t="s">
        <v>130</v>
      </c>
    </row>
    <row r="3191" spans="2:14" ht="50.25" customHeight="1" thickBot="1" x14ac:dyDescent="0.3">
      <c r="B3191" s="265">
        <v>8.2199999999999953</v>
      </c>
      <c r="C3191" s="386" t="s">
        <v>615</v>
      </c>
      <c r="D3191" s="387"/>
      <c r="E3191" s="387"/>
      <c r="F3191" s="387"/>
      <c r="G3191" s="387"/>
      <c r="H3191" s="387"/>
      <c r="I3191" s="135" t="s">
        <v>27</v>
      </c>
    </row>
    <row r="3192" spans="2:14" ht="6" customHeight="1" thickBot="1" x14ac:dyDescent="0.3">
      <c r="B3192" s="373"/>
      <c r="C3192" s="373"/>
      <c r="D3192" s="373"/>
      <c r="E3192" s="373"/>
      <c r="F3192" s="373"/>
      <c r="G3192" s="373"/>
      <c r="H3192" s="373"/>
      <c r="I3192" s="373"/>
    </row>
    <row r="3193" spans="2:14" x14ac:dyDescent="0.25">
      <c r="B3193" s="380" t="s">
        <v>309</v>
      </c>
      <c r="C3193" s="381"/>
      <c r="D3193" s="381"/>
      <c r="E3193" s="381"/>
      <c r="F3193" s="381"/>
      <c r="G3193" s="381"/>
      <c r="H3193" s="381"/>
      <c r="I3193" s="382"/>
      <c r="K3193" s="182"/>
    </row>
    <row r="3194" spans="2:14" ht="11.25" customHeight="1" x14ac:dyDescent="0.25">
      <c r="B3194" s="377" t="s">
        <v>310</v>
      </c>
      <c r="C3194" s="378"/>
      <c r="D3194" s="379"/>
      <c r="E3194" s="136"/>
      <c r="F3194" s="137" t="s">
        <v>311</v>
      </c>
      <c r="G3194" s="137" t="s">
        <v>312</v>
      </c>
      <c r="H3194" s="137" t="s">
        <v>313</v>
      </c>
      <c r="I3194" s="138" t="s">
        <v>314</v>
      </c>
      <c r="L3194" s="139"/>
      <c r="M3194" s="139"/>
    </row>
    <row r="3195" spans="2:14" ht="11.25" customHeight="1" x14ac:dyDescent="0.25">
      <c r="B3195" s="362" t="s">
        <v>315</v>
      </c>
      <c r="C3195" s="363"/>
      <c r="D3195" s="363"/>
      <c r="E3195" s="160"/>
      <c r="F3195" s="161" t="s">
        <v>316</v>
      </c>
      <c r="G3195" s="160">
        <v>5000</v>
      </c>
      <c r="H3195" s="142">
        <v>1.2</v>
      </c>
      <c r="I3195" s="143">
        <f>G3195*H3195</f>
        <v>6000</v>
      </c>
    </row>
    <row r="3196" spans="2:14" ht="16.5" customHeight="1" x14ac:dyDescent="0.25">
      <c r="B3196" s="362" t="s">
        <v>355</v>
      </c>
      <c r="C3196" s="363"/>
      <c r="D3196" s="363"/>
      <c r="E3196" s="160"/>
      <c r="F3196" s="161" t="s">
        <v>317</v>
      </c>
      <c r="G3196" s="160">
        <v>90000</v>
      </c>
      <c r="H3196" s="142">
        <f>+H3195</f>
        <v>1.2</v>
      </c>
      <c r="I3196" s="143">
        <f>G3196*H3196</f>
        <v>108000</v>
      </c>
    </row>
    <row r="3197" spans="2:14" ht="10.5" customHeight="1" thickBot="1" x14ac:dyDescent="0.3">
      <c r="B3197" s="371" t="s">
        <v>318</v>
      </c>
      <c r="C3197" s="372"/>
      <c r="D3197" s="372"/>
      <c r="E3197" s="372"/>
      <c r="F3197" s="372"/>
      <c r="G3197" s="372"/>
      <c r="H3197" s="372"/>
      <c r="I3197" s="144">
        <f>SUM(I3195:I3196)</f>
        <v>114000</v>
      </c>
      <c r="N3197" s="150"/>
    </row>
    <row r="3198" spans="2:14" ht="6" customHeight="1" thickBot="1" x14ac:dyDescent="0.3">
      <c r="B3198" s="373"/>
      <c r="C3198" s="373"/>
      <c r="D3198" s="373"/>
      <c r="E3198" s="373"/>
      <c r="F3198" s="373"/>
      <c r="G3198" s="373"/>
      <c r="H3198" s="373"/>
      <c r="I3198" s="373"/>
    </row>
    <row r="3199" spans="2:14" s="145" customFormat="1" x14ac:dyDescent="0.25">
      <c r="B3199" s="380" t="s">
        <v>319</v>
      </c>
      <c r="C3199" s="381"/>
      <c r="D3199" s="381"/>
      <c r="E3199" s="381"/>
      <c r="F3199" s="381"/>
      <c r="G3199" s="381"/>
      <c r="H3199" s="381"/>
      <c r="I3199" s="382"/>
    </row>
    <row r="3200" spans="2:14" s="145" customFormat="1" ht="15.75" customHeight="1" x14ac:dyDescent="0.25">
      <c r="B3200" s="377" t="s">
        <v>310</v>
      </c>
      <c r="C3200" s="378"/>
      <c r="D3200" s="379"/>
      <c r="E3200" s="137"/>
      <c r="F3200" s="137" t="s">
        <v>320</v>
      </c>
      <c r="G3200" s="137" t="s">
        <v>321</v>
      </c>
      <c r="H3200" s="137" t="s">
        <v>322</v>
      </c>
      <c r="I3200" s="138" t="s">
        <v>314</v>
      </c>
    </row>
    <row r="3201" spans="2:15" ht="72.75" customHeight="1" x14ac:dyDescent="0.25">
      <c r="B3201" s="436" t="s">
        <v>615</v>
      </c>
      <c r="C3201" s="437"/>
      <c r="D3201" s="438"/>
      <c r="E3201" s="163"/>
      <c r="F3201" s="161" t="s">
        <v>27</v>
      </c>
      <c r="G3201" s="160">
        <f>1189923+3062272+1673635-5059078+1+1165487+180285+1281173</f>
        <v>3493698</v>
      </c>
      <c r="H3201" s="142">
        <v>1</v>
      </c>
      <c r="I3201" s="143">
        <f>G3201*H3201</f>
        <v>3493698</v>
      </c>
      <c r="M3201">
        <v>4608265</v>
      </c>
    </row>
    <row r="3202" spans="2:15" ht="18" customHeight="1" thickBot="1" x14ac:dyDescent="0.3">
      <c r="B3202" s="371" t="s">
        <v>318</v>
      </c>
      <c r="C3202" s="372"/>
      <c r="D3202" s="372"/>
      <c r="E3202" s="372"/>
      <c r="F3202" s="372"/>
      <c r="G3202" s="372"/>
      <c r="H3202" s="372"/>
      <c r="I3202" s="144">
        <f>SUM(I3201:I3201)</f>
        <v>3493698</v>
      </c>
      <c r="N3202" s="150"/>
    </row>
    <row r="3203" spans="2:15" ht="6" customHeight="1" thickBot="1" x14ac:dyDescent="0.3">
      <c r="B3203" s="373"/>
      <c r="C3203" s="373"/>
      <c r="D3203" s="373"/>
      <c r="E3203" s="373"/>
      <c r="F3203" s="373"/>
      <c r="G3203" s="373"/>
      <c r="H3203" s="373"/>
      <c r="I3203" s="373"/>
    </row>
    <row r="3204" spans="2:15" s="145" customFormat="1" x14ac:dyDescent="0.25">
      <c r="B3204" s="380" t="s">
        <v>323</v>
      </c>
      <c r="C3204" s="381"/>
      <c r="D3204" s="381"/>
      <c r="E3204" s="381"/>
      <c r="F3204" s="381"/>
      <c r="G3204" s="381"/>
      <c r="H3204" s="381"/>
      <c r="I3204" s="382"/>
      <c r="L3204" s="146"/>
      <c r="M3204" s="146"/>
    </row>
    <row r="3205" spans="2:15" s="145" customFormat="1" x14ac:dyDescent="0.25">
      <c r="B3205" s="377" t="s">
        <v>324</v>
      </c>
      <c r="C3205" s="378"/>
      <c r="D3205" s="379"/>
      <c r="E3205" s="137" t="s">
        <v>325</v>
      </c>
      <c r="F3205" s="137" t="s">
        <v>326</v>
      </c>
      <c r="G3205" s="137" t="s">
        <v>130</v>
      </c>
      <c r="H3205" s="137" t="s">
        <v>327</v>
      </c>
      <c r="I3205" s="138" t="s">
        <v>314</v>
      </c>
      <c r="K3205" s="260"/>
      <c r="N3205" s="183"/>
      <c r="O3205" s="148"/>
    </row>
    <row r="3206" spans="2:15" ht="11.25" customHeight="1" x14ac:dyDescent="0.25">
      <c r="B3206" s="362" t="s">
        <v>711</v>
      </c>
      <c r="C3206" s="363"/>
      <c r="D3206" s="363"/>
      <c r="E3206" s="170">
        <v>1</v>
      </c>
      <c r="F3206" s="164"/>
      <c r="G3206" s="161"/>
      <c r="H3206" s="162">
        <v>35000</v>
      </c>
      <c r="I3206" s="143">
        <f>H3206*E3206</f>
        <v>35000</v>
      </c>
      <c r="K3206" s="281"/>
    </row>
    <row r="3207" spans="2:15" ht="10.5" customHeight="1" thickBot="1" x14ac:dyDescent="0.3">
      <c r="B3207" s="371" t="s">
        <v>318</v>
      </c>
      <c r="C3207" s="372"/>
      <c r="D3207" s="372"/>
      <c r="E3207" s="372"/>
      <c r="F3207" s="372"/>
      <c r="G3207" s="372"/>
      <c r="H3207" s="372"/>
      <c r="I3207" s="144">
        <f>SUM(I3206:I3206)</f>
        <v>35000</v>
      </c>
      <c r="K3207" s="281"/>
      <c r="N3207" s="150"/>
    </row>
    <row r="3208" spans="2:15" ht="6" customHeight="1" thickBot="1" x14ac:dyDescent="0.3">
      <c r="B3208" s="373"/>
      <c r="C3208" s="373"/>
      <c r="D3208" s="373"/>
      <c r="E3208" s="373"/>
      <c r="F3208" s="373"/>
      <c r="G3208" s="373"/>
      <c r="H3208" s="373"/>
      <c r="I3208" s="373"/>
    </row>
    <row r="3209" spans="2:15" s="145" customFormat="1" ht="20.100000000000001" customHeight="1" x14ac:dyDescent="0.25">
      <c r="B3209" s="380" t="s">
        <v>328</v>
      </c>
      <c r="C3209" s="381"/>
      <c r="D3209" s="381"/>
      <c r="E3209" s="381"/>
      <c r="F3209" s="381"/>
      <c r="G3209" s="381"/>
      <c r="H3209" s="381"/>
      <c r="I3209" s="382"/>
      <c r="K3209" s="147"/>
      <c r="N3209" s="148"/>
      <c r="O3209" s="149"/>
    </row>
    <row r="3210" spans="2:15" s="145" customFormat="1" ht="20.100000000000001" customHeight="1" x14ac:dyDescent="0.25">
      <c r="B3210" s="377" t="s">
        <v>329</v>
      </c>
      <c r="C3210" s="379"/>
      <c r="D3210" s="137" t="s">
        <v>322</v>
      </c>
      <c r="E3210" s="137" t="s">
        <v>330</v>
      </c>
      <c r="F3210" s="137" t="s">
        <v>331</v>
      </c>
      <c r="G3210" s="137" t="s">
        <v>332</v>
      </c>
      <c r="H3210" s="137" t="s">
        <v>313</v>
      </c>
      <c r="I3210" s="138" t="s">
        <v>314</v>
      </c>
      <c r="K3210" s="147"/>
      <c r="O3210" s="179"/>
    </row>
    <row r="3211" spans="2:15" s="151" customFormat="1" ht="9.75" customHeight="1" x14ac:dyDescent="0.25">
      <c r="B3211" s="367" t="s">
        <v>356</v>
      </c>
      <c r="C3211" s="368"/>
      <c r="D3211" s="180">
        <v>1</v>
      </c>
      <c r="E3211" s="141">
        <v>140000</v>
      </c>
      <c r="F3211" s="141">
        <f>+E3211*0.8</f>
        <v>112000</v>
      </c>
      <c r="G3211" s="178">
        <f>D3211*E3211+F3211*D3211</f>
        <v>252000</v>
      </c>
      <c r="H3211" s="184">
        <v>1</v>
      </c>
      <c r="I3211" s="143">
        <f>+G3211/H3211</f>
        <v>252000</v>
      </c>
      <c r="J3211" s="145"/>
      <c r="K3211" s="147"/>
    </row>
    <row r="3212" spans="2:15" s="151" customFormat="1" ht="11.25" customHeight="1" x14ac:dyDescent="0.25">
      <c r="B3212" s="367" t="s">
        <v>374</v>
      </c>
      <c r="C3212" s="368"/>
      <c r="D3212" s="180">
        <v>1</v>
      </c>
      <c r="E3212" s="141">
        <v>80000</v>
      </c>
      <c r="F3212" s="141">
        <f>+E3212*0.8</f>
        <v>64000</v>
      </c>
      <c r="G3212" s="178">
        <f>D3212*E3212+F3212*D3212</f>
        <v>144000</v>
      </c>
      <c r="H3212" s="184">
        <f>+H3211</f>
        <v>1</v>
      </c>
      <c r="I3212" s="143">
        <f>+G3212/H3212</f>
        <v>144000</v>
      </c>
      <c r="J3212" s="145"/>
      <c r="K3212" s="147"/>
      <c r="L3212" s="179"/>
      <c r="M3212" s="179"/>
    </row>
    <row r="3213" spans="2:15" s="145" customFormat="1" ht="10.5" customHeight="1" x14ac:dyDescent="0.25">
      <c r="B3213" s="367" t="s">
        <v>333</v>
      </c>
      <c r="C3213" s="368"/>
      <c r="D3213" s="180">
        <v>2</v>
      </c>
      <c r="E3213" s="141">
        <v>55000</v>
      </c>
      <c r="F3213" s="141">
        <f>+E3213*0.8</f>
        <v>44000</v>
      </c>
      <c r="G3213" s="178">
        <f>D3213*E3213+F3213*D3213</f>
        <v>198000</v>
      </c>
      <c r="H3213" s="184">
        <f>+H3212</f>
        <v>1</v>
      </c>
      <c r="I3213" s="143">
        <f>+G3213/H3213</f>
        <v>198000</v>
      </c>
      <c r="K3213" s="147"/>
    </row>
    <row r="3214" spans="2:15" ht="10.5" customHeight="1" thickBot="1" x14ac:dyDescent="0.3">
      <c r="B3214" s="371" t="s">
        <v>318</v>
      </c>
      <c r="C3214" s="372"/>
      <c r="D3214" s="372"/>
      <c r="E3214" s="372"/>
      <c r="F3214" s="372"/>
      <c r="G3214" s="372"/>
      <c r="H3214" s="372"/>
      <c r="I3214" s="144">
        <f>SUM(I3211:I3213)</f>
        <v>594000</v>
      </c>
      <c r="K3214" s="281"/>
      <c r="N3214" s="150"/>
    </row>
    <row r="3215" spans="2:15" ht="6" customHeight="1" thickBot="1" x14ac:dyDescent="0.3">
      <c r="B3215" s="373"/>
      <c r="C3215" s="373"/>
      <c r="D3215" s="373"/>
      <c r="E3215" s="373"/>
      <c r="F3215" s="373"/>
      <c r="G3215" s="373"/>
      <c r="H3215" s="373"/>
      <c r="I3215" s="373"/>
    </row>
    <row r="3216" spans="2:15" ht="10.5" customHeight="1" thickBot="1" x14ac:dyDescent="0.3">
      <c r="B3216" s="374" t="s">
        <v>334</v>
      </c>
      <c r="C3216" s="375"/>
      <c r="D3216" s="375"/>
      <c r="E3216" s="375"/>
      <c r="F3216" s="375"/>
      <c r="G3216" s="375"/>
      <c r="H3216" s="376"/>
      <c r="I3216" s="152">
        <f>ROUND(+I3197+I3202+I3207+I3214,0)</f>
        <v>4236698</v>
      </c>
      <c r="J3216" s="281"/>
      <c r="K3216" s="169"/>
      <c r="L3216" s="181"/>
      <c r="M3216" s="181"/>
      <c r="N3216" s="153"/>
    </row>
    <row r="3217" spans="2:14" ht="6" customHeight="1" thickBot="1" x14ac:dyDescent="0.3">
      <c r="B3217" s="373"/>
      <c r="C3217" s="373"/>
      <c r="D3217" s="373"/>
      <c r="E3217" s="373"/>
      <c r="F3217" s="373"/>
      <c r="G3217" s="373"/>
      <c r="H3217" s="373"/>
      <c r="I3217" s="373"/>
    </row>
    <row r="3218" spans="2:14" ht="8.25" customHeight="1" x14ac:dyDescent="0.25">
      <c r="B3218" s="433" t="s">
        <v>335</v>
      </c>
      <c r="C3218" s="417"/>
      <c r="D3218" s="418"/>
      <c r="E3218" s="418"/>
      <c r="F3218" s="419"/>
      <c r="G3218" s="369" t="s">
        <v>336</v>
      </c>
      <c r="H3218" s="370"/>
      <c r="I3218" s="370"/>
    </row>
    <row r="3219" spans="2:14" ht="33.75" customHeight="1" x14ac:dyDescent="0.25">
      <c r="B3219" s="434"/>
      <c r="C3219" s="420"/>
      <c r="D3219" s="421"/>
      <c r="E3219" s="421"/>
      <c r="F3219" s="422"/>
      <c r="G3219" s="430" t="s">
        <v>337</v>
      </c>
      <c r="H3219" s="431"/>
      <c r="I3219" s="431"/>
      <c r="L3219" s="181"/>
      <c r="M3219" s="181"/>
      <c r="N3219" s="179"/>
    </row>
    <row r="3220" spans="2:14" ht="13.5" customHeight="1" x14ac:dyDescent="0.25">
      <c r="B3220" s="434"/>
      <c r="C3220" s="420"/>
      <c r="D3220" s="421"/>
      <c r="E3220" s="421"/>
      <c r="F3220" s="422"/>
      <c r="G3220" s="154" t="s">
        <v>92</v>
      </c>
      <c r="H3220" s="432" t="s">
        <v>93</v>
      </c>
      <c r="I3220" s="432"/>
    </row>
    <row r="3221" spans="2:14" ht="16.5" customHeight="1" x14ac:dyDescent="0.25">
      <c r="B3221" s="435"/>
      <c r="C3221" s="420"/>
      <c r="D3221" s="421"/>
      <c r="E3221" s="421"/>
      <c r="F3221" s="422"/>
      <c r="G3221" s="155" t="s">
        <v>94</v>
      </c>
      <c r="H3221" s="156" t="s">
        <v>95</v>
      </c>
      <c r="I3221" s="157" t="s">
        <v>96</v>
      </c>
    </row>
    <row r="3222" spans="2:14" x14ac:dyDescent="0.25">
      <c r="B3222" s="268" t="s">
        <v>18</v>
      </c>
      <c r="C3222" s="427"/>
      <c r="D3222" s="428"/>
      <c r="E3222" s="428"/>
      <c r="F3222" s="429"/>
      <c r="G3222" s="155" t="s">
        <v>98</v>
      </c>
      <c r="H3222" s="157" t="s">
        <v>99</v>
      </c>
      <c r="I3222" s="157" t="s">
        <v>100</v>
      </c>
    </row>
    <row r="3223" spans="2:14" x14ac:dyDescent="0.25">
      <c r="B3223" s="269" t="s">
        <v>97</v>
      </c>
      <c r="C3223" s="427"/>
      <c r="D3223" s="428"/>
      <c r="E3223" s="428"/>
      <c r="F3223" s="429"/>
      <c r="G3223" s="154" t="s">
        <v>338</v>
      </c>
      <c r="H3223" s="426"/>
      <c r="I3223" s="426"/>
    </row>
    <row r="3224" spans="2:14" ht="15.75" thickBot="1" x14ac:dyDescent="0.3">
      <c r="B3224" s="270" t="s">
        <v>101</v>
      </c>
      <c r="C3224" s="423"/>
      <c r="D3224" s="424"/>
      <c r="E3224" s="424"/>
      <c r="F3224" s="425"/>
      <c r="G3224" s="154" t="s">
        <v>102</v>
      </c>
      <c r="H3224" s="426" t="s">
        <v>103</v>
      </c>
      <c r="I3224" s="426"/>
    </row>
    <row r="3225" spans="2:14" ht="45" customHeight="1" thickBot="1" x14ac:dyDescent="0.3">
      <c r="B3225" s="401"/>
      <c r="C3225" s="402"/>
      <c r="D3225" s="402"/>
      <c r="E3225" s="402"/>
      <c r="F3225" s="403" t="s">
        <v>0</v>
      </c>
      <c r="G3225" s="403"/>
      <c r="H3225" s="403"/>
      <c r="I3225" s="404"/>
    </row>
    <row r="3226" spans="2:14" ht="6" customHeight="1" thickBot="1" x14ac:dyDescent="0.3">
      <c r="B3226" s="373"/>
      <c r="C3226" s="373"/>
      <c r="D3226" s="373"/>
      <c r="E3226" s="373"/>
      <c r="F3226" s="373"/>
      <c r="G3226" s="373"/>
      <c r="H3226" s="373"/>
      <c r="I3226" s="373"/>
    </row>
    <row r="3227" spans="2:14" ht="10.5" customHeight="1" x14ac:dyDescent="0.25">
      <c r="B3227" s="405" t="s">
        <v>294</v>
      </c>
      <c r="C3227" s="406"/>
      <c r="D3227" s="407" t="s">
        <v>295</v>
      </c>
      <c r="E3227" s="409" t="s">
        <v>296</v>
      </c>
      <c r="F3227" s="410"/>
      <c r="G3227" s="410"/>
      <c r="H3227" s="410"/>
      <c r="I3227" s="411"/>
    </row>
    <row r="3228" spans="2:14" ht="9" customHeight="1" thickBot="1" x14ac:dyDescent="0.3">
      <c r="B3228" s="415"/>
      <c r="C3228" s="416"/>
      <c r="D3228" s="408"/>
      <c r="E3228" s="412"/>
      <c r="F3228" s="413"/>
      <c r="G3228" s="413"/>
      <c r="H3228" s="413"/>
      <c r="I3228" s="414"/>
    </row>
    <row r="3229" spans="2:14" ht="6" customHeight="1" thickBot="1" x14ac:dyDescent="0.3">
      <c r="B3229" s="373"/>
      <c r="C3229" s="373"/>
      <c r="D3229" s="373"/>
      <c r="E3229" s="373"/>
      <c r="F3229" s="373"/>
      <c r="G3229" s="373"/>
      <c r="H3229" s="373"/>
      <c r="I3229" s="373"/>
    </row>
    <row r="3230" spans="2:14" ht="17.25" customHeight="1" thickBot="1" x14ac:dyDescent="0.3">
      <c r="B3230" s="390" t="s">
        <v>297</v>
      </c>
      <c r="C3230" s="391"/>
      <c r="D3230" s="392"/>
      <c r="E3230" s="393"/>
      <c r="F3230" s="393"/>
      <c r="G3230" s="394"/>
      <c r="H3230" s="127" t="s">
        <v>298</v>
      </c>
      <c r="I3230" s="128"/>
    </row>
    <row r="3231" spans="2:14" ht="6" customHeight="1" thickBot="1" x14ac:dyDescent="0.3">
      <c r="B3231" s="373"/>
      <c r="C3231" s="373"/>
      <c r="D3231" s="373"/>
      <c r="E3231" s="373"/>
      <c r="F3231" s="373"/>
      <c r="G3231" s="373"/>
      <c r="H3231" s="373"/>
      <c r="I3231" s="373"/>
    </row>
    <row r="3232" spans="2:14" ht="19.5" customHeight="1" x14ac:dyDescent="0.25">
      <c r="B3232" s="261" t="s">
        <v>299</v>
      </c>
      <c r="C3232" s="129" t="s">
        <v>300</v>
      </c>
      <c r="D3232" s="130" t="s">
        <v>301</v>
      </c>
      <c r="E3232" s="130" t="s">
        <v>302</v>
      </c>
      <c r="F3232" s="398" t="s">
        <v>303</v>
      </c>
      <c r="G3232" s="399"/>
      <c r="H3232" s="400"/>
      <c r="I3232" s="131" t="s">
        <v>304</v>
      </c>
    </row>
    <row r="3233" spans="2:14" ht="11.25" customHeight="1" x14ac:dyDescent="0.25">
      <c r="B3233" s="262"/>
      <c r="C3233" s="132"/>
      <c r="D3233" s="132" t="s">
        <v>305</v>
      </c>
      <c r="E3233" s="132" t="s">
        <v>306</v>
      </c>
      <c r="F3233" s="395" t="s">
        <v>339</v>
      </c>
      <c r="G3233" s="396"/>
      <c r="H3233" s="397"/>
      <c r="I3233" s="133"/>
    </row>
    <row r="3234" spans="2:14" ht="28.5" customHeight="1" x14ac:dyDescent="0.25">
      <c r="B3234" s="263" t="s">
        <v>307</v>
      </c>
      <c r="C3234" s="383" t="s">
        <v>414</v>
      </c>
      <c r="D3234" s="384"/>
      <c r="E3234" s="384"/>
      <c r="F3234" s="384"/>
      <c r="G3234" s="384"/>
      <c r="H3234" s="384"/>
      <c r="I3234" s="385"/>
    </row>
    <row r="3235" spans="2:14" ht="10.5" customHeight="1" x14ac:dyDescent="0.25">
      <c r="B3235" s="264" t="s">
        <v>129</v>
      </c>
      <c r="C3235" s="388" t="s">
        <v>308</v>
      </c>
      <c r="D3235" s="389"/>
      <c r="E3235" s="389"/>
      <c r="F3235" s="389"/>
      <c r="G3235" s="389"/>
      <c r="H3235" s="389"/>
      <c r="I3235" s="134" t="s">
        <v>130</v>
      </c>
    </row>
    <row r="3236" spans="2:14" ht="50.25" customHeight="1" thickBot="1" x14ac:dyDescent="0.3">
      <c r="B3236" s="265">
        <v>8.2299999999999951</v>
      </c>
      <c r="C3236" s="386" t="s">
        <v>616</v>
      </c>
      <c r="D3236" s="387"/>
      <c r="E3236" s="387"/>
      <c r="F3236" s="387"/>
      <c r="G3236" s="387"/>
      <c r="H3236" s="387"/>
      <c r="I3236" s="135" t="s">
        <v>27</v>
      </c>
    </row>
    <row r="3237" spans="2:14" ht="6" customHeight="1" thickBot="1" x14ac:dyDescent="0.3">
      <c r="B3237" s="373"/>
      <c r="C3237" s="373"/>
      <c r="D3237" s="373"/>
      <c r="E3237" s="373"/>
      <c r="F3237" s="373"/>
      <c r="G3237" s="373"/>
      <c r="H3237" s="373"/>
      <c r="I3237" s="373"/>
    </row>
    <row r="3238" spans="2:14" x14ac:dyDescent="0.25">
      <c r="B3238" s="380" t="s">
        <v>309</v>
      </c>
      <c r="C3238" s="381"/>
      <c r="D3238" s="381"/>
      <c r="E3238" s="381"/>
      <c r="F3238" s="381"/>
      <c r="G3238" s="381"/>
      <c r="H3238" s="381"/>
      <c r="I3238" s="382"/>
      <c r="K3238" s="182"/>
    </row>
    <row r="3239" spans="2:14" ht="11.25" customHeight="1" x14ac:dyDescent="0.25">
      <c r="B3239" s="377" t="s">
        <v>310</v>
      </c>
      <c r="C3239" s="378"/>
      <c r="D3239" s="379"/>
      <c r="E3239" s="136"/>
      <c r="F3239" s="137" t="s">
        <v>311</v>
      </c>
      <c r="G3239" s="137" t="s">
        <v>312</v>
      </c>
      <c r="H3239" s="137" t="s">
        <v>313</v>
      </c>
      <c r="I3239" s="138" t="s">
        <v>314</v>
      </c>
      <c r="L3239" s="139"/>
      <c r="M3239" s="139"/>
    </row>
    <row r="3240" spans="2:14" ht="11.25" customHeight="1" x14ac:dyDescent="0.25">
      <c r="B3240" s="362" t="s">
        <v>315</v>
      </c>
      <c r="C3240" s="363"/>
      <c r="D3240" s="363"/>
      <c r="E3240" s="160"/>
      <c r="F3240" s="161" t="s">
        <v>316</v>
      </c>
      <c r="G3240" s="160">
        <v>5000</v>
      </c>
      <c r="H3240" s="142">
        <v>1.4</v>
      </c>
      <c r="I3240" s="143">
        <f>G3240*H3240</f>
        <v>7000</v>
      </c>
    </row>
    <row r="3241" spans="2:14" ht="16.5" customHeight="1" x14ac:dyDescent="0.25">
      <c r="B3241" s="362" t="s">
        <v>355</v>
      </c>
      <c r="C3241" s="363"/>
      <c r="D3241" s="363"/>
      <c r="E3241" s="160"/>
      <c r="F3241" s="161" t="s">
        <v>317</v>
      </c>
      <c r="G3241" s="160">
        <v>90000</v>
      </c>
      <c r="H3241" s="142">
        <f>+H3240</f>
        <v>1.4</v>
      </c>
      <c r="I3241" s="143">
        <f>G3241*H3241</f>
        <v>125999.99999999999</v>
      </c>
    </row>
    <row r="3242" spans="2:14" ht="10.5" customHeight="1" thickBot="1" x14ac:dyDescent="0.3">
      <c r="B3242" s="371" t="s">
        <v>318</v>
      </c>
      <c r="C3242" s="372"/>
      <c r="D3242" s="372"/>
      <c r="E3242" s="372"/>
      <c r="F3242" s="372"/>
      <c r="G3242" s="372"/>
      <c r="H3242" s="372"/>
      <c r="I3242" s="144">
        <f>SUM(I3240:I3241)</f>
        <v>133000</v>
      </c>
      <c r="N3242" s="150"/>
    </row>
    <row r="3243" spans="2:14" ht="6" customHeight="1" thickBot="1" x14ac:dyDescent="0.3">
      <c r="B3243" s="373"/>
      <c r="C3243" s="373"/>
      <c r="D3243" s="373"/>
      <c r="E3243" s="373"/>
      <c r="F3243" s="373"/>
      <c r="G3243" s="373"/>
      <c r="H3243" s="373"/>
      <c r="I3243" s="373"/>
    </row>
    <row r="3244" spans="2:14" s="145" customFormat="1" x14ac:dyDescent="0.25">
      <c r="B3244" s="380" t="s">
        <v>319</v>
      </c>
      <c r="C3244" s="381"/>
      <c r="D3244" s="381"/>
      <c r="E3244" s="381"/>
      <c r="F3244" s="381"/>
      <c r="G3244" s="381"/>
      <c r="H3244" s="381"/>
      <c r="I3244" s="382"/>
    </row>
    <row r="3245" spans="2:14" s="145" customFormat="1" ht="15.75" customHeight="1" x14ac:dyDescent="0.25">
      <c r="B3245" s="377" t="s">
        <v>310</v>
      </c>
      <c r="C3245" s="378"/>
      <c r="D3245" s="379"/>
      <c r="E3245" s="137"/>
      <c r="F3245" s="137" t="s">
        <v>320</v>
      </c>
      <c r="G3245" s="137" t="s">
        <v>321</v>
      </c>
      <c r="H3245" s="137" t="s">
        <v>322</v>
      </c>
      <c r="I3245" s="138" t="s">
        <v>314</v>
      </c>
    </row>
    <row r="3246" spans="2:14" ht="72.75" customHeight="1" x14ac:dyDescent="0.25">
      <c r="B3246" s="436" t="s">
        <v>616</v>
      </c>
      <c r="C3246" s="437"/>
      <c r="D3246" s="438"/>
      <c r="E3246" s="163"/>
      <c r="F3246" s="161" t="s">
        <v>27</v>
      </c>
      <c r="G3246" s="160">
        <f>1189923+3062272+1673635-5059078+1+1165487+180285+1281173+2129846</f>
        <v>5623544</v>
      </c>
      <c r="H3246" s="142">
        <v>1</v>
      </c>
      <c r="I3246" s="143">
        <f>G3246*H3246</f>
        <v>5623544</v>
      </c>
      <c r="M3246">
        <v>4608265</v>
      </c>
    </row>
    <row r="3247" spans="2:14" ht="18" customHeight="1" thickBot="1" x14ac:dyDescent="0.3">
      <c r="B3247" s="371" t="s">
        <v>318</v>
      </c>
      <c r="C3247" s="372"/>
      <c r="D3247" s="372"/>
      <c r="E3247" s="372"/>
      <c r="F3247" s="372"/>
      <c r="G3247" s="372"/>
      <c r="H3247" s="372"/>
      <c r="I3247" s="144">
        <f>SUM(I3246:I3246)</f>
        <v>5623544</v>
      </c>
      <c r="N3247" s="150"/>
    </row>
    <row r="3248" spans="2:14" ht="6" customHeight="1" thickBot="1" x14ac:dyDescent="0.3">
      <c r="B3248" s="373"/>
      <c r="C3248" s="373"/>
      <c r="D3248" s="373"/>
      <c r="E3248" s="373"/>
      <c r="F3248" s="373"/>
      <c r="G3248" s="373"/>
      <c r="H3248" s="373"/>
      <c r="I3248" s="373"/>
    </row>
    <row r="3249" spans="2:15" s="145" customFormat="1" x14ac:dyDescent="0.25">
      <c r="B3249" s="380" t="s">
        <v>323</v>
      </c>
      <c r="C3249" s="381"/>
      <c r="D3249" s="381"/>
      <c r="E3249" s="381"/>
      <c r="F3249" s="381"/>
      <c r="G3249" s="381"/>
      <c r="H3249" s="381"/>
      <c r="I3249" s="382"/>
      <c r="L3249" s="146"/>
      <c r="M3249" s="146"/>
    </row>
    <row r="3250" spans="2:15" s="145" customFormat="1" x14ac:dyDescent="0.25">
      <c r="B3250" s="377" t="s">
        <v>324</v>
      </c>
      <c r="C3250" s="378"/>
      <c r="D3250" s="379"/>
      <c r="E3250" s="137" t="s">
        <v>325</v>
      </c>
      <c r="F3250" s="137" t="s">
        <v>326</v>
      </c>
      <c r="G3250" s="137" t="s">
        <v>130</v>
      </c>
      <c r="H3250" s="137" t="s">
        <v>327</v>
      </c>
      <c r="I3250" s="138" t="s">
        <v>314</v>
      </c>
      <c r="K3250" s="260"/>
      <c r="N3250" s="183"/>
      <c r="O3250" s="148"/>
    </row>
    <row r="3251" spans="2:15" ht="11.25" customHeight="1" x14ac:dyDescent="0.25">
      <c r="B3251" s="362" t="s">
        <v>711</v>
      </c>
      <c r="C3251" s="363"/>
      <c r="D3251" s="363"/>
      <c r="E3251" s="170">
        <v>1</v>
      </c>
      <c r="F3251" s="164"/>
      <c r="G3251" s="161"/>
      <c r="H3251" s="162">
        <v>40000</v>
      </c>
      <c r="I3251" s="143">
        <f>H3251*E3251</f>
        <v>40000</v>
      </c>
      <c r="K3251" s="281"/>
    </row>
    <row r="3252" spans="2:15" ht="10.5" customHeight="1" thickBot="1" x14ac:dyDescent="0.3">
      <c r="B3252" s="371" t="s">
        <v>318</v>
      </c>
      <c r="C3252" s="372"/>
      <c r="D3252" s="372"/>
      <c r="E3252" s="372"/>
      <c r="F3252" s="372"/>
      <c r="G3252" s="372"/>
      <c r="H3252" s="372"/>
      <c r="I3252" s="144">
        <f>SUM(I3251:I3251)</f>
        <v>40000</v>
      </c>
      <c r="K3252" s="281"/>
      <c r="N3252" s="150"/>
    </row>
    <row r="3253" spans="2:15" ht="6" customHeight="1" thickBot="1" x14ac:dyDescent="0.3">
      <c r="B3253" s="373"/>
      <c r="C3253" s="373"/>
      <c r="D3253" s="373"/>
      <c r="E3253" s="373"/>
      <c r="F3253" s="373"/>
      <c r="G3253" s="373"/>
      <c r="H3253" s="373"/>
      <c r="I3253" s="373"/>
    </row>
    <row r="3254" spans="2:15" s="145" customFormat="1" ht="20.100000000000001" customHeight="1" x14ac:dyDescent="0.25">
      <c r="B3254" s="380" t="s">
        <v>328</v>
      </c>
      <c r="C3254" s="381"/>
      <c r="D3254" s="381"/>
      <c r="E3254" s="381"/>
      <c r="F3254" s="381"/>
      <c r="G3254" s="381"/>
      <c r="H3254" s="381"/>
      <c r="I3254" s="382"/>
      <c r="K3254" s="147">
        <v>6850830</v>
      </c>
      <c r="N3254" s="148"/>
      <c r="O3254" s="149"/>
    </row>
    <row r="3255" spans="2:15" s="145" customFormat="1" ht="20.100000000000001" customHeight="1" x14ac:dyDescent="0.25">
      <c r="B3255" s="377" t="s">
        <v>329</v>
      </c>
      <c r="C3255" s="379"/>
      <c r="D3255" s="137" t="s">
        <v>322</v>
      </c>
      <c r="E3255" s="137" t="s">
        <v>330</v>
      </c>
      <c r="F3255" s="137" t="s">
        <v>331</v>
      </c>
      <c r="G3255" s="137" t="s">
        <v>332</v>
      </c>
      <c r="H3255" s="137" t="s">
        <v>313</v>
      </c>
      <c r="I3255" s="138" t="s">
        <v>314</v>
      </c>
      <c r="K3255" s="147">
        <f>+K3254-I3261</f>
        <v>0</v>
      </c>
      <c r="O3255" s="179"/>
    </row>
    <row r="3256" spans="2:15" s="151" customFormat="1" ht="9.75" customHeight="1" x14ac:dyDescent="0.25">
      <c r="B3256" s="367" t="s">
        <v>356</v>
      </c>
      <c r="C3256" s="368"/>
      <c r="D3256" s="180">
        <v>1</v>
      </c>
      <c r="E3256" s="141">
        <v>140000</v>
      </c>
      <c r="F3256" s="141">
        <f>+E3256*0.8</f>
        <v>112000</v>
      </c>
      <c r="G3256" s="178">
        <f>D3256*E3256+F3256*D3256</f>
        <v>252000</v>
      </c>
      <c r="H3256" s="184">
        <v>0.7</v>
      </c>
      <c r="I3256" s="143">
        <f>+G3256/H3256</f>
        <v>360000</v>
      </c>
      <c r="J3256" s="145"/>
      <c r="K3256" s="147"/>
    </row>
    <row r="3257" spans="2:15" s="151" customFormat="1" ht="11.25" customHeight="1" x14ac:dyDescent="0.25">
      <c r="B3257" s="367" t="s">
        <v>374</v>
      </c>
      <c r="C3257" s="368"/>
      <c r="D3257" s="180">
        <v>2</v>
      </c>
      <c r="E3257" s="141">
        <v>80000</v>
      </c>
      <c r="F3257" s="141">
        <f>+E3257*0.8</f>
        <v>64000</v>
      </c>
      <c r="G3257" s="178">
        <f>D3257*E3257+F3257*D3257</f>
        <v>288000</v>
      </c>
      <c r="H3257" s="184">
        <f>+H3256</f>
        <v>0.7</v>
      </c>
      <c r="I3257" s="143">
        <f>+G3257/H3257</f>
        <v>411428.57142857148</v>
      </c>
      <c r="J3257" s="145"/>
      <c r="K3257" s="147"/>
      <c r="L3257" s="179"/>
      <c r="M3257" s="179"/>
    </row>
    <row r="3258" spans="2:15" s="145" customFormat="1" ht="10.5" customHeight="1" x14ac:dyDescent="0.25">
      <c r="B3258" s="367" t="s">
        <v>333</v>
      </c>
      <c r="C3258" s="368"/>
      <c r="D3258" s="180">
        <v>2</v>
      </c>
      <c r="E3258" s="141">
        <v>55000</v>
      </c>
      <c r="F3258" s="141">
        <f>+E3258*0.8</f>
        <v>44000</v>
      </c>
      <c r="G3258" s="178">
        <f>D3258*E3258+F3258*D3258</f>
        <v>198000</v>
      </c>
      <c r="H3258" s="184">
        <f>+H3257</f>
        <v>0.7</v>
      </c>
      <c r="I3258" s="143">
        <f>+G3258/H3258</f>
        <v>282857.1428571429</v>
      </c>
      <c r="K3258" s="147"/>
    </row>
    <row r="3259" spans="2:15" ht="10.5" customHeight="1" thickBot="1" x14ac:dyDescent="0.3">
      <c r="B3259" s="371" t="s">
        <v>318</v>
      </c>
      <c r="C3259" s="372"/>
      <c r="D3259" s="372"/>
      <c r="E3259" s="372"/>
      <c r="F3259" s="372"/>
      <c r="G3259" s="372"/>
      <c r="H3259" s="372"/>
      <c r="I3259" s="144">
        <f>SUM(I3256:I3258)</f>
        <v>1054285.7142857143</v>
      </c>
      <c r="K3259" s="281"/>
      <c r="N3259" s="150"/>
    </row>
    <row r="3260" spans="2:15" ht="6" customHeight="1" thickBot="1" x14ac:dyDescent="0.3">
      <c r="B3260" s="373"/>
      <c r="C3260" s="373"/>
      <c r="D3260" s="373"/>
      <c r="E3260" s="373"/>
      <c r="F3260" s="373"/>
      <c r="G3260" s="373"/>
      <c r="H3260" s="373"/>
      <c r="I3260" s="373"/>
    </row>
    <row r="3261" spans="2:15" ht="10.5" customHeight="1" thickBot="1" x14ac:dyDescent="0.3">
      <c r="B3261" s="374" t="s">
        <v>334</v>
      </c>
      <c r="C3261" s="375"/>
      <c r="D3261" s="375"/>
      <c r="E3261" s="375"/>
      <c r="F3261" s="375"/>
      <c r="G3261" s="375"/>
      <c r="H3261" s="376"/>
      <c r="I3261" s="152">
        <f>ROUND(+I3242+I3247+I3252+I3259,0)</f>
        <v>6850830</v>
      </c>
      <c r="J3261" s="281"/>
      <c r="K3261" s="169"/>
      <c r="L3261" s="181"/>
      <c r="M3261" s="181"/>
      <c r="N3261" s="153"/>
    </row>
    <row r="3262" spans="2:15" ht="6" customHeight="1" thickBot="1" x14ac:dyDescent="0.3">
      <c r="B3262" s="373"/>
      <c r="C3262" s="373"/>
      <c r="D3262" s="373"/>
      <c r="E3262" s="373"/>
      <c r="F3262" s="373"/>
      <c r="G3262" s="373"/>
      <c r="H3262" s="373"/>
      <c r="I3262" s="373"/>
    </row>
    <row r="3263" spans="2:15" ht="8.25" customHeight="1" x14ac:dyDescent="0.25">
      <c r="B3263" s="433" t="s">
        <v>335</v>
      </c>
      <c r="C3263" s="417"/>
      <c r="D3263" s="418"/>
      <c r="E3263" s="418"/>
      <c r="F3263" s="419"/>
      <c r="G3263" s="369" t="s">
        <v>336</v>
      </c>
      <c r="H3263" s="370"/>
      <c r="I3263" s="370"/>
    </row>
    <row r="3264" spans="2:15" ht="33.75" customHeight="1" x14ac:dyDescent="0.25">
      <c r="B3264" s="434"/>
      <c r="C3264" s="420"/>
      <c r="D3264" s="421"/>
      <c r="E3264" s="421"/>
      <c r="F3264" s="422"/>
      <c r="G3264" s="430" t="s">
        <v>337</v>
      </c>
      <c r="H3264" s="431"/>
      <c r="I3264" s="431"/>
      <c r="L3264" s="181"/>
      <c r="M3264" s="181"/>
      <c r="N3264" s="179"/>
    </row>
    <row r="3265" spans="2:9" ht="13.5" customHeight="1" x14ac:dyDescent="0.25">
      <c r="B3265" s="434"/>
      <c r="C3265" s="420"/>
      <c r="D3265" s="421"/>
      <c r="E3265" s="421"/>
      <c r="F3265" s="422"/>
      <c r="G3265" s="154" t="s">
        <v>92</v>
      </c>
      <c r="H3265" s="432" t="s">
        <v>93</v>
      </c>
      <c r="I3265" s="432"/>
    </row>
    <row r="3266" spans="2:9" ht="16.5" customHeight="1" x14ac:dyDescent="0.25">
      <c r="B3266" s="435"/>
      <c r="C3266" s="420"/>
      <c r="D3266" s="421"/>
      <c r="E3266" s="421"/>
      <c r="F3266" s="422"/>
      <c r="G3266" s="155" t="s">
        <v>94</v>
      </c>
      <c r="H3266" s="156" t="s">
        <v>95</v>
      </c>
      <c r="I3266" s="157" t="s">
        <v>96</v>
      </c>
    </row>
    <row r="3267" spans="2:9" x14ac:dyDescent="0.25">
      <c r="B3267" s="268" t="s">
        <v>18</v>
      </c>
      <c r="C3267" s="427"/>
      <c r="D3267" s="428"/>
      <c r="E3267" s="428"/>
      <c r="F3267" s="429"/>
      <c r="G3267" s="155" t="s">
        <v>98</v>
      </c>
      <c r="H3267" s="157" t="s">
        <v>99</v>
      </c>
      <c r="I3267" s="157" t="s">
        <v>100</v>
      </c>
    </row>
    <row r="3268" spans="2:9" x14ac:dyDescent="0.25">
      <c r="B3268" s="269" t="s">
        <v>97</v>
      </c>
      <c r="C3268" s="427"/>
      <c r="D3268" s="428"/>
      <c r="E3268" s="428"/>
      <c r="F3268" s="429"/>
      <c r="G3268" s="154" t="s">
        <v>338</v>
      </c>
      <c r="H3268" s="426"/>
      <c r="I3268" s="426"/>
    </row>
    <row r="3269" spans="2:9" ht="15.75" thickBot="1" x14ac:dyDescent="0.3">
      <c r="B3269" s="270" t="s">
        <v>101</v>
      </c>
      <c r="C3269" s="423"/>
      <c r="D3269" s="424"/>
      <c r="E3269" s="424"/>
      <c r="F3269" s="425"/>
      <c r="G3269" s="154" t="s">
        <v>102</v>
      </c>
      <c r="H3269" s="426" t="s">
        <v>103</v>
      </c>
      <c r="I3269" s="426"/>
    </row>
    <row r="3270" spans="2:9" ht="45" customHeight="1" thickBot="1" x14ac:dyDescent="0.3">
      <c r="B3270" s="401"/>
      <c r="C3270" s="402"/>
      <c r="D3270" s="402"/>
      <c r="E3270" s="402"/>
      <c r="F3270" s="403" t="s">
        <v>0</v>
      </c>
      <c r="G3270" s="403"/>
      <c r="H3270" s="403"/>
      <c r="I3270" s="404"/>
    </row>
    <row r="3271" spans="2:9" ht="6" customHeight="1" thickBot="1" x14ac:dyDescent="0.3">
      <c r="B3271" s="373"/>
      <c r="C3271" s="373"/>
      <c r="D3271" s="373"/>
      <c r="E3271" s="373"/>
      <c r="F3271" s="373"/>
      <c r="G3271" s="373"/>
      <c r="H3271" s="373"/>
      <c r="I3271" s="373"/>
    </row>
    <row r="3272" spans="2:9" ht="10.5" customHeight="1" x14ac:dyDescent="0.25">
      <c r="B3272" s="405" t="s">
        <v>294</v>
      </c>
      <c r="C3272" s="406"/>
      <c r="D3272" s="407" t="s">
        <v>295</v>
      </c>
      <c r="E3272" s="409" t="s">
        <v>296</v>
      </c>
      <c r="F3272" s="410"/>
      <c r="G3272" s="410"/>
      <c r="H3272" s="410"/>
      <c r="I3272" s="411"/>
    </row>
    <row r="3273" spans="2:9" ht="9" customHeight="1" thickBot="1" x14ac:dyDescent="0.3">
      <c r="B3273" s="415"/>
      <c r="C3273" s="416"/>
      <c r="D3273" s="408"/>
      <c r="E3273" s="412"/>
      <c r="F3273" s="413"/>
      <c r="G3273" s="413"/>
      <c r="H3273" s="413"/>
      <c r="I3273" s="414"/>
    </row>
    <row r="3274" spans="2:9" ht="6" customHeight="1" thickBot="1" x14ac:dyDescent="0.3">
      <c r="B3274" s="373"/>
      <c r="C3274" s="373"/>
      <c r="D3274" s="373"/>
      <c r="E3274" s="373"/>
      <c r="F3274" s="373"/>
      <c r="G3274" s="373"/>
      <c r="H3274" s="373"/>
      <c r="I3274" s="373"/>
    </row>
    <row r="3275" spans="2:9" ht="17.25" customHeight="1" thickBot="1" x14ac:dyDescent="0.3">
      <c r="B3275" s="390" t="s">
        <v>297</v>
      </c>
      <c r="C3275" s="391"/>
      <c r="D3275" s="392"/>
      <c r="E3275" s="393"/>
      <c r="F3275" s="393"/>
      <c r="G3275" s="394"/>
      <c r="H3275" s="127" t="s">
        <v>298</v>
      </c>
      <c r="I3275" s="128"/>
    </row>
    <row r="3276" spans="2:9" ht="6" customHeight="1" thickBot="1" x14ac:dyDescent="0.3">
      <c r="B3276" s="373"/>
      <c r="C3276" s="373"/>
      <c r="D3276" s="373"/>
      <c r="E3276" s="373"/>
      <c r="F3276" s="373"/>
      <c r="G3276" s="373"/>
      <c r="H3276" s="373"/>
      <c r="I3276" s="373"/>
    </row>
    <row r="3277" spans="2:9" ht="19.5" customHeight="1" x14ac:dyDescent="0.25">
      <c r="B3277" s="261" t="s">
        <v>299</v>
      </c>
      <c r="C3277" s="129" t="s">
        <v>300</v>
      </c>
      <c r="D3277" s="130" t="s">
        <v>301</v>
      </c>
      <c r="E3277" s="130" t="s">
        <v>302</v>
      </c>
      <c r="F3277" s="398" t="s">
        <v>303</v>
      </c>
      <c r="G3277" s="399"/>
      <c r="H3277" s="400"/>
      <c r="I3277" s="131" t="s">
        <v>304</v>
      </c>
    </row>
    <row r="3278" spans="2:9" ht="11.25" customHeight="1" x14ac:dyDescent="0.25">
      <c r="B3278" s="262"/>
      <c r="C3278" s="132"/>
      <c r="D3278" s="132" t="s">
        <v>305</v>
      </c>
      <c r="E3278" s="132" t="s">
        <v>306</v>
      </c>
      <c r="F3278" s="395" t="s">
        <v>339</v>
      </c>
      <c r="G3278" s="396"/>
      <c r="H3278" s="397"/>
      <c r="I3278" s="133"/>
    </row>
    <row r="3279" spans="2:9" ht="28.5" customHeight="1" x14ac:dyDescent="0.25">
      <c r="B3279" s="263" t="s">
        <v>307</v>
      </c>
      <c r="C3279" s="383" t="s">
        <v>414</v>
      </c>
      <c r="D3279" s="384"/>
      <c r="E3279" s="384"/>
      <c r="F3279" s="384"/>
      <c r="G3279" s="384"/>
      <c r="H3279" s="384"/>
      <c r="I3279" s="385"/>
    </row>
    <row r="3280" spans="2:9" ht="10.5" customHeight="1" x14ac:dyDescent="0.25">
      <c r="B3280" s="264" t="s">
        <v>129</v>
      </c>
      <c r="C3280" s="388" t="s">
        <v>308</v>
      </c>
      <c r="D3280" s="389"/>
      <c r="E3280" s="389"/>
      <c r="F3280" s="389"/>
      <c r="G3280" s="389"/>
      <c r="H3280" s="389"/>
      <c r="I3280" s="134" t="s">
        <v>130</v>
      </c>
    </row>
    <row r="3281" spans="2:15" ht="50.25" customHeight="1" thickBot="1" x14ac:dyDescent="0.3">
      <c r="B3281" s="265">
        <v>8.2399999999999949</v>
      </c>
      <c r="C3281" s="386" t="s">
        <v>617</v>
      </c>
      <c r="D3281" s="387"/>
      <c r="E3281" s="387"/>
      <c r="F3281" s="387"/>
      <c r="G3281" s="387"/>
      <c r="H3281" s="387"/>
      <c r="I3281" s="135" t="s">
        <v>27</v>
      </c>
    </row>
    <row r="3282" spans="2:15" ht="6" customHeight="1" thickBot="1" x14ac:dyDescent="0.3">
      <c r="B3282" s="373"/>
      <c r="C3282" s="373"/>
      <c r="D3282" s="373"/>
      <c r="E3282" s="373"/>
      <c r="F3282" s="373"/>
      <c r="G3282" s="373"/>
      <c r="H3282" s="373"/>
      <c r="I3282" s="373"/>
    </row>
    <row r="3283" spans="2:15" x14ac:dyDescent="0.25">
      <c r="B3283" s="380" t="s">
        <v>309</v>
      </c>
      <c r="C3283" s="381"/>
      <c r="D3283" s="381"/>
      <c r="E3283" s="381"/>
      <c r="F3283" s="381"/>
      <c r="G3283" s="381"/>
      <c r="H3283" s="381"/>
      <c r="I3283" s="382"/>
      <c r="K3283" s="182"/>
    </row>
    <row r="3284" spans="2:15" ht="11.25" customHeight="1" x14ac:dyDescent="0.25">
      <c r="B3284" s="377" t="s">
        <v>310</v>
      </c>
      <c r="C3284" s="378"/>
      <c r="D3284" s="379"/>
      <c r="E3284" s="136"/>
      <c r="F3284" s="137" t="s">
        <v>311</v>
      </c>
      <c r="G3284" s="137" t="s">
        <v>312</v>
      </c>
      <c r="H3284" s="137" t="s">
        <v>313</v>
      </c>
      <c r="I3284" s="138" t="s">
        <v>314</v>
      </c>
      <c r="L3284" s="139"/>
      <c r="M3284" s="139"/>
    </row>
    <row r="3285" spans="2:15" ht="11.25" customHeight="1" x14ac:dyDescent="0.25">
      <c r="B3285" s="362" t="s">
        <v>315</v>
      </c>
      <c r="C3285" s="363"/>
      <c r="D3285" s="363"/>
      <c r="E3285" s="160"/>
      <c r="F3285" s="161" t="s">
        <v>316</v>
      </c>
      <c r="G3285" s="160">
        <v>5000</v>
      </c>
      <c r="H3285" s="142">
        <v>0.5</v>
      </c>
      <c r="I3285" s="143">
        <f>G3285*H3285</f>
        <v>2500</v>
      </c>
    </row>
    <row r="3286" spans="2:15" ht="16.5" customHeight="1" x14ac:dyDescent="0.25">
      <c r="B3286" s="362" t="s">
        <v>355</v>
      </c>
      <c r="C3286" s="363"/>
      <c r="D3286" s="363"/>
      <c r="E3286" s="160"/>
      <c r="F3286" s="161" t="s">
        <v>317</v>
      </c>
      <c r="G3286" s="160">
        <v>90000</v>
      </c>
      <c r="H3286" s="142">
        <f>+H3285</f>
        <v>0.5</v>
      </c>
      <c r="I3286" s="143">
        <f>G3286*H3286</f>
        <v>45000</v>
      </c>
    </row>
    <row r="3287" spans="2:15" ht="10.5" customHeight="1" thickBot="1" x14ac:dyDescent="0.3">
      <c r="B3287" s="371" t="s">
        <v>318</v>
      </c>
      <c r="C3287" s="372"/>
      <c r="D3287" s="372"/>
      <c r="E3287" s="372"/>
      <c r="F3287" s="372"/>
      <c r="G3287" s="372"/>
      <c r="H3287" s="372"/>
      <c r="I3287" s="144">
        <f>SUM(I3285:I3286)</f>
        <v>47500</v>
      </c>
      <c r="N3287" s="150"/>
    </row>
    <row r="3288" spans="2:15" ht="6" customHeight="1" thickBot="1" x14ac:dyDescent="0.3">
      <c r="B3288" s="373"/>
      <c r="C3288" s="373"/>
      <c r="D3288" s="373"/>
      <c r="E3288" s="373"/>
      <c r="F3288" s="373"/>
      <c r="G3288" s="373"/>
      <c r="H3288" s="373"/>
      <c r="I3288" s="373"/>
    </row>
    <row r="3289" spans="2:15" s="145" customFormat="1" x14ac:dyDescent="0.25">
      <c r="B3289" s="380" t="s">
        <v>319</v>
      </c>
      <c r="C3289" s="381"/>
      <c r="D3289" s="381"/>
      <c r="E3289" s="381"/>
      <c r="F3289" s="381"/>
      <c r="G3289" s="381"/>
      <c r="H3289" s="381"/>
      <c r="I3289" s="382"/>
    </row>
    <row r="3290" spans="2:15" s="145" customFormat="1" ht="15.75" customHeight="1" x14ac:dyDescent="0.25">
      <c r="B3290" s="377" t="s">
        <v>310</v>
      </c>
      <c r="C3290" s="378"/>
      <c r="D3290" s="379"/>
      <c r="E3290" s="137"/>
      <c r="F3290" s="137" t="s">
        <v>320</v>
      </c>
      <c r="G3290" s="137" t="s">
        <v>321</v>
      </c>
      <c r="H3290" s="137" t="s">
        <v>322</v>
      </c>
      <c r="I3290" s="138" t="s">
        <v>314</v>
      </c>
    </row>
    <row r="3291" spans="2:15" ht="72.75" customHeight="1" x14ac:dyDescent="0.25">
      <c r="B3291" s="436" t="s">
        <v>617</v>
      </c>
      <c r="C3291" s="437"/>
      <c r="D3291" s="438"/>
      <c r="E3291" s="163"/>
      <c r="F3291" s="161" t="s">
        <v>27</v>
      </c>
      <c r="G3291" s="160">
        <f>1189923+3062272+1673635-5059078+1+1165487+180285+1281173-2623403</f>
        <v>870295</v>
      </c>
      <c r="H3291" s="142">
        <v>1</v>
      </c>
      <c r="I3291" s="143">
        <f>G3291*H3291</f>
        <v>870295</v>
      </c>
      <c r="M3291">
        <v>4608265</v>
      </c>
    </row>
    <row r="3292" spans="2:15" ht="18" customHeight="1" thickBot="1" x14ac:dyDescent="0.3">
      <c r="B3292" s="371" t="s">
        <v>318</v>
      </c>
      <c r="C3292" s="372"/>
      <c r="D3292" s="372"/>
      <c r="E3292" s="372"/>
      <c r="F3292" s="372"/>
      <c r="G3292" s="372"/>
      <c r="H3292" s="372"/>
      <c r="I3292" s="144">
        <f>SUM(I3291:I3291)</f>
        <v>870295</v>
      </c>
      <c r="N3292" s="150"/>
    </row>
    <row r="3293" spans="2:15" ht="6" customHeight="1" thickBot="1" x14ac:dyDescent="0.3">
      <c r="B3293" s="373"/>
      <c r="C3293" s="373"/>
      <c r="D3293" s="373"/>
      <c r="E3293" s="373"/>
      <c r="F3293" s="373"/>
      <c r="G3293" s="373"/>
      <c r="H3293" s="373"/>
      <c r="I3293" s="373"/>
    </row>
    <row r="3294" spans="2:15" s="145" customFormat="1" x14ac:dyDescent="0.25">
      <c r="B3294" s="380" t="s">
        <v>323</v>
      </c>
      <c r="C3294" s="381"/>
      <c r="D3294" s="381"/>
      <c r="E3294" s="381"/>
      <c r="F3294" s="381"/>
      <c r="G3294" s="381"/>
      <c r="H3294" s="381"/>
      <c r="I3294" s="382"/>
      <c r="L3294" s="146"/>
      <c r="M3294" s="146"/>
    </row>
    <row r="3295" spans="2:15" s="145" customFormat="1" x14ac:dyDescent="0.25">
      <c r="B3295" s="377" t="s">
        <v>324</v>
      </c>
      <c r="C3295" s="378"/>
      <c r="D3295" s="379"/>
      <c r="E3295" s="137" t="s">
        <v>325</v>
      </c>
      <c r="F3295" s="137" t="s">
        <v>326</v>
      </c>
      <c r="G3295" s="137" t="s">
        <v>130</v>
      </c>
      <c r="H3295" s="137" t="s">
        <v>327</v>
      </c>
      <c r="I3295" s="138" t="s">
        <v>314</v>
      </c>
      <c r="K3295" s="260"/>
      <c r="N3295" s="183"/>
      <c r="O3295" s="148"/>
    </row>
    <row r="3296" spans="2:15" ht="11.25" customHeight="1" x14ac:dyDescent="0.25">
      <c r="B3296" s="362" t="s">
        <v>711</v>
      </c>
      <c r="C3296" s="363"/>
      <c r="D3296" s="363"/>
      <c r="E3296" s="170">
        <v>1</v>
      </c>
      <c r="F3296" s="164"/>
      <c r="G3296" s="161"/>
      <c r="H3296" s="162">
        <v>20000</v>
      </c>
      <c r="I3296" s="143">
        <f>H3296*E3296</f>
        <v>20000</v>
      </c>
      <c r="K3296" s="281"/>
    </row>
    <row r="3297" spans="2:15" ht="10.5" customHeight="1" thickBot="1" x14ac:dyDescent="0.3">
      <c r="B3297" s="371" t="s">
        <v>318</v>
      </c>
      <c r="C3297" s="372"/>
      <c r="D3297" s="372"/>
      <c r="E3297" s="372"/>
      <c r="F3297" s="372"/>
      <c r="G3297" s="372"/>
      <c r="H3297" s="372"/>
      <c r="I3297" s="144">
        <f>SUM(I3296:I3296)</f>
        <v>20000</v>
      </c>
      <c r="K3297" s="281"/>
      <c r="N3297" s="150"/>
    </row>
    <row r="3298" spans="2:15" ht="6" customHeight="1" thickBot="1" x14ac:dyDescent="0.3">
      <c r="B3298" s="373"/>
      <c r="C3298" s="373"/>
      <c r="D3298" s="373"/>
      <c r="E3298" s="373"/>
      <c r="F3298" s="373"/>
      <c r="G3298" s="373"/>
      <c r="H3298" s="373"/>
      <c r="I3298" s="373"/>
    </row>
    <row r="3299" spans="2:15" s="145" customFormat="1" ht="20.100000000000001" customHeight="1" x14ac:dyDescent="0.25">
      <c r="B3299" s="380" t="s">
        <v>328</v>
      </c>
      <c r="C3299" s="381"/>
      <c r="D3299" s="381"/>
      <c r="E3299" s="381"/>
      <c r="F3299" s="381"/>
      <c r="G3299" s="381"/>
      <c r="H3299" s="381"/>
      <c r="I3299" s="382"/>
      <c r="K3299" s="147">
        <f>+I3306-K3300</f>
        <v>-0.5</v>
      </c>
      <c r="N3299" s="148"/>
      <c r="O3299" s="149"/>
    </row>
    <row r="3300" spans="2:15" s="145" customFormat="1" ht="20.100000000000001" customHeight="1" x14ac:dyDescent="0.25">
      <c r="B3300" s="377" t="s">
        <v>329</v>
      </c>
      <c r="C3300" s="379"/>
      <c r="D3300" s="137" t="s">
        <v>322</v>
      </c>
      <c r="E3300" s="137" t="s">
        <v>330</v>
      </c>
      <c r="F3300" s="137" t="s">
        <v>331</v>
      </c>
      <c r="G3300" s="137" t="s">
        <v>332</v>
      </c>
      <c r="H3300" s="137" t="s">
        <v>313</v>
      </c>
      <c r="I3300" s="138" t="s">
        <v>314</v>
      </c>
      <c r="K3300" s="147">
        <v>1135795.5</v>
      </c>
      <c r="O3300" s="179"/>
    </row>
    <row r="3301" spans="2:15" s="151" customFormat="1" ht="9.75" customHeight="1" x14ac:dyDescent="0.25">
      <c r="B3301" s="367" t="s">
        <v>356</v>
      </c>
      <c r="C3301" s="368"/>
      <c r="D3301" s="180">
        <v>1</v>
      </c>
      <c r="E3301" s="141">
        <v>140000</v>
      </c>
      <c r="F3301" s="141">
        <f>+E3301*0.8</f>
        <v>112000</v>
      </c>
      <c r="G3301" s="178">
        <f>D3301*E3301+F3301*D3301</f>
        <v>252000</v>
      </c>
      <c r="H3301" s="184">
        <v>3</v>
      </c>
      <c r="I3301" s="143">
        <f>+G3301/H3301</f>
        <v>84000</v>
      </c>
      <c r="J3301" s="145"/>
      <c r="K3301" s="147"/>
    </row>
    <row r="3302" spans="2:15" s="151" customFormat="1" ht="11.25" customHeight="1" x14ac:dyDescent="0.25">
      <c r="B3302" s="367" t="s">
        <v>374</v>
      </c>
      <c r="C3302" s="368"/>
      <c r="D3302" s="180">
        <v>1</v>
      </c>
      <c r="E3302" s="141">
        <v>80000</v>
      </c>
      <c r="F3302" s="141">
        <f>+E3302*0.8</f>
        <v>64000</v>
      </c>
      <c r="G3302" s="178">
        <f>D3302*E3302+F3302*D3302</f>
        <v>144000</v>
      </c>
      <c r="H3302" s="184">
        <f>+H3301</f>
        <v>3</v>
      </c>
      <c r="I3302" s="143">
        <f>+G3302/H3302</f>
        <v>48000</v>
      </c>
      <c r="J3302" s="145"/>
      <c r="K3302" s="147"/>
      <c r="L3302" s="179"/>
      <c r="M3302" s="179"/>
    </row>
    <row r="3303" spans="2:15" s="145" customFormat="1" ht="10.5" customHeight="1" x14ac:dyDescent="0.25">
      <c r="B3303" s="367" t="s">
        <v>333</v>
      </c>
      <c r="C3303" s="368"/>
      <c r="D3303" s="180">
        <v>2</v>
      </c>
      <c r="E3303" s="141">
        <v>55000</v>
      </c>
      <c r="F3303" s="141">
        <f>+E3303*0.8</f>
        <v>44000</v>
      </c>
      <c r="G3303" s="178">
        <f>D3303*E3303+F3303*D3303</f>
        <v>198000</v>
      </c>
      <c r="H3303" s="184">
        <f>+H3302</f>
        <v>3</v>
      </c>
      <c r="I3303" s="143">
        <f>+G3303/H3303</f>
        <v>66000</v>
      </c>
      <c r="K3303" s="147"/>
    </row>
    <row r="3304" spans="2:15" ht="10.5" customHeight="1" thickBot="1" x14ac:dyDescent="0.3">
      <c r="B3304" s="371" t="s">
        <v>318</v>
      </c>
      <c r="C3304" s="372"/>
      <c r="D3304" s="372"/>
      <c r="E3304" s="372"/>
      <c r="F3304" s="372"/>
      <c r="G3304" s="372"/>
      <c r="H3304" s="372"/>
      <c r="I3304" s="144">
        <f>SUM(I3301:I3303)</f>
        <v>198000</v>
      </c>
      <c r="K3304" s="281"/>
      <c r="N3304" s="150"/>
    </row>
    <row r="3305" spans="2:15" ht="6" customHeight="1" thickBot="1" x14ac:dyDescent="0.3">
      <c r="B3305" s="373"/>
      <c r="C3305" s="373"/>
      <c r="D3305" s="373"/>
      <c r="E3305" s="373"/>
      <c r="F3305" s="373"/>
      <c r="G3305" s="373"/>
      <c r="H3305" s="373"/>
      <c r="I3305" s="373"/>
    </row>
    <row r="3306" spans="2:15" ht="10.5" customHeight="1" thickBot="1" x14ac:dyDescent="0.3">
      <c r="B3306" s="374" t="s">
        <v>334</v>
      </c>
      <c r="C3306" s="375"/>
      <c r="D3306" s="375"/>
      <c r="E3306" s="375"/>
      <c r="F3306" s="375"/>
      <c r="G3306" s="375"/>
      <c r="H3306" s="376"/>
      <c r="I3306" s="152">
        <f>ROUND(+I3287+I3292+I3297+I3304,0)</f>
        <v>1135795</v>
      </c>
      <c r="J3306" s="281"/>
      <c r="K3306" s="169"/>
      <c r="L3306" s="181"/>
      <c r="M3306" s="181"/>
      <c r="N3306" s="153"/>
    </row>
    <row r="3307" spans="2:15" ht="6" customHeight="1" thickBot="1" x14ac:dyDescent="0.3">
      <c r="B3307" s="373"/>
      <c r="C3307" s="373"/>
      <c r="D3307" s="373"/>
      <c r="E3307" s="373"/>
      <c r="F3307" s="373"/>
      <c r="G3307" s="373"/>
      <c r="H3307" s="373"/>
      <c r="I3307" s="373"/>
    </row>
    <row r="3308" spans="2:15" ht="8.25" customHeight="1" x14ac:dyDescent="0.25">
      <c r="B3308" s="433" t="s">
        <v>335</v>
      </c>
      <c r="C3308" s="417"/>
      <c r="D3308" s="418"/>
      <c r="E3308" s="418"/>
      <c r="F3308" s="419"/>
      <c r="G3308" s="369" t="s">
        <v>336</v>
      </c>
      <c r="H3308" s="370"/>
      <c r="I3308" s="370"/>
    </row>
    <row r="3309" spans="2:15" ht="33.75" customHeight="1" x14ac:dyDescent="0.25">
      <c r="B3309" s="434"/>
      <c r="C3309" s="420"/>
      <c r="D3309" s="421"/>
      <c r="E3309" s="421"/>
      <c r="F3309" s="422"/>
      <c r="G3309" s="430" t="s">
        <v>337</v>
      </c>
      <c r="H3309" s="431"/>
      <c r="I3309" s="431"/>
      <c r="L3309" s="181"/>
      <c r="M3309" s="181"/>
      <c r="N3309" s="179"/>
    </row>
    <row r="3310" spans="2:15" ht="13.5" customHeight="1" x14ac:dyDescent="0.25">
      <c r="B3310" s="434"/>
      <c r="C3310" s="420"/>
      <c r="D3310" s="421"/>
      <c r="E3310" s="421"/>
      <c r="F3310" s="422"/>
      <c r="G3310" s="154" t="s">
        <v>92</v>
      </c>
      <c r="H3310" s="432" t="s">
        <v>93</v>
      </c>
      <c r="I3310" s="432"/>
    </row>
    <row r="3311" spans="2:15" ht="16.5" customHeight="1" x14ac:dyDescent="0.25">
      <c r="B3311" s="435"/>
      <c r="C3311" s="420"/>
      <c r="D3311" s="421"/>
      <c r="E3311" s="421"/>
      <c r="F3311" s="422"/>
      <c r="G3311" s="155" t="s">
        <v>94</v>
      </c>
      <c r="H3311" s="156" t="s">
        <v>95</v>
      </c>
      <c r="I3311" s="157" t="s">
        <v>96</v>
      </c>
    </row>
    <row r="3312" spans="2:15" x14ac:dyDescent="0.25">
      <c r="B3312" s="268" t="s">
        <v>18</v>
      </c>
      <c r="C3312" s="427"/>
      <c r="D3312" s="428"/>
      <c r="E3312" s="428"/>
      <c r="F3312" s="429"/>
      <c r="G3312" s="155" t="s">
        <v>98</v>
      </c>
      <c r="H3312" s="157" t="s">
        <v>99</v>
      </c>
      <c r="I3312" s="157" t="s">
        <v>100</v>
      </c>
    </row>
    <row r="3313" spans="2:11" x14ac:dyDescent="0.25">
      <c r="B3313" s="269" t="s">
        <v>97</v>
      </c>
      <c r="C3313" s="427"/>
      <c r="D3313" s="428"/>
      <c r="E3313" s="428"/>
      <c r="F3313" s="429"/>
      <c r="G3313" s="154" t="s">
        <v>338</v>
      </c>
      <c r="H3313" s="426"/>
      <c r="I3313" s="426"/>
    </row>
    <row r="3314" spans="2:11" ht="15.75" thickBot="1" x14ac:dyDescent="0.3">
      <c r="B3314" s="270" t="s">
        <v>101</v>
      </c>
      <c r="C3314" s="423"/>
      <c r="D3314" s="424"/>
      <c r="E3314" s="424"/>
      <c r="F3314" s="425"/>
      <c r="G3314" s="154" t="s">
        <v>102</v>
      </c>
      <c r="H3314" s="426" t="s">
        <v>103</v>
      </c>
      <c r="I3314" s="426"/>
    </row>
    <row r="3315" spans="2:11" ht="45" customHeight="1" thickBot="1" x14ac:dyDescent="0.3">
      <c r="B3315" s="401"/>
      <c r="C3315" s="402"/>
      <c r="D3315" s="402"/>
      <c r="E3315" s="402"/>
      <c r="F3315" s="403" t="s">
        <v>0</v>
      </c>
      <c r="G3315" s="403"/>
      <c r="H3315" s="403"/>
      <c r="I3315" s="404"/>
    </row>
    <row r="3316" spans="2:11" ht="6" customHeight="1" thickBot="1" x14ac:dyDescent="0.3">
      <c r="B3316" s="373"/>
      <c r="C3316" s="373"/>
      <c r="D3316" s="373"/>
      <c r="E3316" s="373"/>
      <c r="F3316" s="373"/>
      <c r="G3316" s="373"/>
      <c r="H3316" s="373"/>
      <c r="I3316" s="373"/>
    </row>
    <row r="3317" spans="2:11" ht="10.5" customHeight="1" x14ac:dyDescent="0.25">
      <c r="B3317" s="405" t="s">
        <v>294</v>
      </c>
      <c r="C3317" s="406"/>
      <c r="D3317" s="407" t="s">
        <v>295</v>
      </c>
      <c r="E3317" s="409" t="s">
        <v>296</v>
      </c>
      <c r="F3317" s="410"/>
      <c r="G3317" s="410"/>
      <c r="H3317" s="410"/>
      <c r="I3317" s="411"/>
    </row>
    <row r="3318" spans="2:11" ht="9" customHeight="1" thickBot="1" x14ac:dyDescent="0.3">
      <c r="B3318" s="415"/>
      <c r="C3318" s="416"/>
      <c r="D3318" s="408"/>
      <c r="E3318" s="412"/>
      <c r="F3318" s="413"/>
      <c r="G3318" s="413"/>
      <c r="H3318" s="413"/>
      <c r="I3318" s="414"/>
    </row>
    <row r="3319" spans="2:11" ht="6" customHeight="1" thickBot="1" x14ac:dyDescent="0.3">
      <c r="B3319" s="373"/>
      <c r="C3319" s="373"/>
      <c r="D3319" s="373"/>
      <c r="E3319" s="373"/>
      <c r="F3319" s="373"/>
      <c r="G3319" s="373"/>
      <c r="H3319" s="373"/>
      <c r="I3319" s="373"/>
    </row>
    <row r="3320" spans="2:11" ht="17.25" customHeight="1" thickBot="1" x14ac:dyDescent="0.3">
      <c r="B3320" s="390" t="s">
        <v>297</v>
      </c>
      <c r="C3320" s="391"/>
      <c r="D3320" s="392"/>
      <c r="E3320" s="393"/>
      <c r="F3320" s="393"/>
      <c r="G3320" s="394"/>
      <c r="H3320" s="127" t="s">
        <v>298</v>
      </c>
      <c r="I3320" s="128"/>
    </row>
    <row r="3321" spans="2:11" ht="6" customHeight="1" thickBot="1" x14ac:dyDescent="0.3">
      <c r="B3321" s="373"/>
      <c r="C3321" s="373"/>
      <c r="D3321" s="373"/>
      <c r="E3321" s="373"/>
      <c r="F3321" s="373"/>
      <c r="G3321" s="373"/>
      <c r="H3321" s="373"/>
      <c r="I3321" s="373"/>
    </row>
    <row r="3322" spans="2:11" ht="19.5" customHeight="1" x14ac:dyDescent="0.25">
      <c r="B3322" s="261" t="s">
        <v>299</v>
      </c>
      <c r="C3322" s="129" t="s">
        <v>300</v>
      </c>
      <c r="D3322" s="130" t="s">
        <v>301</v>
      </c>
      <c r="E3322" s="130" t="s">
        <v>302</v>
      </c>
      <c r="F3322" s="398" t="s">
        <v>303</v>
      </c>
      <c r="G3322" s="399"/>
      <c r="H3322" s="400"/>
      <c r="I3322" s="131" t="s">
        <v>304</v>
      </c>
    </row>
    <row r="3323" spans="2:11" ht="11.25" customHeight="1" x14ac:dyDescent="0.25">
      <c r="B3323" s="262"/>
      <c r="C3323" s="132"/>
      <c r="D3323" s="132" t="s">
        <v>305</v>
      </c>
      <c r="E3323" s="132" t="s">
        <v>306</v>
      </c>
      <c r="F3323" s="395" t="s">
        <v>339</v>
      </c>
      <c r="G3323" s="396"/>
      <c r="H3323" s="397"/>
      <c r="I3323" s="133"/>
    </row>
    <row r="3324" spans="2:11" ht="28.5" customHeight="1" x14ac:dyDescent="0.25">
      <c r="B3324" s="263" t="s">
        <v>307</v>
      </c>
      <c r="C3324" s="383" t="s">
        <v>414</v>
      </c>
      <c r="D3324" s="384"/>
      <c r="E3324" s="384"/>
      <c r="F3324" s="384"/>
      <c r="G3324" s="384"/>
      <c r="H3324" s="384"/>
      <c r="I3324" s="385"/>
    </row>
    <row r="3325" spans="2:11" ht="10.5" customHeight="1" x14ac:dyDescent="0.25">
      <c r="B3325" s="264" t="s">
        <v>129</v>
      </c>
      <c r="C3325" s="388" t="s">
        <v>308</v>
      </c>
      <c r="D3325" s="389"/>
      <c r="E3325" s="389"/>
      <c r="F3325" s="389"/>
      <c r="G3325" s="389"/>
      <c r="H3325" s="389"/>
      <c r="I3325" s="134" t="s">
        <v>130</v>
      </c>
    </row>
    <row r="3326" spans="2:11" ht="50.25" customHeight="1" thickBot="1" x14ac:dyDescent="0.3">
      <c r="B3326" s="265">
        <v>9.0899999999999981</v>
      </c>
      <c r="C3326" s="386" t="s">
        <v>633</v>
      </c>
      <c r="D3326" s="387"/>
      <c r="E3326" s="387"/>
      <c r="F3326" s="387"/>
      <c r="G3326" s="387"/>
      <c r="H3326" s="387"/>
      <c r="I3326" s="135" t="s">
        <v>27</v>
      </c>
    </row>
    <row r="3327" spans="2:11" ht="6" customHeight="1" thickBot="1" x14ac:dyDescent="0.3">
      <c r="B3327" s="373"/>
      <c r="C3327" s="373"/>
      <c r="D3327" s="373"/>
      <c r="E3327" s="373"/>
      <c r="F3327" s="373"/>
      <c r="G3327" s="373"/>
      <c r="H3327" s="373"/>
      <c r="I3327" s="373"/>
    </row>
    <row r="3328" spans="2:11" x14ac:dyDescent="0.25">
      <c r="B3328" s="380" t="s">
        <v>309</v>
      </c>
      <c r="C3328" s="381"/>
      <c r="D3328" s="381"/>
      <c r="E3328" s="381"/>
      <c r="F3328" s="381"/>
      <c r="G3328" s="381"/>
      <c r="H3328" s="381"/>
      <c r="I3328" s="382"/>
      <c r="K3328" s="182"/>
    </row>
    <row r="3329" spans="2:15" ht="11.25" customHeight="1" x14ac:dyDescent="0.25">
      <c r="B3329" s="377" t="s">
        <v>310</v>
      </c>
      <c r="C3329" s="378"/>
      <c r="D3329" s="379"/>
      <c r="E3329" s="136"/>
      <c r="F3329" s="137" t="s">
        <v>311</v>
      </c>
      <c r="G3329" s="137" t="s">
        <v>312</v>
      </c>
      <c r="H3329" s="137" t="s">
        <v>313</v>
      </c>
      <c r="I3329" s="138" t="s">
        <v>314</v>
      </c>
      <c r="L3329" s="139"/>
      <c r="M3329" s="139"/>
    </row>
    <row r="3330" spans="2:15" ht="11.25" customHeight="1" x14ac:dyDescent="0.25">
      <c r="B3330" s="362" t="s">
        <v>315</v>
      </c>
      <c r="C3330" s="363"/>
      <c r="D3330" s="363"/>
      <c r="E3330" s="160"/>
      <c r="F3330" s="161" t="s">
        <v>316</v>
      </c>
      <c r="G3330" s="160">
        <v>5000</v>
      </c>
      <c r="H3330" s="142">
        <v>0.8</v>
      </c>
      <c r="I3330" s="143">
        <f>G3330*H3330</f>
        <v>4000</v>
      </c>
    </row>
    <row r="3331" spans="2:15" ht="16.5" customHeight="1" x14ac:dyDescent="0.25">
      <c r="B3331" s="362" t="s">
        <v>355</v>
      </c>
      <c r="C3331" s="363"/>
      <c r="D3331" s="363"/>
      <c r="E3331" s="160"/>
      <c r="F3331" s="161" t="s">
        <v>317</v>
      </c>
      <c r="G3331" s="160">
        <v>90000</v>
      </c>
      <c r="H3331" s="142">
        <f>+H3330</f>
        <v>0.8</v>
      </c>
      <c r="I3331" s="143">
        <f>G3331*H3331</f>
        <v>72000</v>
      </c>
    </row>
    <row r="3332" spans="2:15" ht="10.5" customHeight="1" thickBot="1" x14ac:dyDescent="0.3">
      <c r="B3332" s="371" t="s">
        <v>318</v>
      </c>
      <c r="C3332" s="372"/>
      <c r="D3332" s="372"/>
      <c r="E3332" s="372"/>
      <c r="F3332" s="372"/>
      <c r="G3332" s="372"/>
      <c r="H3332" s="372"/>
      <c r="I3332" s="144">
        <f>SUM(I3330:I3331)</f>
        <v>76000</v>
      </c>
      <c r="N3332" s="150"/>
    </row>
    <row r="3333" spans="2:15" ht="6" customHeight="1" thickBot="1" x14ac:dyDescent="0.3">
      <c r="B3333" s="373"/>
      <c r="C3333" s="373"/>
      <c r="D3333" s="373"/>
      <c r="E3333" s="373"/>
      <c r="F3333" s="373"/>
      <c r="G3333" s="373"/>
      <c r="H3333" s="373"/>
      <c r="I3333" s="373"/>
    </row>
    <row r="3334" spans="2:15" s="145" customFormat="1" x14ac:dyDescent="0.25">
      <c r="B3334" s="380" t="s">
        <v>319</v>
      </c>
      <c r="C3334" s="381"/>
      <c r="D3334" s="381"/>
      <c r="E3334" s="381"/>
      <c r="F3334" s="381"/>
      <c r="G3334" s="381"/>
      <c r="H3334" s="381"/>
      <c r="I3334" s="382"/>
    </row>
    <row r="3335" spans="2:15" s="145" customFormat="1" ht="15.75" customHeight="1" x14ac:dyDescent="0.25">
      <c r="B3335" s="377" t="s">
        <v>310</v>
      </c>
      <c r="C3335" s="378"/>
      <c r="D3335" s="379"/>
      <c r="E3335" s="137"/>
      <c r="F3335" s="137" t="s">
        <v>320</v>
      </c>
      <c r="G3335" s="137" t="s">
        <v>321</v>
      </c>
      <c r="H3335" s="137" t="s">
        <v>322</v>
      </c>
      <c r="I3335" s="138" t="s">
        <v>314</v>
      </c>
    </row>
    <row r="3336" spans="2:15" ht="72.75" customHeight="1" x14ac:dyDescent="0.25">
      <c r="B3336" s="436" t="s">
        <v>633</v>
      </c>
      <c r="C3336" s="437"/>
      <c r="D3336" s="438"/>
      <c r="E3336" s="163"/>
      <c r="F3336" s="161" t="s">
        <v>27</v>
      </c>
      <c r="G3336" s="160">
        <f>1189923+3062272+1673635-5059078+1+1165487+180285+1281173-1913563</f>
        <v>1580135</v>
      </c>
      <c r="H3336" s="142">
        <v>1</v>
      </c>
      <c r="I3336" s="143">
        <f>G3336*H3336</f>
        <v>1580135</v>
      </c>
      <c r="M3336">
        <v>4608265</v>
      </c>
    </row>
    <row r="3337" spans="2:15" ht="18" customHeight="1" thickBot="1" x14ac:dyDescent="0.3">
      <c r="B3337" s="371" t="s">
        <v>318</v>
      </c>
      <c r="C3337" s="372"/>
      <c r="D3337" s="372"/>
      <c r="E3337" s="372"/>
      <c r="F3337" s="372"/>
      <c r="G3337" s="372"/>
      <c r="H3337" s="372"/>
      <c r="I3337" s="144">
        <f>SUM(I3336:I3336)</f>
        <v>1580135</v>
      </c>
      <c r="N3337" s="150"/>
    </row>
    <row r="3338" spans="2:15" ht="6" customHeight="1" thickBot="1" x14ac:dyDescent="0.3">
      <c r="B3338" s="373"/>
      <c r="C3338" s="373"/>
      <c r="D3338" s="373"/>
      <c r="E3338" s="373"/>
      <c r="F3338" s="373"/>
      <c r="G3338" s="373"/>
      <c r="H3338" s="373"/>
      <c r="I3338" s="373"/>
    </row>
    <row r="3339" spans="2:15" s="145" customFormat="1" x14ac:dyDescent="0.25">
      <c r="B3339" s="380" t="s">
        <v>323</v>
      </c>
      <c r="C3339" s="381"/>
      <c r="D3339" s="381"/>
      <c r="E3339" s="381"/>
      <c r="F3339" s="381"/>
      <c r="G3339" s="381"/>
      <c r="H3339" s="381"/>
      <c r="I3339" s="382"/>
      <c r="L3339" s="146"/>
      <c r="M3339" s="146"/>
    </row>
    <row r="3340" spans="2:15" s="145" customFormat="1" x14ac:dyDescent="0.25">
      <c r="B3340" s="377" t="s">
        <v>324</v>
      </c>
      <c r="C3340" s="378"/>
      <c r="D3340" s="379"/>
      <c r="E3340" s="137" t="s">
        <v>325</v>
      </c>
      <c r="F3340" s="137" t="s">
        <v>326</v>
      </c>
      <c r="G3340" s="137" t="s">
        <v>130</v>
      </c>
      <c r="H3340" s="137" t="s">
        <v>327</v>
      </c>
      <c r="I3340" s="138" t="s">
        <v>314</v>
      </c>
      <c r="K3340" s="260"/>
      <c r="N3340" s="183"/>
      <c r="O3340" s="148"/>
    </row>
    <row r="3341" spans="2:15" ht="11.25" customHeight="1" x14ac:dyDescent="0.25">
      <c r="B3341" s="362" t="s">
        <v>711</v>
      </c>
      <c r="C3341" s="363"/>
      <c r="D3341" s="363"/>
      <c r="E3341" s="170">
        <v>1</v>
      </c>
      <c r="F3341" s="164"/>
      <c r="G3341" s="161"/>
      <c r="H3341" s="162">
        <v>30000</v>
      </c>
      <c r="I3341" s="143">
        <f>H3341*E3341</f>
        <v>30000</v>
      </c>
      <c r="K3341" s="281"/>
    </row>
    <row r="3342" spans="2:15" ht="10.5" customHeight="1" thickBot="1" x14ac:dyDescent="0.3">
      <c r="B3342" s="371" t="s">
        <v>318</v>
      </c>
      <c r="C3342" s="372"/>
      <c r="D3342" s="372"/>
      <c r="E3342" s="372"/>
      <c r="F3342" s="372"/>
      <c r="G3342" s="372"/>
      <c r="H3342" s="372"/>
      <c r="I3342" s="144">
        <f>SUM(I3341:I3341)</f>
        <v>30000</v>
      </c>
      <c r="K3342" s="281"/>
      <c r="N3342" s="150"/>
    </row>
    <row r="3343" spans="2:15" ht="6" customHeight="1" thickBot="1" x14ac:dyDescent="0.3">
      <c r="B3343" s="373"/>
      <c r="C3343" s="373"/>
      <c r="D3343" s="373"/>
      <c r="E3343" s="373"/>
      <c r="F3343" s="373"/>
      <c r="G3343" s="373"/>
      <c r="H3343" s="373"/>
      <c r="I3343" s="373"/>
    </row>
    <row r="3344" spans="2:15" s="145" customFormat="1" ht="20.100000000000001" customHeight="1" x14ac:dyDescent="0.25">
      <c r="B3344" s="380" t="s">
        <v>328</v>
      </c>
      <c r="C3344" s="381"/>
      <c r="D3344" s="381"/>
      <c r="E3344" s="381"/>
      <c r="F3344" s="381"/>
      <c r="G3344" s="381"/>
      <c r="H3344" s="381"/>
      <c r="I3344" s="382"/>
      <c r="K3344" s="147">
        <f>+K3345-I3351</f>
        <v>0</v>
      </c>
      <c r="N3344" s="148"/>
      <c r="O3344" s="149"/>
    </row>
    <row r="3345" spans="2:15" s="145" customFormat="1" ht="20.100000000000001" customHeight="1" x14ac:dyDescent="0.25">
      <c r="B3345" s="377" t="s">
        <v>329</v>
      </c>
      <c r="C3345" s="379"/>
      <c r="D3345" s="137" t="s">
        <v>322</v>
      </c>
      <c r="E3345" s="137" t="s">
        <v>330</v>
      </c>
      <c r="F3345" s="137" t="s">
        <v>331</v>
      </c>
      <c r="G3345" s="137" t="s">
        <v>332</v>
      </c>
      <c r="H3345" s="137" t="s">
        <v>313</v>
      </c>
      <c r="I3345" s="138" t="s">
        <v>314</v>
      </c>
      <c r="K3345" s="147">
        <v>1983135</v>
      </c>
      <c r="O3345" s="179"/>
    </row>
    <row r="3346" spans="2:15" s="151" customFormat="1" ht="9.75" customHeight="1" x14ac:dyDescent="0.25">
      <c r="B3346" s="367" t="s">
        <v>356</v>
      </c>
      <c r="C3346" s="368"/>
      <c r="D3346" s="180">
        <v>1</v>
      </c>
      <c r="E3346" s="141">
        <v>140000</v>
      </c>
      <c r="F3346" s="141">
        <f>+E3346*0.8</f>
        <v>112000</v>
      </c>
      <c r="G3346" s="178">
        <f>D3346*E3346+F3346*D3346</f>
        <v>252000</v>
      </c>
      <c r="H3346" s="184">
        <v>2</v>
      </c>
      <c r="I3346" s="143">
        <f>+G3346/H3346</f>
        <v>126000</v>
      </c>
      <c r="J3346" s="145"/>
      <c r="K3346" s="147"/>
    </row>
    <row r="3347" spans="2:15" s="151" customFormat="1" ht="11.25" customHeight="1" x14ac:dyDescent="0.25">
      <c r="B3347" s="367" t="s">
        <v>374</v>
      </c>
      <c r="C3347" s="368"/>
      <c r="D3347" s="180">
        <v>1</v>
      </c>
      <c r="E3347" s="141">
        <v>80000</v>
      </c>
      <c r="F3347" s="141">
        <f>+E3347*0.8</f>
        <v>64000</v>
      </c>
      <c r="G3347" s="178">
        <f>D3347*E3347+F3347*D3347</f>
        <v>144000</v>
      </c>
      <c r="H3347" s="184">
        <f>+H3346</f>
        <v>2</v>
      </c>
      <c r="I3347" s="143">
        <f>+G3347/H3347</f>
        <v>72000</v>
      </c>
      <c r="J3347" s="145"/>
      <c r="K3347" s="147"/>
      <c r="L3347" s="179"/>
      <c r="M3347" s="179"/>
    </row>
    <row r="3348" spans="2:15" s="145" customFormat="1" ht="10.5" customHeight="1" x14ac:dyDescent="0.25">
      <c r="B3348" s="367" t="s">
        <v>333</v>
      </c>
      <c r="C3348" s="368"/>
      <c r="D3348" s="180">
        <v>2</v>
      </c>
      <c r="E3348" s="141">
        <v>55000</v>
      </c>
      <c r="F3348" s="141">
        <f>+E3348*0.8</f>
        <v>44000</v>
      </c>
      <c r="G3348" s="178">
        <f>D3348*E3348+F3348*D3348</f>
        <v>198000</v>
      </c>
      <c r="H3348" s="184">
        <f>+H3347</f>
        <v>2</v>
      </c>
      <c r="I3348" s="143">
        <f>+G3348/H3348</f>
        <v>99000</v>
      </c>
      <c r="K3348" s="147"/>
    </row>
    <row r="3349" spans="2:15" ht="10.5" customHeight="1" thickBot="1" x14ac:dyDescent="0.3">
      <c r="B3349" s="371" t="s">
        <v>318</v>
      </c>
      <c r="C3349" s="372"/>
      <c r="D3349" s="372"/>
      <c r="E3349" s="372"/>
      <c r="F3349" s="372"/>
      <c r="G3349" s="372"/>
      <c r="H3349" s="372"/>
      <c r="I3349" s="144">
        <f>SUM(I3346:I3348)</f>
        <v>297000</v>
      </c>
      <c r="K3349" s="281"/>
      <c r="N3349" s="150"/>
    </row>
    <row r="3350" spans="2:15" ht="6" customHeight="1" thickBot="1" x14ac:dyDescent="0.3">
      <c r="B3350" s="373"/>
      <c r="C3350" s="373"/>
      <c r="D3350" s="373"/>
      <c r="E3350" s="373"/>
      <c r="F3350" s="373"/>
      <c r="G3350" s="373"/>
      <c r="H3350" s="373"/>
      <c r="I3350" s="373"/>
    </row>
    <row r="3351" spans="2:15" ht="10.5" customHeight="1" thickBot="1" x14ac:dyDescent="0.3">
      <c r="B3351" s="374" t="s">
        <v>334</v>
      </c>
      <c r="C3351" s="375"/>
      <c r="D3351" s="375"/>
      <c r="E3351" s="375"/>
      <c r="F3351" s="375"/>
      <c r="G3351" s="375"/>
      <c r="H3351" s="376"/>
      <c r="I3351" s="152">
        <f>ROUND(+I3332+I3337+I3342+I3349,0)</f>
        <v>1983135</v>
      </c>
      <c r="J3351" s="281"/>
      <c r="K3351" s="169"/>
      <c r="L3351" s="181"/>
      <c r="M3351" s="181"/>
      <c r="N3351" s="153"/>
    </row>
    <row r="3352" spans="2:15" ht="6" customHeight="1" thickBot="1" x14ac:dyDescent="0.3">
      <c r="B3352" s="373"/>
      <c r="C3352" s="373"/>
      <c r="D3352" s="373"/>
      <c r="E3352" s="373"/>
      <c r="F3352" s="373"/>
      <c r="G3352" s="373"/>
      <c r="H3352" s="373"/>
      <c r="I3352" s="373"/>
    </row>
    <row r="3353" spans="2:15" ht="8.25" customHeight="1" x14ac:dyDescent="0.25">
      <c r="B3353" s="433" t="s">
        <v>335</v>
      </c>
      <c r="C3353" s="417"/>
      <c r="D3353" s="418"/>
      <c r="E3353" s="418"/>
      <c r="F3353" s="419"/>
      <c r="G3353" s="369" t="s">
        <v>336</v>
      </c>
      <c r="H3353" s="370"/>
      <c r="I3353" s="370"/>
    </row>
    <row r="3354" spans="2:15" ht="33.75" customHeight="1" x14ac:dyDescent="0.25">
      <c r="B3354" s="434"/>
      <c r="C3354" s="420"/>
      <c r="D3354" s="421"/>
      <c r="E3354" s="421"/>
      <c r="F3354" s="422"/>
      <c r="G3354" s="430" t="s">
        <v>337</v>
      </c>
      <c r="H3354" s="431"/>
      <c r="I3354" s="431"/>
      <c r="L3354" s="181"/>
      <c r="M3354" s="181"/>
      <c r="N3354" s="179"/>
    </row>
    <row r="3355" spans="2:15" ht="13.5" customHeight="1" x14ac:dyDescent="0.25">
      <c r="B3355" s="434"/>
      <c r="C3355" s="420"/>
      <c r="D3355" s="421"/>
      <c r="E3355" s="421"/>
      <c r="F3355" s="422"/>
      <c r="G3355" s="154" t="s">
        <v>92</v>
      </c>
      <c r="H3355" s="432" t="s">
        <v>93</v>
      </c>
      <c r="I3355" s="432"/>
    </row>
    <row r="3356" spans="2:15" ht="16.5" customHeight="1" x14ac:dyDescent="0.25">
      <c r="B3356" s="435"/>
      <c r="C3356" s="420"/>
      <c r="D3356" s="421"/>
      <c r="E3356" s="421"/>
      <c r="F3356" s="422"/>
      <c r="G3356" s="155" t="s">
        <v>94</v>
      </c>
      <c r="H3356" s="156" t="s">
        <v>95</v>
      </c>
      <c r="I3356" s="157" t="s">
        <v>96</v>
      </c>
    </row>
    <row r="3357" spans="2:15" x14ac:dyDescent="0.25">
      <c r="B3357" s="268" t="s">
        <v>18</v>
      </c>
      <c r="C3357" s="427"/>
      <c r="D3357" s="428"/>
      <c r="E3357" s="428"/>
      <c r="F3357" s="429"/>
      <c r="G3357" s="155" t="s">
        <v>98</v>
      </c>
      <c r="H3357" s="157" t="s">
        <v>99</v>
      </c>
      <c r="I3357" s="157" t="s">
        <v>100</v>
      </c>
    </row>
    <row r="3358" spans="2:15" x14ac:dyDescent="0.25">
      <c r="B3358" s="269" t="s">
        <v>97</v>
      </c>
      <c r="C3358" s="427"/>
      <c r="D3358" s="428"/>
      <c r="E3358" s="428"/>
      <c r="F3358" s="429"/>
      <c r="G3358" s="154" t="s">
        <v>338</v>
      </c>
      <c r="H3358" s="426"/>
      <c r="I3358" s="426"/>
    </row>
    <row r="3359" spans="2:15" ht="15.75" thickBot="1" x14ac:dyDescent="0.3">
      <c r="B3359" s="270" t="s">
        <v>101</v>
      </c>
      <c r="C3359" s="423"/>
      <c r="D3359" s="424"/>
      <c r="E3359" s="424"/>
      <c r="F3359" s="425"/>
      <c r="G3359" s="154" t="s">
        <v>102</v>
      </c>
      <c r="H3359" s="426" t="s">
        <v>103</v>
      </c>
      <c r="I3359" s="426"/>
    </row>
    <row r="3360" spans="2:15" ht="45" customHeight="1" thickBot="1" x14ac:dyDescent="0.3">
      <c r="B3360" s="401"/>
      <c r="C3360" s="402"/>
      <c r="D3360" s="402"/>
      <c r="E3360" s="402"/>
      <c r="F3360" s="403" t="s">
        <v>0</v>
      </c>
      <c r="G3360" s="403"/>
      <c r="H3360" s="403"/>
      <c r="I3360" s="404"/>
    </row>
    <row r="3361" spans="2:13" ht="6" customHeight="1" thickBot="1" x14ac:dyDescent="0.3">
      <c r="B3361" s="373"/>
      <c r="C3361" s="373"/>
      <c r="D3361" s="373"/>
      <c r="E3361" s="373"/>
      <c r="F3361" s="373"/>
      <c r="G3361" s="373"/>
      <c r="H3361" s="373"/>
      <c r="I3361" s="373"/>
    </row>
    <row r="3362" spans="2:13" ht="10.5" customHeight="1" x14ac:dyDescent="0.25">
      <c r="B3362" s="405" t="s">
        <v>294</v>
      </c>
      <c r="C3362" s="406"/>
      <c r="D3362" s="407" t="s">
        <v>295</v>
      </c>
      <c r="E3362" s="409" t="s">
        <v>296</v>
      </c>
      <c r="F3362" s="410"/>
      <c r="G3362" s="410"/>
      <c r="H3362" s="410"/>
      <c r="I3362" s="411"/>
    </row>
    <row r="3363" spans="2:13" ht="9" customHeight="1" thickBot="1" x14ac:dyDescent="0.3">
      <c r="B3363" s="415"/>
      <c r="C3363" s="416"/>
      <c r="D3363" s="408"/>
      <c r="E3363" s="412"/>
      <c r="F3363" s="413"/>
      <c r="G3363" s="413"/>
      <c r="H3363" s="413"/>
      <c r="I3363" s="414"/>
    </row>
    <row r="3364" spans="2:13" ht="6" customHeight="1" thickBot="1" x14ac:dyDescent="0.3">
      <c r="B3364" s="373"/>
      <c r="C3364" s="373"/>
      <c r="D3364" s="373"/>
      <c r="E3364" s="373"/>
      <c r="F3364" s="373"/>
      <c r="G3364" s="373"/>
      <c r="H3364" s="373"/>
      <c r="I3364" s="373"/>
    </row>
    <row r="3365" spans="2:13" ht="17.25" customHeight="1" thickBot="1" x14ac:dyDescent="0.3">
      <c r="B3365" s="390" t="s">
        <v>297</v>
      </c>
      <c r="C3365" s="391"/>
      <c r="D3365" s="392"/>
      <c r="E3365" s="393"/>
      <c r="F3365" s="393"/>
      <c r="G3365" s="394"/>
      <c r="H3365" s="127" t="s">
        <v>298</v>
      </c>
      <c r="I3365" s="128"/>
    </row>
    <row r="3366" spans="2:13" ht="6" customHeight="1" thickBot="1" x14ac:dyDescent="0.3">
      <c r="B3366" s="373"/>
      <c r="C3366" s="373"/>
      <c r="D3366" s="373"/>
      <c r="E3366" s="373"/>
      <c r="F3366" s="373"/>
      <c r="G3366" s="373"/>
      <c r="H3366" s="373"/>
      <c r="I3366" s="373"/>
    </row>
    <row r="3367" spans="2:13" ht="19.5" customHeight="1" x14ac:dyDescent="0.25">
      <c r="B3367" s="261" t="s">
        <v>299</v>
      </c>
      <c r="C3367" s="129" t="s">
        <v>300</v>
      </c>
      <c r="D3367" s="130" t="s">
        <v>301</v>
      </c>
      <c r="E3367" s="130" t="s">
        <v>302</v>
      </c>
      <c r="F3367" s="398" t="s">
        <v>303</v>
      </c>
      <c r="G3367" s="399"/>
      <c r="H3367" s="400"/>
      <c r="I3367" s="131" t="s">
        <v>304</v>
      </c>
    </row>
    <row r="3368" spans="2:13" ht="11.25" customHeight="1" x14ac:dyDescent="0.25">
      <c r="B3368" s="262"/>
      <c r="C3368" s="132"/>
      <c r="D3368" s="132" t="s">
        <v>305</v>
      </c>
      <c r="E3368" s="132" t="s">
        <v>306</v>
      </c>
      <c r="F3368" s="395" t="s">
        <v>339</v>
      </c>
      <c r="G3368" s="396"/>
      <c r="H3368" s="397"/>
      <c r="I3368" s="133"/>
    </row>
    <row r="3369" spans="2:13" ht="28.5" customHeight="1" x14ac:dyDescent="0.25">
      <c r="B3369" s="263" t="s">
        <v>307</v>
      </c>
      <c r="C3369" s="383" t="s">
        <v>414</v>
      </c>
      <c r="D3369" s="384"/>
      <c r="E3369" s="384"/>
      <c r="F3369" s="384"/>
      <c r="G3369" s="384"/>
      <c r="H3369" s="384"/>
      <c r="I3369" s="385"/>
    </row>
    <row r="3370" spans="2:13" ht="10.5" customHeight="1" x14ac:dyDescent="0.25">
      <c r="B3370" s="264" t="s">
        <v>129</v>
      </c>
      <c r="C3370" s="388" t="s">
        <v>308</v>
      </c>
      <c r="D3370" s="389"/>
      <c r="E3370" s="389"/>
      <c r="F3370" s="389"/>
      <c r="G3370" s="389"/>
      <c r="H3370" s="389"/>
      <c r="I3370" s="134" t="s">
        <v>130</v>
      </c>
    </row>
    <row r="3371" spans="2:13" ht="50.25" customHeight="1" thickBot="1" x14ac:dyDescent="0.3">
      <c r="B3371" s="265">
        <v>9.0999999999999979</v>
      </c>
      <c r="C3371" s="386" t="s">
        <v>618</v>
      </c>
      <c r="D3371" s="387"/>
      <c r="E3371" s="387"/>
      <c r="F3371" s="387"/>
      <c r="G3371" s="387"/>
      <c r="H3371" s="387"/>
      <c r="I3371" s="135" t="s">
        <v>27</v>
      </c>
    </row>
    <row r="3372" spans="2:13" ht="6" customHeight="1" thickBot="1" x14ac:dyDescent="0.3">
      <c r="B3372" s="373"/>
      <c r="C3372" s="373"/>
      <c r="D3372" s="373"/>
      <c r="E3372" s="373"/>
      <c r="F3372" s="373"/>
      <c r="G3372" s="373"/>
      <c r="H3372" s="373"/>
      <c r="I3372" s="373"/>
    </row>
    <row r="3373" spans="2:13" x14ac:dyDescent="0.25">
      <c r="B3373" s="380" t="s">
        <v>309</v>
      </c>
      <c r="C3373" s="381"/>
      <c r="D3373" s="381"/>
      <c r="E3373" s="381"/>
      <c r="F3373" s="381"/>
      <c r="G3373" s="381"/>
      <c r="H3373" s="381"/>
      <c r="I3373" s="382"/>
      <c r="K3373" s="182"/>
    </row>
    <row r="3374" spans="2:13" ht="11.25" customHeight="1" x14ac:dyDescent="0.25">
      <c r="B3374" s="377" t="s">
        <v>310</v>
      </c>
      <c r="C3374" s="378"/>
      <c r="D3374" s="379"/>
      <c r="E3374" s="136"/>
      <c r="F3374" s="137" t="s">
        <v>311</v>
      </c>
      <c r="G3374" s="137" t="s">
        <v>312</v>
      </c>
      <c r="H3374" s="137" t="s">
        <v>313</v>
      </c>
      <c r="I3374" s="138" t="s">
        <v>314</v>
      </c>
      <c r="L3374" s="139"/>
      <c r="M3374" s="139"/>
    </row>
    <row r="3375" spans="2:13" ht="11.25" customHeight="1" x14ac:dyDescent="0.25">
      <c r="B3375" s="362" t="s">
        <v>315</v>
      </c>
      <c r="C3375" s="363"/>
      <c r="D3375" s="363"/>
      <c r="E3375" s="160"/>
      <c r="F3375" s="161" t="s">
        <v>316</v>
      </c>
      <c r="G3375" s="160">
        <v>5000</v>
      </c>
      <c r="H3375" s="142">
        <v>1</v>
      </c>
      <c r="I3375" s="143">
        <f>G3375*H3375</f>
        <v>5000</v>
      </c>
    </row>
    <row r="3376" spans="2:13" ht="16.5" customHeight="1" x14ac:dyDescent="0.25">
      <c r="B3376" s="362" t="s">
        <v>355</v>
      </c>
      <c r="C3376" s="363"/>
      <c r="D3376" s="363"/>
      <c r="E3376" s="160"/>
      <c r="F3376" s="161" t="s">
        <v>317</v>
      </c>
      <c r="G3376" s="160">
        <v>90000</v>
      </c>
      <c r="H3376" s="142">
        <f>+H3375</f>
        <v>1</v>
      </c>
      <c r="I3376" s="143">
        <f>G3376*H3376</f>
        <v>90000</v>
      </c>
    </row>
    <row r="3377" spans="2:15" ht="10.5" customHeight="1" thickBot="1" x14ac:dyDescent="0.3">
      <c r="B3377" s="371" t="s">
        <v>318</v>
      </c>
      <c r="C3377" s="372"/>
      <c r="D3377" s="372"/>
      <c r="E3377" s="372"/>
      <c r="F3377" s="372"/>
      <c r="G3377" s="372"/>
      <c r="H3377" s="372"/>
      <c r="I3377" s="144">
        <f>SUM(I3375:I3376)</f>
        <v>95000</v>
      </c>
      <c r="N3377" s="150"/>
    </row>
    <row r="3378" spans="2:15" ht="6" customHeight="1" thickBot="1" x14ac:dyDescent="0.3">
      <c r="B3378" s="373"/>
      <c r="C3378" s="373"/>
      <c r="D3378" s="373"/>
      <c r="E3378" s="373"/>
      <c r="F3378" s="373"/>
      <c r="G3378" s="373"/>
      <c r="H3378" s="373"/>
      <c r="I3378" s="373"/>
    </row>
    <row r="3379" spans="2:15" s="145" customFormat="1" x14ac:dyDescent="0.25">
      <c r="B3379" s="380" t="s">
        <v>319</v>
      </c>
      <c r="C3379" s="381"/>
      <c r="D3379" s="381"/>
      <c r="E3379" s="381"/>
      <c r="F3379" s="381"/>
      <c r="G3379" s="381"/>
      <c r="H3379" s="381"/>
      <c r="I3379" s="382"/>
    </row>
    <row r="3380" spans="2:15" s="145" customFormat="1" ht="15.75" customHeight="1" x14ac:dyDescent="0.25">
      <c r="B3380" s="377" t="s">
        <v>310</v>
      </c>
      <c r="C3380" s="378"/>
      <c r="D3380" s="379"/>
      <c r="E3380" s="137"/>
      <c r="F3380" s="137" t="s">
        <v>320</v>
      </c>
      <c r="G3380" s="137" t="s">
        <v>321</v>
      </c>
      <c r="H3380" s="137" t="s">
        <v>322</v>
      </c>
      <c r="I3380" s="138" t="s">
        <v>314</v>
      </c>
    </row>
    <row r="3381" spans="2:15" ht="72.75" customHeight="1" x14ac:dyDescent="0.25">
      <c r="B3381" s="436" t="s">
        <v>618</v>
      </c>
      <c r="C3381" s="437"/>
      <c r="D3381" s="438"/>
      <c r="E3381" s="163"/>
      <c r="F3381" s="161" t="s">
        <v>27</v>
      </c>
      <c r="G3381" s="160">
        <f>1189923+3062272+1673635-5059078+1+1165487+180285+1281173-1393651</f>
        <v>2100047</v>
      </c>
      <c r="H3381" s="142">
        <v>1</v>
      </c>
      <c r="I3381" s="143">
        <f>G3381*H3381</f>
        <v>2100047</v>
      </c>
      <c r="M3381">
        <v>4608265</v>
      </c>
    </row>
    <row r="3382" spans="2:15" ht="18" customHeight="1" thickBot="1" x14ac:dyDescent="0.3">
      <c r="B3382" s="371" t="s">
        <v>318</v>
      </c>
      <c r="C3382" s="372"/>
      <c r="D3382" s="372"/>
      <c r="E3382" s="372"/>
      <c r="F3382" s="372"/>
      <c r="G3382" s="372"/>
      <c r="H3382" s="372"/>
      <c r="I3382" s="144">
        <f>SUM(I3381:I3381)</f>
        <v>2100047</v>
      </c>
      <c r="N3382" s="150"/>
    </row>
    <row r="3383" spans="2:15" ht="6" customHeight="1" thickBot="1" x14ac:dyDescent="0.3">
      <c r="B3383" s="373"/>
      <c r="C3383" s="373"/>
      <c r="D3383" s="373"/>
      <c r="E3383" s="373"/>
      <c r="F3383" s="373"/>
      <c r="G3383" s="373"/>
      <c r="H3383" s="373"/>
      <c r="I3383" s="373"/>
    </row>
    <row r="3384" spans="2:15" s="145" customFormat="1" x14ac:dyDescent="0.25">
      <c r="B3384" s="380" t="s">
        <v>323</v>
      </c>
      <c r="C3384" s="381"/>
      <c r="D3384" s="381"/>
      <c r="E3384" s="381"/>
      <c r="F3384" s="381"/>
      <c r="G3384" s="381"/>
      <c r="H3384" s="381"/>
      <c r="I3384" s="382"/>
      <c r="L3384" s="146"/>
      <c r="M3384" s="146"/>
    </row>
    <row r="3385" spans="2:15" s="145" customFormat="1" x14ac:dyDescent="0.25">
      <c r="B3385" s="377" t="s">
        <v>324</v>
      </c>
      <c r="C3385" s="378"/>
      <c r="D3385" s="379"/>
      <c r="E3385" s="137" t="s">
        <v>325</v>
      </c>
      <c r="F3385" s="137" t="s">
        <v>326</v>
      </c>
      <c r="G3385" s="137" t="s">
        <v>130</v>
      </c>
      <c r="H3385" s="137" t="s">
        <v>327</v>
      </c>
      <c r="I3385" s="138" t="s">
        <v>314</v>
      </c>
      <c r="K3385" s="260"/>
      <c r="N3385" s="183"/>
      <c r="O3385" s="148"/>
    </row>
    <row r="3386" spans="2:15" ht="11.25" customHeight="1" x14ac:dyDescent="0.25">
      <c r="B3386" s="362" t="s">
        <v>711</v>
      </c>
      <c r="C3386" s="363"/>
      <c r="D3386" s="363"/>
      <c r="E3386" s="170">
        <v>1</v>
      </c>
      <c r="F3386" s="164"/>
      <c r="G3386" s="161"/>
      <c r="H3386" s="162">
        <v>35000</v>
      </c>
      <c r="I3386" s="143">
        <f>H3386*E3386</f>
        <v>35000</v>
      </c>
      <c r="K3386" s="281"/>
    </row>
    <row r="3387" spans="2:15" ht="10.5" customHeight="1" thickBot="1" x14ac:dyDescent="0.3">
      <c r="B3387" s="371" t="s">
        <v>318</v>
      </c>
      <c r="C3387" s="372"/>
      <c r="D3387" s="372"/>
      <c r="E3387" s="372"/>
      <c r="F3387" s="372"/>
      <c r="G3387" s="372"/>
      <c r="H3387" s="372"/>
      <c r="I3387" s="144">
        <f>SUM(I3386:I3386)</f>
        <v>35000</v>
      </c>
      <c r="K3387" s="281"/>
      <c r="N3387" s="150"/>
    </row>
    <row r="3388" spans="2:15" ht="6" customHeight="1" thickBot="1" x14ac:dyDescent="0.3">
      <c r="B3388" s="373"/>
      <c r="C3388" s="373"/>
      <c r="D3388" s="373"/>
      <c r="E3388" s="373"/>
      <c r="F3388" s="373"/>
      <c r="G3388" s="373"/>
      <c r="H3388" s="373"/>
      <c r="I3388" s="373"/>
    </row>
    <row r="3389" spans="2:15" s="145" customFormat="1" ht="20.100000000000001" customHeight="1" x14ac:dyDescent="0.25">
      <c r="B3389" s="380" t="s">
        <v>328</v>
      </c>
      <c r="C3389" s="381"/>
      <c r="D3389" s="381"/>
      <c r="E3389" s="381"/>
      <c r="F3389" s="381"/>
      <c r="G3389" s="381"/>
      <c r="H3389" s="381"/>
      <c r="I3389" s="382"/>
      <c r="K3389" s="147"/>
      <c r="N3389" s="148"/>
      <c r="O3389" s="149"/>
    </row>
    <row r="3390" spans="2:15" s="145" customFormat="1" ht="20.100000000000001" customHeight="1" x14ac:dyDescent="0.25">
      <c r="B3390" s="377" t="s">
        <v>329</v>
      </c>
      <c r="C3390" s="379"/>
      <c r="D3390" s="137" t="s">
        <v>322</v>
      </c>
      <c r="E3390" s="137" t="s">
        <v>330</v>
      </c>
      <c r="F3390" s="137" t="s">
        <v>331</v>
      </c>
      <c r="G3390" s="137" t="s">
        <v>332</v>
      </c>
      <c r="H3390" s="137" t="s">
        <v>313</v>
      </c>
      <c r="I3390" s="138" t="s">
        <v>314</v>
      </c>
      <c r="K3390" s="147">
        <f>+K3392-I3396</f>
        <v>0</v>
      </c>
      <c r="O3390" s="179"/>
    </row>
    <row r="3391" spans="2:15" s="151" customFormat="1" ht="9.75" customHeight="1" x14ac:dyDescent="0.25">
      <c r="B3391" s="367" t="s">
        <v>356</v>
      </c>
      <c r="C3391" s="368"/>
      <c r="D3391" s="180">
        <v>1</v>
      </c>
      <c r="E3391" s="141">
        <v>140000</v>
      </c>
      <c r="F3391" s="141">
        <f>+E3391*0.8</f>
        <v>112000</v>
      </c>
      <c r="G3391" s="178">
        <f>D3391*E3391+F3391*D3391</f>
        <v>252000</v>
      </c>
      <c r="H3391" s="184">
        <v>1.8</v>
      </c>
      <c r="I3391" s="143">
        <f>+G3391/H3391</f>
        <v>140000</v>
      </c>
      <c r="J3391" s="145"/>
      <c r="K3391" s="147"/>
    </row>
    <row r="3392" spans="2:15" s="151" customFormat="1" ht="11.25" customHeight="1" x14ac:dyDescent="0.25">
      <c r="B3392" s="367" t="s">
        <v>374</v>
      </c>
      <c r="C3392" s="368"/>
      <c r="D3392" s="180">
        <v>1</v>
      </c>
      <c r="E3392" s="141">
        <v>80000</v>
      </c>
      <c r="F3392" s="141">
        <f>+E3392*0.8</f>
        <v>64000</v>
      </c>
      <c r="G3392" s="178">
        <f>D3392*E3392+F3392*D3392</f>
        <v>144000</v>
      </c>
      <c r="H3392" s="184">
        <f>+H3391</f>
        <v>1.8</v>
      </c>
      <c r="I3392" s="143">
        <f>+G3392/H3392</f>
        <v>80000</v>
      </c>
      <c r="J3392" s="145"/>
      <c r="K3392" s="147">
        <v>2560047</v>
      </c>
      <c r="L3392" s="179"/>
      <c r="M3392" s="179"/>
    </row>
    <row r="3393" spans="2:14" s="145" customFormat="1" ht="10.5" customHeight="1" x14ac:dyDescent="0.25">
      <c r="B3393" s="367" t="s">
        <v>333</v>
      </c>
      <c r="C3393" s="368"/>
      <c r="D3393" s="180">
        <v>2</v>
      </c>
      <c r="E3393" s="141">
        <v>55000</v>
      </c>
      <c r="F3393" s="141">
        <f>+E3393*0.8</f>
        <v>44000</v>
      </c>
      <c r="G3393" s="178">
        <f>D3393*E3393+F3393*D3393</f>
        <v>198000</v>
      </c>
      <c r="H3393" s="184">
        <f>+H3392</f>
        <v>1.8</v>
      </c>
      <c r="I3393" s="143">
        <f>+G3393/H3393</f>
        <v>110000</v>
      </c>
      <c r="K3393" s="147"/>
    </row>
    <row r="3394" spans="2:14" ht="10.5" customHeight="1" thickBot="1" x14ac:dyDescent="0.3">
      <c r="B3394" s="371" t="s">
        <v>318</v>
      </c>
      <c r="C3394" s="372"/>
      <c r="D3394" s="372"/>
      <c r="E3394" s="372"/>
      <c r="F3394" s="372"/>
      <c r="G3394" s="372"/>
      <c r="H3394" s="372"/>
      <c r="I3394" s="144">
        <f>SUM(I3391:I3393)</f>
        <v>330000</v>
      </c>
      <c r="K3394" s="281"/>
      <c r="N3394" s="150"/>
    </row>
    <row r="3395" spans="2:14" ht="6" customHeight="1" thickBot="1" x14ac:dyDescent="0.3">
      <c r="B3395" s="373"/>
      <c r="C3395" s="373"/>
      <c r="D3395" s="373"/>
      <c r="E3395" s="373"/>
      <c r="F3395" s="373"/>
      <c r="G3395" s="373"/>
      <c r="H3395" s="373"/>
      <c r="I3395" s="373"/>
    </row>
    <row r="3396" spans="2:14" ht="10.5" customHeight="1" thickBot="1" x14ac:dyDescent="0.3">
      <c r="B3396" s="374" t="s">
        <v>334</v>
      </c>
      <c r="C3396" s="375"/>
      <c r="D3396" s="375"/>
      <c r="E3396" s="375"/>
      <c r="F3396" s="375"/>
      <c r="G3396" s="375"/>
      <c r="H3396" s="376"/>
      <c r="I3396" s="152">
        <f>ROUND(+I3377+I3382+I3387+I3394,0)</f>
        <v>2560047</v>
      </c>
      <c r="J3396" s="281"/>
      <c r="K3396" s="169"/>
      <c r="L3396" s="181"/>
      <c r="M3396" s="181"/>
      <c r="N3396" s="153"/>
    </row>
    <row r="3397" spans="2:14" ht="6" customHeight="1" thickBot="1" x14ac:dyDescent="0.3">
      <c r="B3397" s="373"/>
      <c r="C3397" s="373"/>
      <c r="D3397" s="373"/>
      <c r="E3397" s="373"/>
      <c r="F3397" s="373"/>
      <c r="G3397" s="373"/>
      <c r="H3397" s="373"/>
      <c r="I3397" s="373"/>
    </row>
    <row r="3398" spans="2:14" ht="8.25" customHeight="1" x14ac:dyDescent="0.25">
      <c r="B3398" s="433" t="s">
        <v>335</v>
      </c>
      <c r="C3398" s="417"/>
      <c r="D3398" s="418"/>
      <c r="E3398" s="418"/>
      <c r="F3398" s="419"/>
      <c r="G3398" s="369" t="s">
        <v>336</v>
      </c>
      <c r="H3398" s="370"/>
      <c r="I3398" s="370"/>
    </row>
    <row r="3399" spans="2:14" ht="33.75" customHeight="1" x14ac:dyDescent="0.25">
      <c r="B3399" s="434"/>
      <c r="C3399" s="420"/>
      <c r="D3399" s="421"/>
      <c r="E3399" s="421"/>
      <c r="F3399" s="422"/>
      <c r="G3399" s="430" t="s">
        <v>337</v>
      </c>
      <c r="H3399" s="431"/>
      <c r="I3399" s="431"/>
      <c r="L3399" s="181"/>
      <c r="M3399" s="181"/>
      <c r="N3399" s="179"/>
    </row>
    <row r="3400" spans="2:14" ht="13.5" customHeight="1" x14ac:dyDescent="0.25">
      <c r="B3400" s="434"/>
      <c r="C3400" s="420"/>
      <c r="D3400" s="421"/>
      <c r="E3400" s="421"/>
      <c r="F3400" s="422"/>
      <c r="G3400" s="154" t="s">
        <v>92</v>
      </c>
      <c r="H3400" s="432" t="s">
        <v>93</v>
      </c>
      <c r="I3400" s="432"/>
    </row>
    <row r="3401" spans="2:14" ht="16.5" customHeight="1" x14ac:dyDescent="0.25">
      <c r="B3401" s="435"/>
      <c r="C3401" s="420"/>
      <c r="D3401" s="421"/>
      <c r="E3401" s="421"/>
      <c r="F3401" s="422"/>
      <c r="G3401" s="155" t="s">
        <v>94</v>
      </c>
      <c r="H3401" s="156" t="s">
        <v>95</v>
      </c>
      <c r="I3401" s="157" t="s">
        <v>96</v>
      </c>
    </row>
    <row r="3402" spans="2:14" x14ac:dyDescent="0.25">
      <c r="B3402" s="268" t="s">
        <v>18</v>
      </c>
      <c r="C3402" s="427"/>
      <c r="D3402" s="428"/>
      <c r="E3402" s="428"/>
      <c r="F3402" s="429"/>
      <c r="G3402" s="155" t="s">
        <v>98</v>
      </c>
      <c r="H3402" s="157" t="s">
        <v>99</v>
      </c>
      <c r="I3402" s="157" t="s">
        <v>100</v>
      </c>
    </row>
    <row r="3403" spans="2:14" x14ac:dyDescent="0.25">
      <c r="B3403" s="269" t="s">
        <v>97</v>
      </c>
      <c r="C3403" s="427"/>
      <c r="D3403" s="428"/>
      <c r="E3403" s="428"/>
      <c r="F3403" s="429"/>
      <c r="G3403" s="154" t="s">
        <v>338</v>
      </c>
      <c r="H3403" s="426"/>
      <c r="I3403" s="426"/>
    </row>
    <row r="3404" spans="2:14" ht="15.75" thickBot="1" x14ac:dyDescent="0.3">
      <c r="B3404" s="270" t="s">
        <v>101</v>
      </c>
      <c r="C3404" s="423"/>
      <c r="D3404" s="424"/>
      <c r="E3404" s="424"/>
      <c r="F3404" s="425"/>
      <c r="G3404" s="154" t="s">
        <v>102</v>
      </c>
      <c r="H3404" s="426" t="s">
        <v>103</v>
      </c>
      <c r="I3404" s="426"/>
    </row>
    <row r="3405" spans="2:14" ht="45" customHeight="1" thickBot="1" x14ac:dyDescent="0.3">
      <c r="B3405" s="401"/>
      <c r="C3405" s="402"/>
      <c r="D3405" s="402"/>
      <c r="E3405" s="402"/>
      <c r="F3405" s="403" t="s">
        <v>0</v>
      </c>
      <c r="G3405" s="403"/>
      <c r="H3405" s="403"/>
      <c r="I3405" s="404"/>
    </row>
    <row r="3406" spans="2:14" ht="6" customHeight="1" thickBot="1" x14ac:dyDescent="0.3">
      <c r="B3406" s="373"/>
      <c r="C3406" s="373"/>
      <c r="D3406" s="373"/>
      <c r="E3406" s="373"/>
      <c r="F3406" s="373"/>
      <c r="G3406" s="373"/>
      <c r="H3406" s="373"/>
      <c r="I3406" s="373"/>
    </row>
    <row r="3407" spans="2:14" ht="10.5" customHeight="1" x14ac:dyDescent="0.25">
      <c r="B3407" s="405" t="s">
        <v>294</v>
      </c>
      <c r="C3407" s="406"/>
      <c r="D3407" s="407" t="s">
        <v>295</v>
      </c>
      <c r="E3407" s="409" t="s">
        <v>296</v>
      </c>
      <c r="F3407" s="410"/>
      <c r="G3407" s="410"/>
      <c r="H3407" s="410"/>
      <c r="I3407" s="411"/>
    </row>
    <row r="3408" spans="2:14" ht="9" customHeight="1" thickBot="1" x14ac:dyDescent="0.3">
      <c r="B3408" s="415"/>
      <c r="C3408" s="416"/>
      <c r="D3408" s="408"/>
      <c r="E3408" s="412"/>
      <c r="F3408" s="413"/>
      <c r="G3408" s="413"/>
      <c r="H3408" s="413"/>
      <c r="I3408" s="414"/>
    </row>
    <row r="3409" spans="2:14" ht="6" customHeight="1" thickBot="1" x14ac:dyDescent="0.3">
      <c r="B3409" s="373"/>
      <c r="C3409" s="373"/>
      <c r="D3409" s="373"/>
      <c r="E3409" s="373"/>
      <c r="F3409" s="373"/>
      <c r="G3409" s="373"/>
      <c r="H3409" s="373"/>
      <c r="I3409" s="373"/>
    </row>
    <row r="3410" spans="2:14" ht="17.25" customHeight="1" thickBot="1" x14ac:dyDescent="0.3">
      <c r="B3410" s="390" t="s">
        <v>297</v>
      </c>
      <c r="C3410" s="391"/>
      <c r="D3410" s="392"/>
      <c r="E3410" s="393"/>
      <c r="F3410" s="393"/>
      <c r="G3410" s="394"/>
      <c r="H3410" s="127" t="s">
        <v>298</v>
      </c>
      <c r="I3410" s="128"/>
    </row>
    <row r="3411" spans="2:14" ht="6" customHeight="1" thickBot="1" x14ac:dyDescent="0.3">
      <c r="B3411" s="373"/>
      <c r="C3411" s="373"/>
      <c r="D3411" s="373"/>
      <c r="E3411" s="373"/>
      <c r="F3411" s="373"/>
      <c r="G3411" s="373"/>
      <c r="H3411" s="373"/>
      <c r="I3411" s="373"/>
    </row>
    <row r="3412" spans="2:14" ht="19.5" customHeight="1" x14ac:dyDescent="0.25">
      <c r="B3412" s="261" t="s">
        <v>299</v>
      </c>
      <c r="C3412" s="129" t="s">
        <v>300</v>
      </c>
      <c r="D3412" s="130" t="s">
        <v>301</v>
      </c>
      <c r="E3412" s="130" t="s">
        <v>302</v>
      </c>
      <c r="F3412" s="398" t="s">
        <v>303</v>
      </c>
      <c r="G3412" s="399"/>
      <c r="H3412" s="400"/>
      <c r="I3412" s="131" t="s">
        <v>304</v>
      </c>
    </row>
    <row r="3413" spans="2:14" ht="11.25" customHeight="1" x14ac:dyDescent="0.25">
      <c r="B3413" s="262"/>
      <c r="C3413" s="132"/>
      <c r="D3413" s="132" t="s">
        <v>305</v>
      </c>
      <c r="E3413" s="132" t="s">
        <v>306</v>
      </c>
      <c r="F3413" s="395" t="s">
        <v>339</v>
      </c>
      <c r="G3413" s="396"/>
      <c r="H3413" s="397"/>
      <c r="I3413" s="133"/>
    </row>
    <row r="3414" spans="2:14" ht="28.5" customHeight="1" x14ac:dyDescent="0.25">
      <c r="B3414" s="263" t="s">
        <v>307</v>
      </c>
      <c r="C3414" s="383" t="s">
        <v>414</v>
      </c>
      <c r="D3414" s="384"/>
      <c r="E3414" s="384"/>
      <c r="F3414" s="384"/>
      <c r="G3414" s="384"/>
      <c r="H3414" s="384"/>
      <c r="I3414" s="385"/>
    </row>
    <row r="3415" spans="2:14" ht="10.5" customHeight="1" x14ac:dyDescent="0.25">
      <c r="B3415" s="264" t="s">
        <v>129</v>
      </c>
      <c r="C3415" s="388" t="s">
        <v>308</v>
      </c>
      <c r="D3415" s="389"/>
      <c r="E3415" s="389"/>
      <c r="F3415" s="389"/>
      <c r="G3415" s="389"/>
      <c r="H3415" s="389"/>
      <c r="I3415" s="134" t="s">
        <v>130</v>
      </c>
    </row>
    <row r="3416" spans="2:14" ht="50.25" customHeight="1" thickBot="1" x14ac:dyDescent="0.3">
      <c r="B3416" s="265">
        <v>9.1099999999999977</v>
      </c>
      <c r="C3416" s="386" t="s">
        <v>619</v>
      </c>
      <c r="D3416" s="387"/>
      <c r="E3416" s="387"/>
      <c r="F3416" s="387"/>
      <c r="G3416" s="387"/>
      <c r="H3416" s="387"/>
      <c r="I3416" s="135" t="s">
        <v>27</v>
      </c>
    </row>
    <row r="3417" spans="2:14" ht="6" customHeight="1" thickBot="1" x14ac:dyDescent="0.3">
      <c r="B3417" s="373"/>
      <c r="C3417" s="373"/>
      <c r="D3417" s="373"/>
      <c r="E3417" s="373"/>
      <c r="F3417" s="373"/>
      <c r="G3417" s="373"/>
      <c r="H3417" s="373"/>
      <c r="I3417" s="373"/>
    </row>
    <row r="3418" spans="2:14" x14ac:dyDescent="0.25">
      <c r="B3418" s="380" t="s">
        <v>309</v>
      </c>
      <c r="C3418" s="381"/>
      <c r="D3418" s="381"/>
      <c r="E3418" s="381"/>
      <c r="F3418" s="381"/>
      <c r="G3418" s="381"/>
      <c r="H3418" s="381"/>
      <c r="I3418" s="382"/>
      <c r="K3418" s="182"/>
    </row>
    <row r="3419" spans="2:14" ht="11.25" customHeight="1" x14ac:dyDescent="0.25">
      <c r="B3419" s="377" t="s">
        <v>310</v>
      </c>
      <c r="C3419" s="378"/>
      <c r="D3419" s="379"/>
      <c r="E3419" s="136"/>
      <c r="F3419" s="137" t="s">
        <v>311</v>
      </c>
      <c r="G3419" s="137" t="s">
        <v>312</v>
      </c>
      <c r="H3419" s="137" t="s">
        <v>313</v>
      </c>
      <c r="I3419" s="138" t="s">
        <v>314</v>
      </c>
      <c r="L3419" s="139"/>
      <c r="M3419" s="139"/>
    </row>
    <row r="3420" spans="2:14" ht="11.25" customHeight="1" x14ac:dyDescent="0.25">
      <c r="B3420" s="362" t="s">
        <v>315</v>
      </c>
      <c r="C3420" s="363"/>
      <c r="D3420" s="363"/>
      <c r="E3420" s="160"/>
      <c r="F3420" s="161" t="s">
        <v>316</v>
      </c>
      <c r="G3420" s="160">
        <v>5000</v>
      </c>
      <c r="H3420" s="142">
        <v>1.6</v>
      </c>
      <c r="I3420" s="143">
        <f>G3420*H3420</f>
        <v>8000</v>
      </c>
    </row>
    <row r="3421" spans="2:14" ht="16.5" customHeight="1" x14ac:dyDescent="0.25">
      <c r="B3421" s="362" t="s">
        <v>355</v>
      </c>
      <c r="C3421" s="363"/>
      <c r="D3421" s="363"/>
      <c r="E3421" s="160"/>
      <c r="F3421" s="161" t="s">
        <v>317</v>
      </c>
      <c r="G3421" s="160">
        <v>90000</v>
      </c>
      <c r="H3421" s="142">
        <f>+H3420</f>
        <v>1.6</v>
      </c>
      <c r="I3421" s="143">
        <f>G3421*H3421</f>
        <v>144000</v>
      </c>
    </row>
    <row r="3422" spans="2:14" ht="10.5" customHeight="1" thickBot="1" x14ac:dyDescent="0.3">
      <c r="B3422" s="371" t="s">
        <v>318</v>
      </c>
      <c r="C3422" s="372"/>
      <c r="D3422" s="372"/>
      <c r="E3422" s="372"/>
      <c r="F3422" s="372"/>
      <c r="G3422" s="372"/>
      <c r="H3422" s="372"/>
      <c r="I3422" s="144">
        <f>SUM(I3420:I3421)</f>
        <v>152000</v>
      </c>
      <c r="N3422" s="150"/>
    </row>
    <row r="3423" spans="2:14" ht="6" customHeight="1" thickBot="1" x14ac:dyDescent="0.3">
      <c r="B3423" s="373"/>
      <c r="C3423" s="373"/>
      <c r="D3423" s="373"/>
      <c r="E3423" s="373"/>
      <c r="F3423" s="373"/>
      <c r="G3423" s="373"/>
      <c r="H3423" s="373"/>
      <c r="I3423" s="373"/>
    </row>
    <row r="3424" spans="2:14" s="145" customFormat="1" x14ac:dyDescent="0.25">
      <c r="B3424" s="380" t="s">
        <v>319</v>
      </c>
      <c r="C3424" s="381"/>
      <c r="D3424" s="381"/>
      <c r="E3424" s="381"/>
      <c r="F3424" s="381"/>
      <c r="G3424" s="381"/>
      <c r="H3424" s="381"/>
      <c r="I3424" s="382"/>
    </row>
    <row r="3425" spans="2:15" s="145" customFormat="1" ht="15.75" customHeight="1" x14ac:dyDescent="0.25">
      <c r="B3425" s="377" t="s">
        <v>310</v>
      </c>
      <c r="C3425" s="378"/>
      <c r="D3425" s="379"/>
      <c r="E3425" s="137"/>
      <c r="F3425" s="137" t="s">
        <v>320</v>
      </c>
      <c r="G3425" s="137" t="s">
        <v>321</v>
      </c>
      <c r="H3425" s="137" t="s">
        <v>322</v>
      </c>
      <c r="I3425" s="138" t="s">
        <v>314</v>
      </c>
    </row>
    <row r="3426" spans="2:15" ht="72.75" customHeight="1" x14ac:dyDescent="0.25">
      <c r="B3426" s="436" t="s">
        <v>619</v>
      </c>
      <c r="C3426" s="437"/>
      <c r="D3426" s="438"/>
      <c r="E3426" s="163"/>
      <c r="F3426" s="161" t="s">
        <v>27</v>
      </c>
      <c r="G3426" s="160">
        <f>1189923+3062272+1673635-5059078+1+1165487+180285+1281173+5184690</f>
        <v>8678388</v>
      </c>
      <c r="H3426" s="142">
        <v>1</v>
      </c>
      <c r="I3426" s="143">
        <f>G3426*H3426</f>
        <v>8678388</v>
      </c>
      <c r="M3426">
        <v>4608265</v>
      </c>
    </row>
    <row r="3427" spans="2:15" ht="18" customHeight="1" thickBot="1" x14ac:dyDescent="0.3">
      <c r="B3427" s="371" t="s">
        <v>318</v>
      </c>
      <c r="C3427" s="372"/>
      <c r="D3427" s="372"/>
      <c r="E3427" s="372"/>
      <c r="F3427" s="372"/>
      <c r="G3427" s="372"/>
      <c r="H3427" s="372"/>
      <c r="I3427" s="144">
        <f>SUM(I3426:I3426)</f>
        <v>8678388</v>
      </c>
      <c r="N3427" s="150"/>
    </row>
    <row r="3428" spans="2:15" ht="6" customHeight="1" thickBot="1" x14ac:dyDescent="0.3">
      <c r="B3428" s="373"/>
      <c r="C3428" s="373"/>
      <c r="D3428" s="373"/>
      <c r="E3428" s="373"/>
      <c r="F3428" s="373"/>
      <c r="G3428" s="373"/>
      <c r="H3428" s="373"/>
      <c r="I3428" s="373"/>
    </row>
    <row r="3429" spans="2:15" s="145" customFormat="1" x14ac:dyDescent="0.25">
      <c r="B3429" s="380" t="s">
        <v>323</v>
      </c>
      <c r="C3429" s="381"/>
      <c r="D3429" s="381"/>
      <c r="E3429" s="381"/>
      <c r="F3429" s="381"/>
      <c r="G3429" s="381"/>
      <c r="H3429" s="381"/>
      <c r="I3429" s="382"/>
      <c r="L3429" s="146"/>
      <c r="M3429" s="146"/>
    </row>
    <row r="3430" spans="2:15" s="145" customFormat="1" x14ac:dyDescent="0.25">
      <c r="B3430" s="377" t="s">
        <v>324</v>
      </c>
      <c r="C3430" s="378"/>
      <c r="D3430" s="379"/>
      <c r="E3430" s="137" t="s">
        <v>325</v>
      </c>
      <c r="F3430" s="137" t="s">
        <v>326</v>
      </c>
      <c r="G3430" s="137" t="s">
        <v>130</v>
      </c>
      <c r="H3430" s="137" t="s">
        <v>327</v>
      </c>
      <c r="I3430" s="138" t="s">
        <v>314</v>
      </c>
      <c r="K3430" s="260"/>
      <c r="N3430" s="183"/>
      <c r="O3430" s="148"/>
    </row>
    <row r="3431" spans="2:15" ht="11.25" customHeight="1" x14ac:dyDescent="0.25">
      <c r="B3431" s="362" t="s">
        <v>711</v>
      </c>
      <c r="C3431" s="363"/>
      <c r="D3431" s="363"/>
      <c r="E3431" s="170">
        <v>1</v>
      </c>
      <c r="F3431" s="164"/>
      <c r="G3431" s="161"/>
      <c r="H3431" s="162">
        <v>60000</v>
      </c>
      <c r="I3431" s="143">
        <f>H3431*E3431</f>
        <v>60000</v>
      </c>
      <c r="K3431" s="281"/>
    </row>
    <row r="3432" spans="2:15" ht="10.5" customHeight="1" thickBot="1" x14ac:dyDescent="0.3">
      <c r="B3432" s="371" t="s">
        <v>318</v>
      </c>
      <c r="C3432" s="372"/>
      <c r="D3432" s="372"/>
      <c r="E3432" s="372"/>
      <c r="F3432" s="372"/>
      <c r="G3432" s="372"/>
      <c r="H3432" s="372"/>
      <c r="I3432" s="144">
        <f>SUM(I3431:I3431)</f>
        <v>60000</v>
      </c>
      <c r="K3432" s="281"/>
      <c r="N3432" s="150"/>
    </row>
    <row r="3433" spans="2:15" ht="6" customHeight="1" thickBot="1" x14ac:dyDescent="0.3">
      <c r="B3433" s="373"/>
      <c r="C3433" s="373"/>
      <c r="D3433" s="373"/>
      <c r="E3433" s="373"/>
      <c r="F3433" s="373"/>
      <c r="G3433" s="373"/>
      <c r="H3433" s="373"/>
      <c r="I3433" s="373"/>
    </row>
    <row r="3434" spans="2:15" s="145" customFormat="1" ht="20.100000000000001" customHeight="1" x14ac:dyDescent="0.25">
      <c r="B3434" s="380" t="s">
        <v>328</v>
      </c>
      <c r="C3434" s="381"/>
      <c r="D3434" s="381"/>
      <c r="E3434" s="381"/>
      <c r="F3434" s="381"/>
      <c r="G3434" s="381"/>
      <c r="H3434" s="381"/>
      <c r="I3434" s="382"/>
      <c r="K3434" s="147"/>
      <c r="N3434" s="148"/>
      <c r="O3434" s="149"/>
    </row>
    <row r="3435" spans="2:15" s="145" customFormat="1" ht="20.100000000000001" customHeight="1" x14ac:dyDescent="0.25">
      <c r="B3435" s="377" t="s">
        <v>329</v>
      </c>
      <c r="C3435" s="379"/>
      <c r="D3435" s="137" t="s">
        <v>322</v>
      </c>
      <c r="E3435" s="137" t="s">
        <v>330</v>
      </c>
      <c r="F3435" s="137" t="s">
        <v>331</v>
      </c>
      <c r="G3435" s="137" t="s">
        <v>332</v>
      </c>
      <c r="H3435" s="137" t="s">
        <v>313</v>
      </c>
      <c r="I3435" s="138" t="s">
        <v>314</v>
      </c>
      <c r="K3435" s="147"/>
      <c r="O3435" s="179"/>
    </row>
    <row r="3436" spans="2:15" s="151" customFormat="1" ht="9.75" customHeight="1" x14ac:dyDescent="0.25">
      <c r="B3436" s="367" t="s">
        <v>356</v>
      </c>
      <c r="C3436" s="368"/>
      <c r="D3436" s="180">
        <v>1</v>
      </c>
      <c r="E3436" s="141">
        <v>140000</v>
      </c>
      <c r="F3436" s="141">
        <f>+E3436*0.8</f>
        <v>112000</v>
      </c>
      <c r="G3436" s="178">
        <f>D3436*E3436+F3436*D3436</f>
        <v>252000</v>
      </c>
      <c r="H3436" s="184">
        <v>0.5</v>
      </c>
      <c r="I3436" s="143">
        <f>+G3436/H3436</f>
        <v>504000</v>
      </c>
      <c r="J3436" s="145"/>
      <c r="K3436" s="147"/>
    </row>
    <row r="3437" spans="2:15" s="151" customFormat="1" ht="11.25" customHeight="1" x14ac:dyDescent="0.25">
      <c r="B3437" s="367" t="s">
        <v>374</v>
      </c>
      <c r="C3437" s="368"/>
      <c r="D3437" s="180">
        <v>2</v>
      </c>
      <c r="E3437" s="141">
        <v>80000</v>
      </c>
      <c r="F3437" s="141">
        <f>+E3437*0.8</f>
        <v>64000</v>
      </c>
      <c r="G3437" s="178">
        <f>D3437*E3437+F3437*D3437</f>
        <v>288000</v>
      </c>
      <c r="H3437" s="184">
        <f>+H3436</f>
        <v>0.5</v>
      </c>
      <c r="I3437" s="143">
        <f>+G3437/H3437</f>
        <v>576000</v>
      </c>
      <c r="J3437" s="145"/>
      <c r="K3437" s="147"/>
      <c r="L3437" s="179"/>
      <c r="M3437" s="179"/>
    </row>
    <row r="3438" spans="2:15" s="145" customFormat="1" ht="10.5" customHeight="1" x14ac:dyDescent="0.25">
      <c r="B3438" s="367" t="s">
        <v>333</v>
      </c>
      <c r="C3438" s="368"/>
      <c r="D3438" s="180">
        <v>2</v>
      </c>
      <c r="E3438" s="141">
        <v>55000</v>
      </c>
      <c r="F3438" s="141">
        <f>+E3438*0.8</f>
        <v>44000</v>
      </c>
      <c r="G3438" s="178">
        <f>D3438*E3438+F3438*D3438</f>
        <v>198000</v>
      </c>
      <c r="H3438" s="184">
        <f>+H3437</f>
        <v>0.5</v>
      </c>
      <c r="I3438" s="143">
        <f>+G3438/H3438</f>
        <v>396000</v>
      </c>
      <c r="K3438" s="147"/>
    </row>
    <row r="3439" spans="2:15" ht="10.5" customHeight="1" thickBot="1" x14ac:dyDescent="0.3">
      <c r="B3439" s="371" t="s">
        <v>318</v>
      </c>
      <c r="C3439" s="372"/>
      <c r="D3439" s="372"/>
      <c r="E3439" s="372"/>
      <c r="F3439" s="372"/>
      <c r="G3439" s="372"/>
      <c r="H3439" s="372"/>
      <c r="I3439" s="144">
        <f>SUM(I3436:I3438)</f>
        <v>1476000</v>
      </c>
      <c r="K3439" s="281"/>
      <c r="N3439" s="150"/>
    </row>
    <row r="3440" spans="2:15" ht="6" customHeight="1" thickBot="1" x14ac:dyDescent="0.3">
      <c r="B3440" s="373"/>
      <c r="C3440" s="373"/>
      <c r="D3440" s="373"/>
      <c r="E3440" s="373"/>
      <c r="F3440" s="373"/>
      <c r="G3440" s="373"/>
      <c r="H3440" s="373"/>
      <c r="I3440" s="373"/>
    </row>
    <row r="3441" spans="2:14" ht="10.5" customHeight="1" thickBot="1" x14ac:dyDescent="0.3">
      <c r="B3441" s="374" t="s">
        <v>334</v>
      </c>
      <c r="C3441" s="375"/>
      <c r="D3441" s="375"/>
      <c r="E3441" s="375"/>
      <c r="F3441" s="375"/>
      <c r="G3441" s="375"/>
      <c r="H3441" s="376"/>
      <c r="I3441" s="152">
        <f>ROUND(+I3422+I3427+I3432+I3439,0)</f>
        <v>10366388</v>
      </c>
      <c r="J3441" s="281"/>
      <c r="K3441" s="169"/>
      <c r="L3441" s="181"/>
      <c r="M3441" s="181"/>
      <c r="N3441" s="153"/>
    </row>
    <row r="3442" spans="2:14" ht="6" customHeight="1" thickBot="1" x14ac:dyDescent="0.3">
      <c r="B3442" s="373"/>
      <c r="C3442" s="373"/>
      <c r="D3442" s="373"/>
      <c r="E3442" s="373"/>
      <c r="F3442" s="373"/>
      <c r="G3442" s="373"/>
      <c r="H3442" s="373"/>
      <c r="I3442" s="373"/>
    </row>
    <row r="3443" spans="2:14" ht="8.25" customHeight="1" x14ac:dyDescent="0.25">
      <c r="B3443" s="433" t="s">
        <v>335</v>
      </c>
      <c r="C3443" s="417"/>
      <c r="D3443" s="418"/>
      <c r="E3443" s="418"/>
      <c r="F3443" s="419"/>
      <c r="G3443" s="369" t="s">
        <v>336</v>
      </c>
      <c r="H3443" s="370"/>
      <c r="I3443" s="370"/>
    </row>
    <row r="3444" spans="2:14" ht="33.75" customHeight="1" x14ac:dyDescent="0.25">
      <c r="B3444" s="434"/>
      <c r="C3444" s="420"/>
      <c r="D3444" s="421"/>
      <c r="E3444" s="421"/>
      <c r="F3444" s="422"/>
      <c r="G3444" s="430" t="s">
        <v>337</v>
      </c>
      <c r="H3444" s="431"/>
      <c r="I3444" s="431"/>
      <c r="L3444" s="181"/>
      <c r="M3444" s="181"/>
      <c r="N3444" s="179"/>
    </row>
    <row r="3445" spans="2:14" ht="13.5" customHeight="1" x14ac:dyDescent="0.25">
      <c r="B3445" s="434"/>
      <c r="C3445" s="420"/>
      <c r="D3445" s="421"/>
      <c r="E3445" s="421"/>
      <c r="F3445" s="422"/>
      <c r="G3445" s="154" t="s">
        <v>92</v>
      </c>
      <c r="H3445" s="432" t="s">
        <v>93</v>
      </c>
      <c r="I3445" s="432"/>
    </row>
    <row r="3446" spans="2:14" ht="16.5" customHeight="1" x14ac:dyDescent="0.25">
      <c r="B3446" s="435"/>
      <c r="C3446" s="420"/>
      <c r="D3446" s="421"/>
      <c r="E3446" s="421"/>
      <c r="F3446" s="422"/>
      <c r="G3446" s="155" t="s">
        <v>94</v>
      </c>
      <c r="H3446" s="156" t="s">
        <v>95</v>
      </c>
      <c r="I3446" s="157" t="s">
        <v>96</v>
      </c>
    </row>
    <row r="3447" spans="2:14" x14ac:dyDescent="0.25">
      <c r="B3447" s="268" t="s">
        <v>18</v>
      </c>
      <c r="C3447" s="427"/>
      <c r="D3447" s="428"/>
      <c r="E3447" s="428"/>
      <c r="F3447" s="429"/>
      <c r="G3447" s="155" t="s">
        <v>98</v>
      </c>
      <c r="H3447" s="157" t="s">
        <v>99</v>
      </c>
      <c r="I3447" s="157" t="s">
        <v>100</v>
      </c>
    </row>
    <row r="3448" spans="2:14" x14ac:dyDescent="0.25">
      <c r="B3448" s="269" t="s">
        <v>97</v>
      </c>
      <c r="C3448" s="427"/>
      <c r="D3448" s="428"/>
      <c r="E3448" s="428"/>
      <c r="F3448" s="429"/>
      <c r="G3448" s="154" t="s">
        <v>338</v>
      </c>
      <c r="H3448" s="426"/>
      <c r="I3448" s="426"/>
    </row>
    <row r="3449" spans="2:14" ht="15.75" thickBot="1" x14ac:dyDescent="0.3">
      <c r="B3449" s="270" t="s">
        <v>101</v>
      </c>
      <c r="C3449" s="423"/>
      <c r="D3449" s="424"/>
      <c r="E3449" s="424"/>
      <c r="F3449" s="425"/>
      <c r="G3449" s="154" t="s">
        <v>102</v>
      </c>
      <c r="H3449" s="426" t="s">
        <v>103</v>
      </c>
      <c r="I3449" s="426"/>
    </row>
    <row r="3450" spans="2:14" ht="45" customHeight="1" thickBot="1" x14ac:dyDescent="0.3">
      <c r="B3450" s="401"/>
      <c r="C3450" s="402"/>
      <c r="D3450" s="402"/>
      <c r="E3450" s="402"/>
      <c r="F3450" s="403" t="s">
        <v>0</v>
      </c>
      <c r="G3450" s="403"/>
      <c r="H3450" s="403"/>
      <c r="I3450" s="404"/>
    </row>
    <row r="3451" spans="2:14" ht="6" customHeight="1" thickBot="1" x14ac:dyDescent="0.3">
      <c r="B3451" s="373"/>
      <c r="C3451" s="373"/>
      <c r="D3451" s="373"/>
      <c r="E3451" s="373"/>
      <c r="F3451" s="373"/>
      <c r="G3451" s="373"/>
      <c r="H3451" s="373"/>
      <c r="I3451" s="373"/>
    </row>
    <row r="3452" spans="2:14" ht="10.5" customHeight="1" x14ac:dyDescent="0.25">
      <c r="B3452" s="405" t="s">
        <v>294</v>
      </c>
      <c r="C3452" s="406"/>
      <c r="D3452" s="407" t="s">
        <v>295</v>
      </c>
      <c r="E3452" s="409" t="s">
        <v>296</v>
      </c>
      <c r="F3452" s="410"/>
      <c r="G3452" s="410"/>
      <c r="H3452" s="410"/>
      <c r="I3452" s="411"/>
    </row>
    <row r="3453" spans="2:14" ht="9" customHeight="1" thickBot="1" x14ac:dyDescent="0.3">
      <c r="B3453" s="415"/>
      <c r="C3453" s="416"/>
      <c r="D3453" s="408"/>
      <c r="E3453" s="412"/>
      <c r="F3453" s="413"/>
      <c r="G3453" s="413"/>
      <c r="H3453" s="413"/>
      <c r="I3453" s="414"/>
    </row>
    <row r="3454" spans="2:14" ht="6" customHeight="1" thickBot="1" x14ac:dyDescent="0.3">
      <c r="B3454" s="373"/>
      <c r="C3454" s="373"/>
      <c r="D3454" s="373"/>
      <c r="E3454" s="373"/>
      <c r="F3454" s="373"/>
      <c r="G3454" s="373"/>
      <c r="H3454" s="373"/>
      <c r="I3454" s="373"/>
    </row>
    <row r="3455" spans="2:14" ht="17.25" customHeight="1" thickBot="1" x14ac:dyDescent="0.3">
      <c r="B3455" s="390" t="s">
        <v>297</v>
      </c>
      <c r="C3455" s="391"/>
      <c r="D3455" s="392"/>
      <c r="E3455" s="393"/>
      <c r="F3455" s="393"/>
      <c r="G3455" s="394"/>
      <c r="H3455" s="127" t="s">
        <v>298</v>
      </c>
      <c r="I3455" s="128"/>
    </row>
    <row r="3456" spans="2:14" ht="6" customHeight="1" thickBot="1" x14ac:dyDescent="0.3">
      <c r="B3456" s="373"/>
      <c r="C3456" s="373"/>
      <c r="D3456" s="373"/>
      <c r="E3456" s="373"/>
      <c r="F3456" s="373"/>
      <c r="G3456" s="373"/>
      <c r="H3456" s="373"/>
      <c r="I3456" s="373"/>
    </row>
    <row r="3457" spans="2:14" ht="19.5" customHeight="1" x14ac:dyDescent="0.25">
      <c r="B3457" s="261" t="s">
        <v>299</v>
      </c>
      <c r="C3457" s="129" t="s">
        <v>300</v>
      </c>
      <c r="D3457" s="130" t="s">
        <v>301</v>
      </c>
      <c r="E3457" s="130" t="s">
        <v>302</v>
      </c>
      <c r="F3457" s="398" t="s">
        <v>303</v>
      </c>
      <c r="G3457" s="399"/>
      <c r="H3457" s="400"/>
      <c r="I3457" s="131" t="s">
        <v>304</v>
      </c>
    </row>
    <row r="3458" spans="2:14" ht="11.25" customHeight="1" x14ac:dyDescent="0.25">
      <c r="B3458" s="262"/>
      <c r="C3458" s="132"/>
      <c r="D3458" s="132" t="s">
        <v>305</v>
      </c>
      <c r="E3458" s="132" t="s">
        <v>306</v>
      </c>
      <c r="F3458" s="395" t="s">
        <v>339</v>
      </c>
      <c r="G3458" s="396"/>
      <c r="H3458" s="397"/>
      <c r="I3458" s="133"/>
    </row>
    <row r="3459" spans="2:14" ht="28.5" customHeight="1" x14ac:dyDescent="0.25">
      <c r="B3459" s="263" t="s">
        <v>307</v>
      </c>
      <c r="C3459" s="383" t="s">
        <v>414</v>
      </c>
      <c r="D3459" s="384"/>
      <c r="E3459" s="384"/>
      <c r="F3459" s="384"/>
      <c r="G3459" s="384"/>
      <c r="H3459" s="384"/>
      <c r="I3459" s="385"/>
    </row>
    <row r="3460" spans="2:14" ht="10.5" customHeight="1" x14ac:dyDescent="0.25">
      <c r="B3460" s="264" t="s">
        <v>129</v>
      </c>
      <c r="C3460" s="388" t="s">
        <v>308</v>
      </c>
      <c r="D3460" s="389"/>
      <c r="E3460" s="389"/>
      <c r="F3460" s="389"/>
      <c r="G3460" s="389"/>
      <c r="H3460" s="389"/>
      <c r="I3460" s="134" t="s">
        <v>130</v>
      </c>
    </row>
    <row r="3461" spans="2:14" ht="50.25" customHeight="1" thickBot="1" x14ac:dyDescent="0.3">
      <c r="B3461" s="265">
        <v>9.1199999999999974</v>
      </c>
      <c r="C3461" s="386" t="s">
        <v>620</v>
      </c>
      <c r="D3461" s="387"/>
      <c r="E3461" s="387"/>
      <c r="F3461" s="387"/>
      <c r="G3461" s="387"/>
      <c r="H3461" s="387"/>
      <c r="I3461" s="135" t="s">
        <v>27</v>
      </c>
    </row>
    <row r="3462" spans="2:14" ht="6" customHeight="1" thickBot="1" x14ac:dyDescent="0.3">
      <c r="B3462" s="373"/>
      <c r="C3462" s="373"/>
      <c r="D3462" s="373"/>
      <c r="E3462" s="373"/>
      <c r="F3462" s="373"/>
      <c r="G3462" s="373"/>
      <c r="H3462" s="373"/>
      <c r="I3462" s="373"/>
    </row>
    <row r="3463" spans="2:14" x14ac:dyDescent="0.25">
      <c r="B3463" s="380" t="s">
        <v>309</v>
      </c>
      <c r="C3463" s="381"/>
      <c r="D3463" s="381"/>
      <c r="E3463" s="381"/>
      <c r="F3463" s="381"/>
      <c r="G3463" s="381"/>
      <c r="H3463" s="381"/>
      <c r="I3463" s="382"/>
      <c r="K3463" s="182"/>
    </row>
    <row r="3464" spans="2:14" ht="11.25" customHeight="1" x14ac:dyDescent="0.25">
      <c r="B3464" s="377" t="s">
        <v>310</v>
      </c>
      <c r="C3464" s="378"/>
      <c r="D3464" s="379"/>
      <c r="E3464" s="136"/>
      <c r="F3464" s="137" t="s">
        <v>311</v>
      </c>
      <c r="G3464" s="137" t="s">
        <v>312</v>
      </c>
      <c r="H3464" s="137" t="s">
        <v>313</v>
      </c>
      <c r="I3464" s="138" t="s">
        <v>314</v>
      </c>
      <c r="L3464" s="139"/>
      <c r="M3464" s="139"/>
    </row>
    <row r="3465" spans="2:14" ht="11.25" customHeight="1" x14ac:dyDescent="0.25">
      <c r="B3465" s="362" t="s">
        <v>315</v>
      </c>
      <c r="C3465" s="363"/>
      <c r="D3465" s="363"/>
      <c r="E3465" s="160"/>
      <c r="F3465" s="161" t="s">
        <v>316</v>
      </c>
      <c r="G3465" s="160">
        <v>5000</v>
      </c>
      <c r="H3465" s="142">
        <v>1.4</v>
      </c>
      <c r="I3465" s="143">
        <f>G3465*H3465</f>
        <v>7000</v>
      </c>
    </row>
    <row r="3466" spans="2:14" ht="16.5" customHeight="1" x14ac:dyDescent="0.25">
      <c r="B3466" s="362" t="s">
        <v>355</v>
      </c>
      <c r="C3466" s="363"/>
      <c r="D3466" s="363"/>
      <c r="E3466" s="160"/>
      <c r="F3466" s="161" t="s">
        <v>317</v>
      </c>
      <c r="G3466" s="160">
        <v>90000</v>
      </c>
      <c r="H3466" s="142">
        <f>+H3465</f>
        <v>1.4</v>
      </c>
      <c r="I3466" s="143">
        <f>G3466*H3466</f>
        <v>125999.99999999999</v>
      </c>
    </row>
    <row r="3467" spans="2:14" ht="10.5" customHeight="1" thickBot="1" x14ac:dyDescent="0.3">
      <c r="B3467" s="371" t="s">
        <v>318</v>
      </c>
      <c r="C3467" s="372"/>
      <c r="D3467" s="372"/>
      <c r="E3467" s="372"/>
      <c r="F3467" s="372"/>
      <c r="G3467" s="372"/>
      <c r="H3467" s="372"/>
      <c r="I3467" s="144">
        <f>SUM(I3465:I3466)</f>
        <v>133000</v>
      </c>
      <c r="N3467" s="150"/>
    </row>
    <row r="3468" spans="2:14" ht="6" customHeight="1" thickBot="1" x14ac:dyDescent="0.3">
      <c r="B3468" s="373"/>
      <c r="C3468" s="373"/>
      <c r="D3468" s="373"/>
      <c r="E3468" s="373"/>
      <c r="F3468" s="373"/>
      <c r="G3468" s="373"/>
      <c r="H3468" s="373"/>
      <c r="I3468" s="373"/>
    </row>
    <row r="3469" spans="2:14" s="145" customFormat="1" x14ac:dyDescent="0.25">
      <c r="B3469" s="380" t="s">
        <v>319</v>
      </c>
      <c r="C3469" s="381"/>
      <c r="D3469" s="381"/>
      <c r="E3469" s="381"/>
      <c r="F3469" s="381"/>
      <c r="G3469" s="381"/>
      <c r="H3469" s="381"/>
      <c r="I3469" s="382"/>
    </row>
    <row r="3470" spans="2:14" s="145" customFormat="1" ht="15.75" customHeight="1" x14ac:dyDescent="0.25">
      <c r="B3470" s="377" t="s">
        <v>310</v>
      </c>
      <c r="C3470" s="378"/>
      <c r="D3470" s="379"/>
      <c r="E3470" s="137"/>
      <c r="F3470" s="137" t="s">
        <v>320</v>
      </c>
      <c r="G3470" s="137" t="s">
        <v>321</v>
      </c>
      <c r="H3470" s="137" t="s">
        <v>322</v>
      </c>
      <c r="I3470" s="138" t="s">
        <v>314</v>
      </c>
    </row>
    <row r="3471" spans="2:14" ht="72.75" customHeight="1" x14ac:dyDescent="0.25">
      <c r="B3471" s="436" t="s">
        <v>620</v>
      </c>
      <c r="C3471" s="437"/>
      <c r="D3471" s="438"/>
      <c r="E3471" s="163"/>
      <c r="F3471" s="161" t="s">
        <v>27</v>
      </c>
      <c r="G3471" s="160">
        <f>1189923+3062272+1673635-5059078+1+1165487+180285+1281173+1990920</f>
        <v>5484618</v>
      </c>
      <c r="H3471" s="142">
        <v>1</v>
      </c>
      <c r="I3471" s="143">
        <f>G3471*H3471</f>
        <v>5484618</v>
      </c>
      <c r="M3471">
        <v>4608265</v>
      </c>
    </row>
    <row r="3472" spans="2:14" ht="18" customHeight="1" thickBot="1" x14ac:dyDescent="0.3">
      <c r="B3472" s="371" t="s">
        <v>318</v>
      </c>
      <c r="C3472" s="372"/>
      <c r="D3472" s="372"/>
      <c r="E3472" s="372"/>
      <c r="F3472" s="372"/>
      <c r="G3472" s="372"/>
      <c r="H3472" s="372"/>
      <c r="I3472" s="144">
        <f>SUM(I3471:I3471)</f>
        <v>5484618</v>
      </c>
      <c r="N3472" s="150"/>
    </row>
    <row r="3473" spans="2:15" ht="6" customHeight="1" thickBot="1" x14ac:dyDescent="0.3">
      <c r="B3473" s="373"/>
      <c r="C3473" s="373"/>
      <c r="D3473" s="373"/>
      <c r="E3473" s="373"/>
      <c r="F3473" s="373"/>
      <c r="G3473" s="373"/>
      <c r="H3473" s="373"/>
      <c r="I3473" s="373"/>
    </row>
    <row r="3474" spans="2:15" s="145" customFormat="1" x14ac:dyDescent="0.25">
      <c r="B3474" s="380" t="s">
        <v>323</v>
      </c>
      <c r="C3474" s="381"/>
      <c r="D3474" s="381"/>
      <c r="E3474" s="381"/>
      <c r="F3474" s="381"/>
      <c r="G3474" s="381"/>
      <c r="H3474" s="381"/>
      <c r="I3474" s="382"/>
      <c r="L3474" s="146"/>
      <c r="M3474" s="146"/>
    </row>
    <row r="3475" spans="2:15" s="145" customFormat="1" x14ac:dyDescent="0.25">
      <c r="B3475" s="377" t="s">
        <v>324</v>
      </c>
      <c r="C3475" s="378"/>
      <c r="D3475" s="379"/>
      <c r="E3475" s="137" t="s">
        <v>325</v>
      </c>
      <c r="F3475" s="137" t="s">
        <v>326</v>
      </c>
      <c r="G3475" s="137" t="s">
        <v>130</v>
      </c>
      <c r="H3475" s="137" t="s">
        <v>327</v>
      </c>
      <c r="I3475" s="138" t="s">
        <v>314</v>
      </c>
      <c r="K3475" s="260"/>
      <c r="N3475" s="183"/>
      <c r="O3475" s="148"/>
    </row>
    <row r="3476" spans="2:15" ht="11.25" customHeight="1" x14ac:dyDescent="0.25">
      <c r="B3476" s="362" t="s">
        <v>711</v>
      </c>
      <c r="C3476" s="363"/>
      <c r="D3476" s="363"/>
      <c r="E3476" s="170">
        <v>1</v>
      </c>
      <c r="F3476" s="164"/>
      <c r="G3476" s="161"/>
      <c r="H3476" s="162">
        <v>40000</v>
      </c>
      <c r="I3476" s="143">
        <f>H3476*E3476</f>
        <v>40000</v>
      </c>
      <c r="K3476" s="281"/>
    </row>
    <row r="3477" spans="2:15" ht="10.5" customHeight="1" thickBot="1" x14ac:dyDescent="0.3">
      <c r="B3477" s="371" t="s">
        <v>318</v>
      </c>
      <c r="C3477" s="372"/>
      <c r="D3477" s="372"/>
      <c r="E3477" s="372"/>
      <c r="F3477" s="372"/>
      <c r="G3477" s="372"/>
      <c r="H3477" s="372"/>
      <c r="I3477" s="144">
        <f>SUM(I3476:I3476)</f>
        <v>40000</v>
      </c>
      <c r="K3477" s="281"/>
      <c r="N3477" s="150"/>
    </row>
    <row r="3478" spans="2:15" ht="6" customHeight="1" thickBot="1" x14ac:dyDescent="0.3">
      <c r="B3478" s="373"/>
      <c r="C3478" s="373"/>
      <c r="D3478" s="373"/>
      <c r="E3478" s="373"/>
      <c r="F3478" s="373"/>
      <c r="G3478" s="373"/>
      <c r="H3478" s="373"/>
      <c r="I3478" s="373"/>
    </row>
    <row r="3479" spans="2:15" s="145" customFormat="1" ht="20.100000000000001" customHeight="1" x14ac:dyDescent="0.25">
      <c r="B3479" s="380" t="s">
        <v>328</v>
      </c>
      <c r="C3479" s="381"/>
      <c r="D3479" s="381"/>
      <c r="E3479" s="381"/>
      <c r="F3479" s="381"/>
      <c r="G3479" s="381"/>
      <c r="H3479" s="381"/>
      <c r="I3479" s="382"/>
      <c r="K3479" s="147">
        <f>+I3486-K3481</f>
        <v>0.5</v>
      </c>
      <c r="N3479" s="148"/>
      <c r="O3479" s="149"/>
    </row>
    <row r="3480" spans="2:15" s="145" customFormat="1" ht="20.100000000000001" customHeight="1" x14ac:dyDescent="0.25">
      <c r="B3480" s="377" t="s">
        <v>329</v>
      </c>
      <c r="C3480" s="379"/>
      <c r="D3480" s="137" t="s">
        <v>322</v>
      </c>
      <c r="E3480" s="137" t="s">
        <v>330</v>
      </c>
      <c r="F3480" s="137" t="s">
        <v>331</v>
      </c>
      <c r="G3480" s="137" t="s">
        <v>332</v>
      </c>
      <c r="H3480" s="137" t="s">
        <v>313</v>
      </c>
      <c r="I3480" s="138" t="s">
        <v>314</v>
      </c>
      <c r="K3480" s="147"/>
      <c r="O3480" s="179"/>
    </row>
    <row r="3481" spans="2:15" s="151" customFormat="1" ht="9.75" customHeight="1" x14ac:dyDescent="0.25">
      <c r="B3481" s="367" t="s">
        <v>356</v>
      </c>
      <c r="C3481" s="368"/>
      <c r="D3481" s="180">
        <v>1</v>
      </c>
      <c r="E3481" s="141">
        <v>140000</v>
      </c>
      <c r="F3481" s="141">
        <f>+E3481*0.8</f>
        <v>112000</v>
      </c>
      <c r="G3481" s="178">
        <f>D3481*E3481+F3481*D3481</f>
        <v>252000</v>
      </c>
      <c r="H3481" s="184">
        <v>0.8</v>
      </c>
      <c r="I3481" s="143">
        <f>+G3481/H3481</f>
        <v>315000</v>
      </c>
      <c r="J3481" s="145"/>
      <c r="K3481" s="147">
        <v>6400117.5</v>
      </c>
    </row>
    <row r="3482" spans="2:15" s="151" customFormat="1" ht="18.75" customHeight="1" x14ac:dyDescent="0.25">
      <c r="B3482" s="367" t="s">
        <v>374</v>
      </c>
      <c r="C3482" s="368"/>
      <c r="D3482" s="180">
        <v>1</v>
      </c>
      <c r="E3482" s="141">
        <v>80000</v>
      </c>
      <c r="F3482" s="141">
        <f>+E3482*0.8</f>
        <v>64000</v>
      </c>
      <c r="G3482" s="178">
        <f>D3482*E3482+F3482*D3482</f>
        <v>144000</v>
      </c>
      <c r="H3482" s="184">
        <f>+H3481</f>
        <v>0.8</v>
      </c>
      <c r="I3482" s="143">
        <f>+G3482/H3482</f>
        <v>180000</v>
      </c>
      <c r="J3482" s="145"/>
      <c r="K3482" s="147"/>
      <c r="L3482" s="179"/>
      <c r="M3482" s="179"/>
    </row>
    <row r="3483" spans="2:15" s="145" customFormat="1" ht="10.5" customHeight="1" x14ac:dyDescent="0.25">
      <c r="B3483" s="367" t="s">
        <v>333</v>
      </c>
      <c r="C3483" s="368"/>
      <c r="D3483" s="180">
        <v>2</v>
      </c>
      <c r="E3483" s="141">
        <v>55000</v>
      </c>
      <c r="F3483" s="141">
        <f>+E3483*0.8</f>
        <v>44000</v>
      </c>
      <c r="G3483" s="178">
        <f>D3483*E3483+F3483*D3483</f>
        <v>198000</v>
      </c>
      <c r="H3483" s="184">
        <f>+H3482</f>
        <v>0.8</v>
      </c>
      <c r="I3483" s="143">
        <f>+G3483/H3483</f>
        <v>247500</v>
      </c>
      <c r="K3483" s="147"/>
    </row>
    <row r="3484" spans="2:15" ht="10.5" customHeight="1" thickBot="1" x14ac:dyDescent="0.3">
      <c r="B3484" s="371" t="s">
        <v>318</v>
      </c>
      <c r="C3484" s="372"/>
      <c r="D3484" s="372"/>
      <c r="E3484" s="372"/>
      <c r="F3484" s="372"/>
      <c r="G3484" s="372"/>
      <c r="H3484" s="372"/>
      <c r="I3484" s="144">
        <f>SUM(I3481:I3483)</f>
        <v>742500</v>
      </c>
      <c r="K3484" s="281"/>
      <c r="N3484" s="150"/>
    </row>
    <row r="3485" spans="2:15" ht="6" customHeight="1" thickBot="1" x14ac:dyDescent="0.3">
      <c r="B3485" s="373"/>
      <c r="C3485" s="373"/>
      <c r="D3485" s="373"/>
      <c r="E3485" s="373"/>
      <c r="F3485" s="373"/>
      <c r="G3485" s="373"/>
      <c r="H3485" s="373"/>
      <c r="I3485" s="373"/>
    </row>
    <row r="3486" spans="2:15" ht="10.5" customHeight="1" thickBot="1" x14ac:dyDescent="0.3">
      <c r="B3486" s="374" t="s">
        <v>334</v>
      </c>
      <c r="C3486" s="375"/>
      <c r="D3486" s="375"/>
      <c r="E3486" s="375"/>
      <c r="F3486" s="375"/>
      <c r="G3486" s="375"/>
      <c r="H3486" s="376"/>
      <c r="I3486" s="152">
        <f>ROUND(+I3467+I3472+I3477+I3484,0)</f>
        <v>6400118</v>
      </c>
      <c r="J3486" s="281"/>
      <c r="K3486" s="169"/>
      <c r="L3486" s="181"/>
      <c r="M3486" s="181"/>
      <c r="N3486" s="153"/>
    </row>
    <row r="3487" spans="2:15" ht="6" customHeight="1" thickBot="1" x14ac:dyDescent="0.3">
      <c r="B3487" s="373"/>
      <c r="C3487" s="373"/>
      <c r="D3487" s="373"/>
      <c r="E3487" s="373"/>
      <c r="F3487" s="373"/>
      <c r="G3487" s="373"/>
      <c r="H3487" s="373"/>
      <c r="I3487" s="373"/>
    </row>
    <row r="3488" spans="2:15" ht="8.25" customHeight="1" x14ac:dyDescent="0.25">
      <c r="B3488" s="433" t="s">
        <v>335</v>
      </c>
      <c r="C3488" s="417"/>
      <c r="D3488" s="418"/>
      <c r="E3488" s="418"/>
      <c r="F3488" s="419"/>
      <c r="G3488" s="369" t="s">
        <v>336</v>
      </c>
      <c r="H3488" s="370"/>
      <c r="I3488" s="370"/>
    </row>
    <row r="3489" spans="2:14" ht="33.75" customHeight="1" x14ac:dyDescent="0.25">
      <c r="B3489" s="434"/>
      <c r="C3489" s="420"/>
      <c r="D3489" s="421"/>
      <c r="E3489" s="421"/>
      <c r="F3489" s="422"/>
      <c r="G3489" s="430" t="s">
        <v>337</v>
      </c>
      <c r="H3489" s="431"/>
      <c r="I3489" s="431"/>
      <c r="L3489" s="181"/>
      <c r="M3489" s="181"/>
      <c r="N3489" s="179"/>
    </row>
    <row r="3490" spans="2:14" ht="13.5" customHeight="1" x14ac:dyDescent="0.25">
      <c r="B3490" s="434"/>
      <c r="C3490" s="420"/>
      <c r="D3490" s="421"/>
      <c r="E3490" s="421"/>
      <c r="F3490" s="422"/>
      <c r="G3490" s="154" t="s">
        <v>92</v>
      </c>
      <c r="H3490" s="432" t="s">
        <v>93</v>
      </c>
      <c r="I3490" s="432"/>
    </row>
    <row r="3491" spans="2:14" ht="16.5" customHeight="1" x14ac:dyDescent="0.25">
      <c r="B3491" s="435"/>
      <c r="C3491" s="420"/>
      <c r="D3491" s="421"/>
      <c r="E3491" s="421"/>
      <c r="F3491" s="422"/>
      <c r="G3491" s="155" t="s">
        <v>94</v>
      </c>
      <c r="H3491" s="156" t="s">
        <v>95</v>
      </c>
      <c r="I3491" s="157" t="s">
        <v>96</v>
      </c>
    </row>
    <row r="3492" spans="2:14" x14ac:dyDescent="0.25">
      <c r="B3492" s="268" t="s">
        <v>18</v>
      </c>
      <c r="C3492" s="427"/>
      <c r="D3492" s="428"/>
      <c r="E3492" s="428"/>
      <c r="F3492" s="429"/>
      <c r="G3492" s="155" t="s">
        <v>98</v>
      </c>
      <c r="H3492" s="157" t="s">
        <v>99</v>
      </c>
      <c r="I3492" s="157" t="s">
        <v>100</v>
      </c>
    </row>
    <row r="3493" spans="2:14" x14ac:dyDescent="0.25">
      <c r="B3493" s="269" t="s">
        <v>97</v>
      </c>
      <c r="C3493" s="427"/>
      <c r="D3493" s="428"/>
      <c r="E3493" s="428"/>
      <c r="F3493" s="429"/>
      <c r="G3493" s="154" t="s">
        <v>338</v>
      </c>
      <c r="H3493" s="426"/>
      <c r="I3493" s="426"/>
    </row>
    <row r="3494" spans="2:14" ht="15.75" thickBot="1" x14ac:dyDescent="0.3">
      <c r="B3494" s="270" t="s">
        <v>101</v>
      </c>
      <c r="C3494" s="423"/>
      <c r="D3494" s="424"/>
      <c r="E3494" s="424"/>
      <c r="F3494" s="425"/>
      <c r="G3494" s="154" t="s">
        <v>102</v>
      </c>
      <c r="H3494" s="426" t="s">
        <v>103</v>
      </c>
      <c r="I3494" s="426"/>
    </row>
    <row r="3495" spans="2:14" ht="45" customHeight="1" thickBot="1" x14ac:dyDescent="0.3">
      <c r="B3495" s="401"/>
      <c r="C3495" s="402"/>
      <c r="D3495" s="402"/>
      <c r="E3495" s="402"/>
      <c r="F3495" s="403" t="s">
        <v>0</v>
      </c>
      <c r="G3495" s="403"/>
      <c r="H3495" s="403"/>
      <c r="I3495" s="404"/>
    </row>
    <row r="3496" spans="2:14" ht="6" customHeight="1" thickBot="1" x14ac:dyDescent="0.3">
      <c r="B3496" s="373"/>
      <c r="C3496" s="373"/>
      <c r="D3496" s="373"/>
      <c r="E3496" s="373"/>
      <c r="F3496" s="373"/>
      <c r="G3496" s="373"/>
      <c r="H3496" s="373"/>
      <c r="I3496" s="373"/>
    </row>
    <row r="3497" spans="2:14" ht="10.5" customHeight="1" x14ac:dyDescent="0.25">
      <c r="B3497" s="405" t="s">
        <v>294</v>
      </c>
      <c r="C3497" s="406"/>
      <c r="D3497" s="407" t="s">
        <v>295</v>
      </c>
      <c r="E3497" s="409" t="s">
        <v>296</v>
      </c>
      <c r="F3497" s="410"/>
      <c r="G3497" s="410"/>
      <c r="H3497" s="410"/>
      <c r="I3497" s="411"/>
    </row>
    <row r="3498" spans="2:14" ht="9" customHeight="1" thickBot="1" x14ac:dyDescent="0.3">
      <c r="B3498" s="415"/>
      <c r="C3498" s="416"/>
      <c r="D3498" s="408"/>
      <c r="E3498" s="412"/>
      <c r="F3498" s="413"/>
      <c r="G3498" s="413"/>
      <c r="H3498" s="413"/>
      <c r="I3498" s="414"/>
    </row>
    <row r="3499" spans="2:14" ht="6" customHeight="1" thickBot="1" x14ac:dyDescent="0.3">
      <c r="B3499" s="373"/>
      <c r="C3499" s="373"/>
      <c r="D3499" s="373"/>
      <c r="E3499" s="373"/>
      <c r="F3499" s="373"/>
      <c r="G3499" s="373"/>
      <c r="H3499" s="373"/>
      <c r="I3499" s="373"/>
    </row>
    <row r="3500" spans="2:14" ht="17.25" customHeight="1" thickBot="1" x14ac:dyDescent="0.3">
      <c r="B3500" s="390" t="s">
        <v>297</v>
      </c>
      <c r="C3500" s="391"/>
      <c r="D3500" s="392"/>
      <c r="E3500" s="393"/>
      <c r="F3500" s="393"/>
      <c r="G3500" s="394"/>
      <c r="H3500" s="127" t="s">
        <v>298</v>
      </c>
      <c r="I3500" s="128"/>
    </row>
    <row r="3501" spans="2:14" ht="6" customHeight="1" thickBot="1" x14ac:dyDescent="0.3">
      <c r="B3501" s="373"/>
      <c r="C3501" s="373"/>
      <c r="D3501" s="373"/>
      <c r="E3501" s="373"/>
      <c r="F3501" s="373"/>
      <c r="G3501" s="373"/>
      <c r="H3501" s="373"/>
      <c r="I3501" s="373"/>
    </row>
    <row r="3502" spans="2:14" ht="19.5" customHeight="1" x14ac:dyDescent="0.25">
      <c r="B3502" s="261" t="s">
        <v>299</v>
      </c>
      <c r="C3502" s="129" t="s">
        <v>300</v>
      </c>
      <c r="D3502" s="130" t="s">
        <v>301</v>
      </c>
      <c r="E3502" s="130" t="s">
        <v>302</v>
      </c>
      <c r="F3502" s="398" t="s">
        <v>303</v>
      </c>
      <c r="G3502" s="399"/>
      <c r="H3502" s="400"/>
      <c r="I3502" s="131" t="s">
        <v>304</v>
      </c>
    </row>
    <row r="3503" spans="2:14" ht="11.25" customHeight="1" x14ac:dyDescent="0.25">
      <c r="B3503" s="262"/>
      <c r="C3503" s="132"/>
      <c r="D3503" s="132" t="s">
        <v>305</v>
      </c>
      <c r="E3503" s="132" t="s">
        <v>306</v>
      </c>
      <c r="F3503" s="395" t="s">
        <v>339</v>
      </c>
      <c r="G3503" s="396"/>
      <c r="H3503" s="397"/>
      <c r="I3503" s="133"/>
    </row>
    <row r="3504" spans="2:14" ht="28.5" customHeight="1" x14ac:dyDescent="0.25">
      <c r="B3504" s="263" t="s">
        <v>307</v>
      </c>
      <c r="C3504" s="383" t="s">
        <v>414</v>
      </c>
      <c r="D3504" s="384"/>
      <c r="E3504" s="384"/>
      <c r="F3504" s="384"/>
      <c r="G3504" s="384"/>
      <c r="H3504" s="384"/>
      <c r="I3504" s="385"/>
    </row>
    <row r="3505" spans="2:15" ht="10.5" customHeight="1" x14ac:dyDescent="0.25">
      <c r="B3505" s="264" t="s">
        <v>129</v>
      </c>
      <c r="C3505" s="388" t="s">
        <v>308</v>
      </c>
      <c r="D3505" s="389"/>
      <c r="E3505" s="389"/>
      <c r="F3505" s="389"/>
      <c r="G3505" s="389"/>
      <c r="H3505" s="389"/>
      <c r="I3505" s="134" t="s">
        <v>130</v>
      </c>
    </row>
    <row r="3506" spans="2:15" ht="50.25" customHeight="1" thickBot="1" x14ac:dyDescent="0.3">
      <c r="B3506" s="265">
        <v>9.1299999999999972</v>
      </c>
      <c r="C3506" s="386" t="s">
        <v>621</v>
      </c>
      <c r="D3506" s="387"/>
      <c r="E3506" s="387"/>
      <c r="F3506" s="387"/>
      <c r="G3506" s="387"/>
      <c r="H3506" s="387"/>
      <c r="I3506" s="135" t="s">
        <v>27</v>
      </c>
    </row>
    <row r="3507" spans="2:15" ht="6" customHeight="1" thickBot="1" x14ac:dyDescent="0.3">
      <c r="B3507" s="373"/>
      <c r="C3507" s="373"/>
      <c r="D3507" s="373"/>
      <c r="E3507" s="373"/>
      <c r="F3507" s="373"/>
      <c r="G3507" s="373"/>
      <c r="H3507" s="373"/>
      <c r="I3507" s="373"/>
    </row>
    <row r="3508" spans="2:15" x14ac:dyDescent="0.25">
      <c r="B3508" s="380" t="s">
        <v>309</v>
      </c>
      <c r="C3508" s="381"/>
      <c r="D3508" s="381"/>
      <c r="E3508" s="381"/>
      <c r="F3508" s="381"/>
      <c r="G3508" s="381"/>
      <c r="H3508" s="381"/>
      <c r="I3508" s="382"/>
      <c r="K3508" s="182"/>
    </row>
    <row r="3509" spans="2:15" ht="11.25" customHeight="1" x14ac:dyDescent="0.25">
      <c r="B3509" s="377" t="s">
        <v>310</v>
      </c>
      <c r="C3509" s="378"/>
      <c r="D3509" s="379"/>
      <c r="E3509" s="136"/>
      <c r="F3509" s="137" t="s">
        <v>311</v>
      </c>
      <c r="G3509" s="137" t="s">
        <v>312</v>
      </c>
      <c r="H3509" s="137" t="s">
        <v>313</v>
      </c>
      <c r="I3509" s="138" t="s">
        <v>314</v>
      </c>
      <c r="L3509" s="139"/>
      <c r="M3509" s="139"/>
    </row>
    <row r="3510" spans="2:15" ht="11.25" customHeight="1" x14ac:dyDescent="0.25">
      <c r="B3510" s="362" t="s">
        <v>315</v>
      </c>
      <c r="C3510" s="363"/>
      <c r="D3510" s="363"/>
      <c r="E3510" s="160"/>
      <c r="F3510" s="161" t="s">
        <v>316</v>
      </c>
      <c r="G3510" s="160">
        <v>5000</v>
      </c>
      <c r="H3510" s="142">
        <v>1.4</v>
      </c>
      <c r="I3510" s="143">
        <f>G3510*H3510</f>
        <v>7000</v>
      </c>
    </row>
    <row r="3511" spans="2:15" ht="16.5" customHeight="1" x14ac:dyDescent="0.25">
      <c r="B3511" s="362" t="s">
        <v>355</v>
      </c>
      <c r="C3511" s="363"/>
      <c r="D3511" s="363"/>
      <c r="E3511" s="160"/>
      <c r="F3511" s="161" t="s">
        <v>317</v>
      </c>
      <c r="G3511" s="160">
        <v>90000</v>
      </c>
      <c r="H3511" s="142">
        <f>+H3510</f>
        <v>1.4</v>
      </c>
      <c r="I3511" s="143">
        <f>G3511*H3511</f>
        <v>125999.99999999999</v>
      </c>
    </row>
    <row r="3512" spans="2:15" ht="10.5" customHeight="1" thickBot="1" x14ac:dyDescent="0.3">
      <c r="B3512" s="371" t="s">
        <v>318</v>
      </c>
      <c r="C3512" s="372"/>
      <c r="D3512" s="372"/>
      <c r="E3512" s="372"/>
      <c r="F3512" s="372"/>
      <c r="G3512" s="372"/>
      <c r="H3512" s="372"/>
      <c r="I3512" s="144">
        <f>SUM(I3510:I3511)</f>
        <v>133000</v>
      </c>
      <c r="N3512" s="150"/>
    </row>
    <row r="3513" spans="2:15" ht="6" customHeight="1" thickBot="1" x14ac:dyDescent="0.3">
      <c r="B3513" s="373"/>
      <c r="C3513" s="373"/>
      <c r="D3513" s="373"/>
      <c r="E3513" s="373"/>
      <c r="F3513" s="373"/>
      <c r="G3513" s="373"/>
      <c r="H3513" s="373"/>
      <c r="I3513" s="373"/>
    </row>
    <row r="3514" spans="2:15" s="145" customFormat="1" x14ac:dyDescent="0.25">
      <c r="B3514" s="380" t="s">
        <v>319</v>
      </c>
      <c r="C3514" s="381"/>
      <c r="D3514" s="381"/>
      <c r="E3514" s="381"/>
      <c r="F3514" s="381"/>
      <c r="G3514" s="381"/>
      <c r="H3514" s="381"/>
      <c r="I3514" s="382"/>
    </row>
    <row r="3515" spans="2:15" s="145" customFormat="1" ht="15.75" customHeight="1" x14ac:dyDescent="0.25">
      <c r="B3515" s="377" t="s">
        <v>310</v>
      </c>
      <c r="C3515" s="378"/>
      <c r="D3515" s="379"/>
      <c r="E3515" s="137"/>
      <c r="F3515" s="137" t="s">
        <v>320</v>
      </c>
      <c r="G3515" s="137" t="s">
        <v>321</v>
      </c>
      <c r="H3515" s="137" t="s">
        <v>322</v>
      </c>
      <c r="I3515" s="138" t="s">
        <v>314</v>
      </c>
    </row>
    <row r="3516" spans="2:15" ht="72.75" customHeight="1" x14ac:dyDescent="0.25">
      <c r="B3516" s="436" t="s">
        <v>621</v>
      </c>
      <c r="C3516" s="437"/>
      <c r="D3516" s="438"/>
      <c r="E3516" s="163"/>
      <c r="F3516" s="161" t="s">
        <v>27</v>
      </c>
      <c r="G3516" s="160">
        <f>1189923+3062272+1673635-5059078+1+1165487+180285+1281173+1815635</f>
        <v>5309333</v>
      </c>
      <c r="H3516" s="142">
        <v>1</v>
      </c>
      <c r="I3516" s="143">
        <f>G3516*H3516</f>
        <v>5309333</v>
      </c>
      <c r="M3516">
        <v>4608265</v>
      </c>
    </row>
    <row r="3517" spans="2:15" ht="18" customHeight="1" thickBot="1" x14ac:dyDescent="0.3">
      <c r="B3517" s="371" t="s">
        <v>318</v>
      </c>
      <c r="C3517" s="372"/>
      <c r="D3517" s="372"/>
      <c r="E3517" s="372"/>
      <c r="F3517" s="372"/>
      <c r="G3517" s="372"/>
      <c r="H3517" s="372"/>
      <c r="I3517" s="144">
        <f>SUM(I3516:I3516)</f>
        <v>5309333</v>
      </c>
      <c r="N3517" s="150"/>
    </row>
    <row r="3518" spans="2:15" ht="6" customHeight="1" thickBot="1" x14ac:dyDescent="0.3">
      <c r="B3518" s="373"/>
      <c r="C3518" s="373"/>
      <c r="D3518" s="373"/>
      <c r="E3518" s="373"/>
      <c r="F3518" s="373"/>
      <c r="G3518" s="373"/>
      <c r="H3518" s="373"/>
      <c r="I3518" s="373"/>
    </row>
    <row r="3519" spans="2:15" s="145" customFormat="1" x14ac:dyDescent="0.25">
      <c r="B3519" s="380" t="s">
        <v>323</v>
      </c>
      <c r="C3519" s="381"/>
      <c r="D3519" s="381"/>
      <c r="E3519" s="381"/>
      <c r="F3519" s="381"/>
      <c r="G3519" s="381"/>
      <c r="H3519" s="381"/>
      <c r="I3519" s="382"/>
      <c r="L3519" s="146"/>
      <c r="M3519" s="146"/>
    </row>
    <row r="3520" spans="2:15" s="145" customFormat="1" x14ac:dyDescent="0.25">
      <c r="B3520" s="377" t="s">
        <v>324</v>
      </c>
      <c r="C3520" s="378"/>
      <c r="D3520" s="379"/>
      <c r="E3520" s="137" t="s">
        <v>325</v>
      </c>
      <c r="F3520" s="137" t="s">
        <v>326</v>
      </c>
      <c r="G3520" s="137" t="s">
        <v>130</v>
      </c>
      <c r="H3520" s="137" t="s">
        <v>327</v>
      </c>
      <c r="I3520" s="138" t="s">
        <v>314</v>
      </c>
      <c r="K3520" s="260"/>
      <c r="N3520" s="183"/>
      <c r="O3520" s="148"/>
    </row>
    <row r="3521" spans="2:15" ht="11.25" customHeight="1" x14ac:dyDescent="0.25">
      <c r="B3521" s="362" t="s">
        <v>711</v>
      </c>
      <c r="C3521" s="363"/>
      <c r="D3521" s="363"/>
      <c r="E3521" s="170">
        <v>1</v>
      </c>
      <c r="F3521" s="164"/>
      <c r="G3521" s="161"/>
      <c r="H3521" s="162">
        <v>35000</v>
      </c>
      <c r="I3521" s="143">
        <f>H3521*E3521</f>
        <v>35000</v>
      </c>
      <c r="K3521" s="281"/>
    </row>
    <row r="3522" spans="2:15" ht="10.5" customHeight="1" thickBot="1" x14ac:dyDescent="0.3">
      <c r="B3522" s="371" t="s">
        <v>318</v>
      </c>
      <c r="C3522" s="372"/>
      <c r="D3522" s="372"/>
      <c r="E3522" s="372"/>
      <c r="F3522" s="372"/>
      <c r="G3522" s="372"/>
      <c r="H3522" s="372"/>
      <c r="I3522" s="144">
        <f>SUM(I3521:I3521)</f>
        <v>35000</v>
      </c>
      <c r="K3522" s="281"/>
      <c r="N3522" s="150"/>
    </row>
    <row r="3523" spans="2:15" ht="6" customHeight="1" thickBot="1" x14ac:dyDescent="0.3">
      <c r="B3523" s="373"/>
      <c r="C3523" s="373"/>
      <c r="D3523" s="373"/>
      <c r="E3523" s="373"/>
      <c r="F3523" s="373"/>
      <c r="G3523" s="373"/>
      <c r="H3523" s="373"/>
      <c r="I3523" s="373"/>
    </row>
    <row r="3524" spans="2:15" s="145" customFormat="1" ht="20.100000000000001" customHeight="1" x14ac:dyDescent="0.25">
      <c r="B3524" s="380" t="s">
        <v>328</v>
      </c>
      <c r="C3524" s="381"/>
      <c r="D3524" s="381"/>
      <c r="E3524" s="381"/>
      <c r="F3524" s="381"/>
      <c r="G3524" s="381"/>
      <c r="H3524" s="381"/>
      <c r="I3524" s="382"/>
      <c r="K3524" s="147">
        <v>6219832.5</v>
      </c>
      <c r="N3524" s="148"/>
      <c r="O3524" s="149"/>
    </row>
    <row r="3525" spans="2:15" s="145" customFormat="1" ht="20.100000000000001" customHeight="1" x14ac:dyDescent="0.25">
      <c r="B3525" s="377" t="s">
        <v>329</v>
      </c>
      <c r="C3525" s="379"/>
      <c r="D3525" s="137" t="s">
        <v>322</v>
      </c>
      <c r="E3525" s="137" t="s">
        <v>330</v>
      </c>
      <c r="F3525" s="137" t="s">
        <v>331</v>
      </c>
      <c r="G3525" s="137" t="s">
        <v>332</v>
      </c>
      <c r="H3525" s="137" t="s">
        <v>313</v>
      </c>
      <c r="I3525" s="138" t="s">
        <v>314</v>
      </c>
      <c r="K3525" s="147">
        <f>+K3524-I3531</f>
        <v>-0.5</v>
      </c>
      <c r="O3525" s="179"/>
    </row>
    <row r="3526" spans="2:15" s="151" customFormat="1" ht="9.75" customHeight="1" x14ac:dyDescent="0.25">
      <c r="B3526" s="367" t="s">
        <v>356</v>
      </c>
      <c r="C3526" s="368"/>
      <c r="D3526" s="180">
        <v>1</v>
      </c>
      <c r="E3526" s="141">
        <v>140000</v>
      </c>
      <c r="F3526" s="141">
        <f>+E3526*0.8</f>
        <v>112000</v>
      </c>
      <c r="G3526" s="178">
        <f>D3526*E3526+F3526*D3526</f>
        <v>252000</v>
      </c>
      <c r="H3526" s="184">
        <v>0.8</v>
      </c>
      <c r="I3526" s="143">
        <f>+G3526/H3526</f>
        <v>315000</v>
      </c>
      <c r="J3526" s="145"/>
      <c r="K3526" s="147"/>
    </row>
    <row r="3527" spans="2:15" s="151" customFormat="1" ht="11.25" customHeight="1" x14ac:dyDescent="0.25">
      <c r="B3527" s="367" t="s">
        <v>374</v>
      </c>
      <c r="C3527" s="368"/>
      <c r="D3527" s="180">
        <v>1</v>
      </c>
      <c r="E3527" s="141">
        <v>80000</v>
      </c>
      <c r="F3527" s="141">
        <f>+E3527*0.8</f>
        <v>64000</v>
      </c>
      <c r="G3527" s="178">
        <f>D3527*E3527+F3527*D3527</f>
        <v>144000</v>
      </c>
      <c r="H3527" s="184">
        <f>+H3526</f>
        <v>0.8</v>
      </c>
      <c r="I3527" s="143">
        <f>+G3527/H3527</f>
        <v>180000</v>
      </c>
      <c r="J3527" s="145"/>
      <c r="K3527" s="147"/>
      <c r="L3527" s="179"/>
      <c r="M3527" s="179"/>
    </row>
    <row r="3528" spans="2:15" s="145" customFormat="1" ht="10.5" customHeight="1" x14ac:dyDescent="0.25">
      <c r="B3528" s="367" t="s">
        <v>333</v>
      </c>
      <c r="C3528" s="368"/>
      <c r="D3528" s="180">
        <v>2</v>
      </c>
      <c r="E3528" s="141">
        <v>55000</v>
      </c>
      <c r="F3528" s="141">
        <f>+E3528*0.8</f>
        <v>44000</v>
      </c>
      <c r="G3528" s="178">
        <f>D3528*E3528+F3528*D3528</f>
        <v>198000</v>
      </c>
      <c r="H3528" s="184">
        <f>+H3527</f>
        <v>0.8</v>
      </c>
      <c r="I3528" s="143">
        <f>+G3528/H3528</f>
        <v>247500</v>
      </c>
      <c r="K3528" s="147"/>
    </row>
    <row r="3529" spans="2:15" ht="10.5" customHeight="1" thickBot="1" x14ac:dyDescent="0.3">
      <c r="B3529" s="371" t="s">
        <v>318</v>
      </c>
      <c r="C3529" s="372"/>
      <c r="D3529" s="372"/>
      <c r="E3529" s="372"/>
      <c r="F3529" s="372"/>
      <c r="G3529" s="372"/>
      <c r="H3529" s="372"/>
      <c r="I3529" s="144">
        <f>SUM(I3526:I3528)</f>
        <v>742500</v>
      </c>
      <c r="K3529" s="281"/>
      <c r="N3529" s="150"/>
    </row>
    <row r="3530" spans="2:15" ht="6" customHeight="1" thickBot="1" x14ac:dyDescent="0.3">
      <c r="B3530" s="373"/>
      <c r="C3530" s="373"/>
      <c r="D3530" s="373"/>
      <c r="E3530" s="373"/>
      <c r="F3530" s="373"/>
      <c r="G3530" s="373"/>
      <c r="H3530" s="373"/>
      <c r="I3530" s="373"/>
    </row>
    <row r="3531" spans="2:15" ht="10.5" customHeight="1" thickBot="1" x14ac:dyDescent="0.3">
      <c r="B3531" s="374" t="s">
        <v>334</v>
      </c>
      <c r="C3531" s="375"/>
      <c r="D3531" s="375"/>
      <c r="E3531" s="375"/>
      <c r="F3531" s="375"/>
      <c r="G3531" s="375"/>
      <c r="H3531" s="376"/>
      <c r="I3531" s="152">
        <f>ROUND(+I3512+I3517+I3522+I3529,0)</f>
        <v>6219833</v>
      </c>
      <c r="J3531" s="281"/>
      <c r="K3531" s="169"/>
      <c r="L3531" s="181"/>
      <c r="M3531" s="181"/>
      <c r="N3531" s="153"/>
    </row>
    <row r="3532" spans="2:15" ht="6" customHeight="1" thickBot="1" x14ac:dyDescent="0.3">
      <c r="B3532" s="373"/>
      <c r="C3532" s="373"/>
      <c r="D3532" s="373"/>
      <c r="E3532" s="373"/>
      <c r="F3532" s="373"/>
      <c r="G3532" s="373"/>
      <c r="H3532" s="373"/>
      <c r="I3532" s="373"/>
    </row>
    <row r="3533" spans="2:15" ht="8.25" customHeight="1" x14ac:dyDescent="0.25">
      <c r="B3533" s="433" t="s">
        <v>335</v>
      </c>
      <c r="C3533" s="417"/>
      <c r="D3533" s="418"/>
      <c r="E3533" s="418"/>
      <c r="F3533" s="419"/>
      <c r="G3533" s="369" t="s">
        <v>336</v>
      </c>
      <c r="H3533" s="370"/>
      <c r="I3533" s="370"/>
    </row>
    <row r="3534" spans="2:15" ht="33.75" customHeight="1" x14ac:dyDescent="0.25">
      <c r="B3534" s="434"/>
      <c r="C3534" s="420"/>
      <c r="D3534" s="421"/>
      <c r="E3534" s="421"/>
      <c r="F3534" s="422"/>
      <c r="G3534" s="430" t="s">
        <v>337</v>
      </c>
      <c r="H3534" s="431"/>
      <c r="I3534" s="431"/>
      <c r="L3534" s="181"/>
      <c r="M3534" s="181"/>
      <c r="N3534" s="179"/>
    </row>
    <row r="3535" spans="2:15" ht="13.5" customHeight="1" x14ac:dyDescent="0.25">
      <c r="B3535" s="434"/>
      <c r="C3535" s="420"/>
      <c r="D3535" s="421"/>
      <c r="E3535" s="421"/>
      <c r="F3535" s="422"/>
      <c r="G3535" s="154" t="s">
        <v>92</v>
      </c>
      <c r="H3535" s="432" t="s">
        <v>93</v>
      </c>
      <c r="I3535" s="432"/>
    </row>
    <row r="3536" spans="2:15" ht="16.5" customHeight="1" x14ac:dyDescent="0.25">
      <c r="B3536" s="435"/>
      <c r="C3536" s="420"/>
      <c r="D3536" s="421"/>
      <c r="E3536" s="421"/>
      <c r="F3536" s="422"/>
      <c r="G3536" s="155" t="s">
        <v>94</v>
      </c>
      <c r="H3536" s="156" t="s">
        <v>95</v>
      </c>
      <c r="I3536" s="157" t="s">
        <v>96</v>
      </c>
    </row>
    <row r="3537" spans="2:9" x14ac:dyDescent="0.25">
      <c r="B3537" s="268" t="s">
        <v>18</v>
      </c>
      <c r="C3537" s="427"/>
      <c r="D3537" s="428"/>
      <c r="E3537" s="428"/>
      <c r="F3537" s="429"/>
      <c r="G3537" s="155" t="s">
        <v>98</v>
      </c>
      <c r="H3537" s="157" t="s">
        <v>99</v>
      </c>
      <c r="I3537" s="157" t="s">
        <v>100</v>
      </c>
    </row>
    <row r="3538" spans="2:9" x14ac:dyDescent="0.25">
      <c r="B3538" s="269" t="s">
        <v>97</v>
      </c>
      <c r="C3538" s="427"/>
      <c r="D3538" s="428"/>
      <c r="E3538" s="428"/>
      <c r="F3538" s="429"/>
      <c r="G3538" s="154" t="s">
        <v>338</v>
      </c>
      <c r="H3538" s="426"/>
      <c r="I3538" s="426"/>
    </row>
    <row r="3539" spans="2:9" ht="15.75" thickBot="1" x14ac:dyDescent="0.3">
      <c r="B3539" s="270" t="s">
        <v>101</v>
      </c>
      <c r="C3539" s="423"/>
      <c r="D3539" s="424"/>
      <c r="E3539" s="424"/>
      <c r="F3539" s="425"/>
      <c r="G3539" s="154" t="s">
        <v>102</v>
      </c>
      <c r="H3539" s="426" t="s">
        <v>103</v>
      </c>
      <c r="I3539" s="426"/>
    </row>
    <row r="3540" spans="2:9" ht="45" customHeight="1" thickBot="1" x14ac:dyDescent="0.3">
      <c r="B3540" s="401"/>
      <c r="C3540" s="402"/>
      <c r="D3540" s="402"/>
      <c r="E3540" s="402"/>
      <c r="F3540" s="403" t="s">
        <v>0</v>
      </c>
      <c r="G3540" s="403"/>
      <c r="H3540" s="403"/>
      <c r="I3540" s="404"/>
    </row>
    <row r="3541" spans="2:9" ht="6" customHeight="1" thickBot="1" x14ac:dyDescent="0.3">
      <c r="B3541" s="373"/>
      <c r="C3541" s="373"/>
      <c r="D3541" s="373"/>
      <c r="E3541" s="373"/>
      <c r="F3541" s="373"/>
      <c r="G3541" s="373"/>
      <c r="H3541" s="373"/>
      <c r="I3541" s="373"/>
    </row>
    <row r="3542" spans="2:9" ht="10.5" customHeight="1" x14ac:dyDescent="0.25">
      <c r="B3542" s="405" t="s">
        <v>294</v>
      </c>
      <c r="C3542" s="406"/>
      <c r="D3542" s="407" t="s">
        <v>295</v>
      </c>
      <c r="E3542" s="409" t="s">
        <v>296</v>
      </c>
      <c r="F3542" s="410"/>
      <c r="G3542" s="410"/>
      <c r="H3542" s="410"/>
      <c r="I3542" s="411"/>
    </row>
    <row r="3543" spans="2:9" ht="9" customHeight="1" thickBot="1" x14ac:dyDescent="0.3">
      <c r="B3543" s="415"/>
      <c r="C3543" s="416"/>
      <c r="D3543" s="408"/>
      <c r="E3543" s="412"/>
      <c r="F3543" s="413"/>
      <c r="G3543" s="413"/>
      <c r="H3543" s="413"/>
      <c r="I3543" s="414"/>
    </row>
    <row r="3544" spans="2:9" ht="6" customHeight="1" thickBot="1" x14ac:dyDescent="0.3">
      <c r="B3544" s="373"/>
      <c r="C3544" s="373"/>
      <c r="D3544" s="373"/>
      <c r="E3544" s="373"/>
      <c r="F3544" s="373"/>
      <c r="G3544" s="373"/>
      <c r="H3544" s="373"/>
      <c r="I3544" s="373"/>
    </row>
    <row r="3545" spans="2:9" ht="17.25" customHeight="1" thickBot="1" x14ac:dyDescent="0.3">
      <c r="B3545" s="390" t="s">
        <v>297</v>
      </c>
      <c r="C3545" s="391"/>
      <c r="D3545" s="392"/>
      <c r="E3545" s="393"/>
      <c r="F3545" s="393"/>
      <c r="G3545" s="394"/>
      <c r="H3545" s="127" t="s">
        <v>298</v>
      </c>
      <c r="I3545" s="128"/>
    </row>
    <row r="3546" spans="2:9" ht="6" customHeight="1" thickBot="1" x14ac:dyDescent="0.3">
      <c r="B3546" s="373"/>
      <c r="C3546" s="373"/>
      <c r="D3546" s="373"/>
      <c r="E3546" s="373"/>
      <c r="F3546" s="373"/>
      <c r="G3546" s="373"/>
      <c r="H3546" s="373"/>
      <c r="I3546" s="373"/>
    </row>
    <row r="3547" spans="2:9" ht="19.5" customHeight="1" x14ac:dyDescent="0.25">
      <c r="B3547" s="261" t="s">
        <v>299</v>
      </c>
      <c r="C3547" s="129" t="s">
        <v>300</v>
      </c>
      <c r="D3547" s="130" t="s">
        <v>301</v>
      </c>
      <c r="E3547" s="130" t="s">
        <v>302</v>
      </c>
      <c r="F3547" s="398" t="s">
        <v>303</v>
      </c>
      <c r="G3547" s="399"/>
      <c r="H3547" s="400"/>
      <c r="I3547" s="131" t="s">
        <v>304</v>
      </c>
    </row>
    <row r="3548" spans="2:9" ht="11.25" customHeight="1" x14ac:dyDescent="0.25">
      <c r="B3548" s="262"/>
      <c r="C3548" s="132"/>
      <c r="D3548" s="132" t="s">
        <v>305</v>
      </c>
      <c r="E3548" s="132" t="s">
        <v>306</v>
      </c>
      <c r="F3548" s="395" t="s">
        <v>339</v>
      </c>
      <c r="G3548" s="396"/>
      <c r="H3548" s="397"/>
      <c r="I3548" s="133"/>
    </row>
    <row r="3549" spans="2:9" ht="28.5" customHeight="1" x14ac:dyDescent="0.25">
      <c r="B3549" s="263" t="s">
        <v>307</v>
      </c>
      <c r="C3549" s="383" t="s">
        <v>414</v>
      </c>
      <c r="D3549" s="384"/>
      <c r="E3549" s="384"/>
      <c r="F3549" s="384"/>
      <c r="G3549" s="384"/>
      <c r="H3549" s="384"/>
      <c r="I3549" s="385"/>
    </row>
    <row r="3550" spans="2:9" ht="10.5" customHeight="1" x14ac:dyDescent="0.25">
      <c r="B3550" s="264" t="s">
        <v>129</v>
      </c>
      <c r="C3550" s="388" t="s">
        <v>308</v>
      </c>
      <c r="D3550" s="389"/>
      <c r="E3550" s="389"/>
      <c r="F3550" s="389"/>
      <c r="G3550" s="389"/>
      <c r="H3550" s="389"/>
      <c r="I3550" s="134" t="s">
        <v>130</v>
      </c>
    </row>
    <row r="3551" spans="2:9" ht="50.25" customHeight="1" thickBot="1" x14ac:dyDescent="0.3">
      <c r="B3551" s="265">
        <v>9.139999999999997</v>
      </c>
      <c r="C3551" s="386" t="s">
        <v>622</v>
      </c>
      <c r="D3551" s="387"/>
      <c r="E3551" s="387"/>
      <c r="F3551" s="387"/>
      <c r="G3551" s="387"/>
      <c r="H3551" s="387"/>
      <c r="I3551" s="135" t="s">
        <v>27</v>
      </c>
    </row>
    <row r="3552" spans="2:9" ht="6" customHeight="1" thickBot="1" x14ac:dyDescent="0.3">
      <c r="B3552" s="373"/>
      <c r="C3552" s="373"/>
      <c r="D3552" s="373"/>
      <c r="E3552" s="373"/>
      <c r="F3552" s="373"/>
      <c r="G3552" s="373"/>
      <c r="H3552" s="373"/>
      <c r="I3552" s="373"/>
    </row>
    <row r="3553" spans="2:15" x14ac:dyDescent="0.25">
      <c r="B3553" s="380" t="s">
        <v>309</v>
      </c>
      <c r="C3553" s="381"/>
      <c r="D3553" s="381"/>
      <c r="E3553" s="381"/>
      <c r="F3553" s="381"/>
      <c r="G3553" s="381"/>
      <c r="H3553" s="381"/>
      <c r="I3553" s="382"/>
      <c r="K3553" s="182"/>
    </row>
    <row r="3554" spans="2:15" ht="11.25" customHeight="1" x14ac:dyDescent="0.25">
      <c r="B3554" s="377" t="s">
        <v>310</v>
      </c>
      <c r="C3554" s="378"/>
      <c r="D3554" s="379"/>
      <c r="E3554" s="136"/>
      <c r="F3554" s="137" t="s">
        <v>311</v>
      </c>
      <c r="G3554" s="137" t="s">
        <v>312</v>
      </c>
      <c r="H3554" s="137" t="s">
        <v>313</v>
      </c>
      <c r="I3554" s="138" t="s">
        <v>314</v>
      </c>
      <c r="L3554" s="139"/>
      <c r="M3554" s="139"/>
    </row>
    <row r="3555" spans="2:15" ht="11.25" customHeight="1" x14ac:dyDescent="0.25">
      <c r="B3555" s="362" t="s">
        <v>315</v>
      </c>
      <c r="C3555" s="363"/>
      <c r="D3555" s="363"/>
      <c r="E3555" s="160"/>
      <c r="F3555" s="161" t="s">
        <v>316</v>
      </c>
      <c r="G3555" s="160">
        <v>5000</v>
      </c>
      <c r="H3555" s="142">
        <v>1.2</v>
      </c>
      <c r="I3555" s="143">
        <f>G3555*H3555</f>
        <v>6000</v>
      </c>
    </row>
    <row r="3556" spans="2:15" ht="16.5" customHeight="1" x14ac:dyDescent="0.25">
      <c r="B3556" s="362" t="s">
        <v>355</v>
      </c>
      <c r="C3556" s="363"/>
      <c r="D3556" s="363"/>
      <c r="E3556" s="160"/>
      <c r="F3556" s="161" t="s">
        <v>317</v>
      </c>
      <c r="G3556" s="160">
        <v>90000</v>
      </c>
      <c r="H3556" s="142">
        <f>+H3555</f>
        <v>1.2</v>
      </c>
      <c r="I3556" s="143">
        <f>G3556*H3556</f>
        <v>108000</v>
      </c>
    </row>
    <row r="3557" spans="2:15" ht="10.5" customHeight="1" thickBot="1" x14ac:dyDescent="0.3">
      <c r="B3557" s="371" t="s">
        <v>318</v>
      </c>
      <c r="C3557" s="372"/>
      <c r="D3557" s="372"/>
      <c r="E3557" s="372"/>
      <c r="F3557" s="372"/>
      <c r="G3557" s="372"/>
      <c r="H3557" s="372"/>
      <c r="I3557" s="144">
        <f>SUM(I3555:I3556)</f>
        <v>114000</v>
      </c>
      <c r="N3557" s="150"/>
    </row>
    <row r="3558" spans="2:15" ht="6" customHeight="1" thickBot="1" x14ac:dyDescent="0.3">
      <c r="B3558" s="373"/>
      <c r="C3558" s="373"/>
      <c r="D3558" s="373"/>
      <c r="E3558" s="373"/>
      <c r="F3558" s="373"/>
      <c r="G3558" s="373"/>
      <c r="H3558" s="373"/>
      <c r="I3558" s="373"/>
    </row>
    <row r="3559" spans="2:15" s="145" customFormat="1" x14ac:dyDescent="0.25">
      <c r="B3559" s="380" t="s">
        <v>319</v>
      </c>
      <c r="C3559" s="381"/>
      <c r="D3559" s="381"/>
      <c r="E3559" s="381"/>
      <c r="F3559" s="381"/>
      <c r="G3559" s="381"/>
      <c r="H3559" s="381"/>
      <c r="I3559" s="382"/>
    </row>
    <row r="3560" spans="2:15" s="145" customFormat="1" ht="15.75" customHeight="1" x14ac:dyDescent="0.25">
      <c r="B3560" s="377" t="s">
        <v>310</v>
      </c>
      <c r="C3560" s="378"/>
      <c r="D3560" s="379"/>
      <c r="E3560" s="137"/>
      <c r="F3560" s="137" t="s">
        <v>320</v>
      </c>
      <c r="G3560" s="137" t="s">
        <v>321</v>
      </c>
      <c r="H3560" s="137" t="s">
        <v>322</v>
      </c>
      <c r="I3560" s="138" t="s">
        <v>314</v>
      </c>
    </row>
    <row r="3561" spans="2:15" ht="72.75" customHeight="1" x14ac:dyDescent="0.25">
      <c r="B3561" s="436" t="s">
        <v>621</v>
      </c>
      <c r="C3561" s="437"/>
      <c r="D3561" s="438"/>
      <c r="E3561" s="163"/>
      <c r="F3561" s="161" t="s">
        <v>27</v>
      </c>
      <c r="G3561" s="160">
        <f>1189923+3062272+1673635-5059078+1+1165487+180285+1281173+1815635-885068</f>
        <v>4424265</v>
      </c>
      <c r="H3561" s="142">
        <v>1</v>
      </c>
      <c r="I3561" s="143">
        <f>G3561*H3561</f>
        <v>4424265</v>
      </c>
      <c r="M3561">
        <v>4608265</v>
      </c>
    </row>
    <row r="3562" spans="2:15" ht="18" customHeight="1" thickBot="1" x14ac:dyDescent="0.3">
      <c r="B3562" s="371" t="s">
        <v>318</v>
      </c>
      <c r="C3562" s="372"/>
      <c r="D3562" s="372"/>
      <c r="E3562" s="372"/>
      <c r="F3562" s="372"/>
      <c r="G3562" s="372"/>
      <c r="H3562" s="372"/>
      <c r="I3562" s="144">
        <f>SUM(I3561:I3561)</f>
        <v>4424265</v>
      </c>
      <c r="N3562" s="150"/>
    </row>
    <row r="3563" spans="2:15" ht="6" customHeight="1" thickBot="1" x14ac:dyDescent="0.3">
      <c r="B3563" s="373"/>
      <c r="C3563" s="373"/>
      <c r="D3563" s="373"/>
      <c r="E3563" s="373"/>
      <c r="F3563" s="373"/>
      <c r="G3563" s="373"/>
      <c r="H3563" s="373"/>
      <c r="I3563" s="373"/>
    </row>
    <row r="3564" spans="2:15" s="145" customFormat="1" x14ac:dyDescent="0.25">
      <c r="B3564" s="380" t="s">
        <v>323</v>
      </c>
      <c r="C3564" s="381"/>
      <c r="D3564" s="381"/>
      <c r="E3564" s="381"/>
      <c r="F3564" s="381"/>
      <c r="G3564" s="381"/>
      <c r="H3564" s="381"/>
      <c r="I3564" s="382"/>
      <c r="L3564" s="146"/>
      <c r="M3564" s="146"/>
    </row>
    <row r="3565" spans="2:15" s="145" customFormat="1" x14ac:dyDescent="0.25">
      <c r="B3565" s="377" t="s">
        <v>324</v>
      </c>
      <c r="C3565" s="378"/>
      <c r="D3565" s="379"/>
      <c r="E3565" s="137" t="s">
        <v>325</v>
      </c>
      <c r="F3565" s="137" t="s">
        <v>326</v>
      </c>
      <c r="G3565" s="137" t="s">
        <v>130</v>
      </c>
      <c r="H3565" s="137" t="s">
        <v>327</v>
      </c>
      <c r="I3565" s="138" t="s">
        <v>314</v>
      </c>
      <c r="K3565" s="260"/>
      <c r="N3565" s="183"/>
      <c r="O3565" s="148"/>
    </row>
    <row r="3566" spans="2:15" ht="11.25" customHeight="1" x14ac:dyDescent="0.25">
      <c r="B3566" s="362" t="s">
        <v>711</v>
      </c>
      <c r="C3566" s="363"/>
      <c r="D3566" s="363"/>
      <c r="E3566" s="170">
        <v>1</v>
      </c>
      <c r="F3566" s="164"/>
      <c r="G3566" s="161"/>
      <c r="H3566" s="162">
        <v>30000</v>
      </c>
      <c r="I3566" s="143">
        <f>H3566*E3566</f>
        <v>30000</v>
      </c>
      <c r="K3566" s="281"/>
    </row>
    <row r="3567" spans="2:15" ht="10.5" customHeight="1" thickBot="1" x14ac:dyDescent="0.3">
      <c r="B3567" s="371" t="s">
        <v>318</v>
      </c>
      <c r="C3567" s="372"/>
      <c r="D3567" s="372"/>
      <c r="E3567" s="372"/>
      <c r="F3567" s="372"/>
      <c r="G3567" s="372"/>
      <c r="H3567" s="372"/>
      <c r="I3567" s="144">
        <f>SUM(I3566:I3566)</f>
        <v>30000</v>
      </c>
      <c r="K3567" s="281"/>
      <c r="N3567" s="150"/>
    </row>
    <row r="3568" spans="2:15" ht="6" customHeight="1" thickBot="1" x14ac:dyDescent="0.3">
      <c r="B3568" s="373"/>
      <c r="C3568" s="373"/>
      <c r="D3568" s="373"/>
      <c r="E3568" s="373"/>
      <c r="F3568" s="373"/>
      <c r="G3568" s="373"/>
      <c r="H3568" s="373"/>
      <c r="I3568" s="373"/>
    </row>
    <row r="3569" spans="2:15" s="145" customFormat="1" ht="20.100000000000001" customHeight="1" x14ac:dyDescent="0.25">
      <c r="B3569" s="380" t="s">
        <v>328</v>
      </c>
      <c r="C3569" s="381"/>
      <c r="D3569" s="381"/>
      <c r="E3569" s="381"/>
      <c r="F3569" s="381"/>
      <c r="G3569" s="381"/>
      <c r="H3569" s="381"/>
      <c r="I3569" s="382"/>
      <c r="K3569" s="147">
        <f>+I3576-K3570</f>
        <v>0</v>
      </c>
      <c r="N3569" s="148"/>
      <c r="O3569" s="149"/>
    </row>
    <row r="3570" spans="2:15" s="145" customFormat="1" ht="20.100000000000001" customHeight="1" x14ac:dyDescent="0.25">
      <c r="B3570" s="377" t="s">
        <v>329</v>
      </c>
      <c r="C3570" s="379"/>
      <c r="D3570" s="137" t="s">
        <v>322</v>
      </c>
      <c r="E3570" s="137" t="s">
        <v>330</v>
      </c>
      <c r="F3570" s="137" t="s">
        <v>331</v>
      </c>
      <c r="G3570" s="137" t="s">
        <v>332</v>
      </c>
      <c r="H3570" s="137" t="s">
        <v>313</v>
      </c>
      <c r="I3570" s="138" t="s">
        <v>314</v>
      </c>
      <c r="K3570" s="147">
        <v>5228265</v>
      </c>
      <c r="O3570" s="179"/>
    </row>
    <row r="3571" spans="2:15" s="151" customFormat="1" ht="9.75" customHeight="1" x14ac:dyDescent="0.25">
      <c r="B3571" s="367" t="s">
        <v>356</v>
      </c>
      <c r="C3571" s="368"/>
      <c r="D3571" s="180">
        <v>1</v>
      </c>
      <c r="E3571" s="141">
        <v>140000</v>
      </c>
      <c r="F3571" s="141">
        <f>+E3571*0.8</f>
        <v>112000</v>
      </c>
      <c r="G3571" s="178">
        <f>D3571*E3571+F3571*D3571</f>
        <v>252000</v>
      </c>
      <c r="H3571" s="184">
        <v>0.9</v>
      </c>
      <c r="I3571" s="143">
        <f>+G3571/H3571</f>
        <v>280000</v>
      </c>
      <c r="J3571" s="145"/>
      <c r="K3571" s="147"/>
    </row>
    <row r="3572" spans="2:15" s="151" customFormat="1" ht="11.25" customHeight="1" x14ac:dyDescent="0.25">
      <c r="B3572" s="367" t="s">
        <v>374</v>
      </c>
      <c r="C3572" s="368"/>
      <c r="D3572" s="180">
        <v>1</v>
      </c>
      <c r="E3572" s="141">
        <v>80000</v>
      </c>
      <c r="F3572" s="141">
        <f>+E3572*0.8</f>
        <v>64000</v>
      </c>
      <c r="G3572" s="178">
        <f>D3572*E3572+F3572*D3572</f>
        <v>144000</v>
      </c>
      <c r="H3572" s="184">
        <f>+H3571</f>
        <v>0.9</v>
      </c>
      <c r="I3572" s="143">
        <f>+G3572/H3572</f>
        <v>160000</v>
      </c>
      <c r="J3572" s="145"/>
      <c r="K3572" s="147"/>
      <c r="L3572" s="179"/>
      <c r="M3572" s="179"/>
    </row>
    <row r="3573" spans="2:15" s="145" customFormat="1" ht="10.5" customHeight="1" x14ac:dyDescent="0.25">
      <c r="B3573" s="367" t="s">
        <v>333</v>
      </c>
      <c r="C3573" s="368"/>
      <c r="D3573" s="180">
        <v>2</v>
      </c>
      <c r="E3573" s="141">
        <v>55000</v>
      </c>
      <c r="F3573" s="141">
        <f>+E3573*0.8</f>
        <v>44000</v>
      </c>
      <c r="G3573" s="178">
        <f>D3573*E3573+F3573*D3573</f>
        <v>198000</v>
      </c>
      <c r="H3573" s="184">
        <f>+H3572</f>
        <v>0.9</v>
      </c>
      <c r="I3573" s="143">
        <f>+G3573/H3573</f>
        <v>220000</v>
      </c>
      <c r="K3573" s="147"/>
    </row>
    <row r="3574" spans="2:15" ht="10.5" customHeight="1" thickBot="1" x14ac:dyDescent="0.3">
      <c r="B3574" s="371" t="s">
        <v>318</v>
      </c>
      <c r="C3574" s="372"/>
      <c r="D3574" s="372"/>
      <c r="E3574" s="372"/>
      <c r="F3574" s="372"/>
      <c r="G3574" s="372"/>
      <c r="H3574" s="372"/>
      <c r="I3574" s="144">
        <f>SUM(I3571:I3573)</f>
        <v>660000</v>
      </c>
      <c r="K3574" s="281"/>
      <c r="N3574" s="150"/>
    </row>
    <row r="3575" spans="2:15" ht="6" customHeight="1" thickBot="1" x14ac:dyDescent="0.3">
      <c r="B3575" s="373"/>
      <c r="C3575" s="373"/>
      <c r="D3575" s="373"/>
      <c r="E3575" s="373"/>
      <c r="F3575" s="373"/>
      <c r="G3575" s="373"/>
      <c r="H3575" s="373"/>
      <c r="I3575" s="373"/>
    </row>
    <row r="3576" spans="2:15" ht="10.5" customHeight="1" thickBot="1" x14ac:dyDescent="0.3">
      <c r="B3576" s="374" t="s">
        <v>334</v>
      </c>
      <c r="C3576" s="375"/>
      <c r="D3576" s="375"/>
      <c r="E3576" s="375"/>
      <c r="F3576" s="375"/>
      <c r="G3576" s="375"/>
      <c r="H3576" s="376"/>
      <c r="I3576" s="152">
        <f>ROUND(+I3557+I3562+I3567+I3574,0)</f>
        <v>5228265</v>
      </c>
      <c r="J3576" s="281"/>
      <c r="K3576" s="169"/>
      <c r="L3576" s="181"/>
      <c r="M3576" s="181"/>
      <c r="N3576" s="153"/>
    </row>
    <row r="3577" spans="2:15" ht="6" customHeight="1" thickBot="1" x14ac:dyDescent="0.3">
      <c r="B3577" s="373"/>
      <c r="C3577" s="373"/>
      <c r="D3577" s="373"/>
      <c r="E3577" s="373"/>
      <c r="F3577" s="373"/>
      <c r="G3577" s="373"/>
      <c r="H3577" s="373"/>
      <c r="I3577" s="373"/>
    </row>
    <row r="3578" spans="2:15" ht="8.25" customHeight="1" x14ac:dyDescent="0.25">
      <c r="B3578" s="433" t="s">
        <v>335</v>
      </c>
      <c r="C3578" s="417"/>
      <c r="D3578" s="418"/>
      <c r="E3578" s="418"/>
      <c r="F3578" s="419"/>
      <c r="G3578" s="369" t="s">
        <v>336</v>
      </c>
      <c r="H3578" s="370"/>
      <c r="I3578" s="370"/>
    </row>
    <row r="3579" spans="2:15" ht="33.75" customHeight="1" x14ac:dyDescent="0.25">
      <c r="B3579" s="434"/>
      <c r="C3579" s="420"/>
      <c r="D3579" s="421"/>
      <c r="E3579" s="421"/>
      <c r="F3579" s="422"/>
      <c r="G3579" s="430" t="s">
        <v>337</v>
      </c>
      <c r="H3579" s="431"/>
      <c r="I3579" s="431"/>
      <c r="L3579" s="181"/>
      <c r="M3579" s="181"/>
      <c r="N3579" s="179"/>
    </row>
    <row r="3580" spans="2:15" ht="13.5" customHeight="1" x14ac:dyDescent="0.25">
      <c r="B3580" s="434"/>
      <c r="C3580" s="420"/>
      <c r="D3580" s="421"/>
      <c r="E3580" s="421"/>
      <c r="F3580" s="422"/>
      <c r="G3580" s="154" t="s">
        <v>92</v>
      </c>
      <c r="H3580" s="432" t="s">
        <v>93</v>
      </c>
      <c r="I3580" s="432"/>
    </row>
    <row r="3581" spans="2:15" ht="16.5" customHeight="1" x14ac:dyDescent="0.25">
      <c r="B3581" s="435"/>
      <c r="C3581" s="420"/>
      <c r="D3581" s="421"/>
      <c r="E3581" s="421"/>
      <c r="F3581" s="422"/>
      <c r="G3581" s="155" t="s">
        <v>94</v>
      </c>
      <c r="H3581" s="156" t="s">
        <v>95</v>
      </c>
      <c r="I3581" s="157" t="s">
        <v>96</v>
      </c>
    </row>
    <row r="3582" spans="2:15" x14ac:dyDescent="0.25">
      <c r="B3582" s="268" t="s">
        <v>18</v>
      </c>
      <c r="C3582" s="427"/>
      <c r="D3582" s="428"/>
      <c r="E3582" s="428"/>
      <c r="F3582" s="429"/>
      <c r="G3582" s="155" t="s">
        <v>98</v>
      </c>
      <c r="H3582" s="157" t="s">
        <v>99</v>
      </c>
      <c r="I3582" s="157" t="s">
        <v>100</v>
      </c>
    </row>
    <row r="3583" spans="2:15" x14ac:dyDescent="0.25">
      <c r="B3583" s="269" t="s">
        <v>97</v>
      </c>
      <c r="C3583" s="427"/>
      <c r="D3583" s="428"/>
      <c r="E3583" s="428"/>
      <c r="F3583" s="429"/>
      <c r="G3583" s="154" t="s">
        <v>338</v>
      </c>
      <c r="H3583" s="426"/>
      <c r="I3583" s="426"/>
    </row>
    <row r="3584" spans="2:15" ht="15.75" thickBot="1" x14ac:dyDescent="0.3">
      <c r="B3584" s="270" t="s">
        <v>101</v>
      </c>
      <c r="C3584" s="423"/>
      <c r="D3584" s="424"/>
      <c r="E3584" s="424"/>
      <c r="F3584" s="425"/>
      <c r="G3584" s="154" t="s">
        <v>102</v>
      </c>
      <c r="H3584" s="426" t="s">
        <v>103</v>
      </c>
      <c r="I3584" s="426"/>
    </row>
    <row r="3585" spans="2:13" ht="45" customHeight="1" thickBot="1" x14ac:dyDescent="0.3">
      <c r="B3585" s="401"/>
      <c r="C3585" s="402"/>
      <c r="D3585" s="402"/>
      <c r="E3585" s="402"/>
      <c r="F3585" s="403" t="s">
        <v>0</v>
      </c>
      <c r="G3585" s="403"/>
      <c r="H3585" s="403"/>
      <c r="I3585" s="404"/>
    </row>
    <row r="3586" spans="2:13" ht="6" customHeight="1" thickBot="1" x14ac:dyDescent="0.3">
      <c r="B3586" s="373"/>
      <c r="C3586" s="373"/>
      <c r="D3586" s="373"/>
      <c r="E3586" s="373"/>
      <c r="F3586" s="373"/>
      <c r="G3586" s="373"/>
      <c r="H3586" s="373"/>
      <c r="I3586" s="373"/>
    </row>
    <row r="3587" spans="2:13" ht="10.5" customHeight="1" x14ac:dyDescent="0.25">
      <c r="B3587" s="405" t="s">
        <v>294</v>
      </c>
      <c r="C3587" s="406"/>
      <c r="D3587" s="407" t="s">
        <v>295</v>
      </c>
      <c r="E3587" s="409" t="s">
        <v>296</v>
      </c>
      <c r="F3587" s="410"/>
      <c r="G3587" s="410"/>
      <c r="H3587" s="410"/>
      <c r="I3587" s="411"/>
    </row>
    <row r="3588" spans="2:13" ht="9" customHeight="1" thickBot="1" x14ac:dyDescent="0.3">
      <c r="B3588" s="415"/>
      <c r="C3588" s="416"/>
      <c r="D3588" s="408"/>
      <c r="E3588" s="412"/>
      <c r="F3588" s="413"/>
      <c r="G3588" s="413"/>
      <c r="H3588" s="413"/>
      <c r="I3588" s="414"/>
    </row>
    <row r="3589" spans="2:13" ht="6" customHeight="1" thickBot="1" x14ac:dyDescent="0.3">
      <c r="B3589" s="373"/>
      <c r="C3589" s="373"/>
      <c r="D3589" s="373"/>
      <c r="E3589" s="373"/>
      <c r="F3589" s="373"/>
      <c r="G3589" s="373"/>
      <c r="H3589" s="373"/>
      <c r="I3589" s="373"/>
    </row>
    <row r="3590" spans="2:13" ht="17.25" customHeight="1" thickBot="1" x14ac:dyDescent="0.3">
      <c r="B3590" s="390" t="s">
        <v>297</v>
      </c>
      <c r="C3590" s="391"/>
      <c r="D3590" s="392"/>
      <c r="E3590" s="393"/>
      <c r="F3590" s="393"/>
      <c r="G3590" s="394"/>
      <c r="H3590" s="127" t="s">
        <v>298</v>
      </c>
      <c r="I3590" s="128"/>
    </row>
    <row r="3591" spans="2:13" ht="6" customHeight="1" thickBot="1" x14ac:dyDescent="0.3">
      <c r="B3591" s="373"/>
      <c r="C3591" s="373"/>
      <c r="D3591" s="373"/>
      <c r="E3591" s="373"/>
      <c r="F3591" s="373"/>
      <c r="G3591" s="373"/>
      <c r="H3591" s="373"/>
      <c r="I3591" s="373"/>
    </row>
    <row r="3592" spans="2:13" ht="19.5" customHeight="1" x14ac:dyDescent="0.25">
      <c r="B3592" s="261" t="s">
        <v>299</v>
      </c>
      <c r="C3592" s="129" t="s">
        <v>300</v>
      </c>
      <c r="D3592" s="130" t="s">
        <v>301</v>
      </c>
      <c r="E3592" s="130" t="s">
        <v>302</v>
      </c>
      <c r="F3592" s="398" t="s">
        <v>303</v>
      </c>
      <c r="G3592" s="399"/>
      <c r="H3592" s="400"/>
      <c r="I3592" s="131" t="s">
        <v>304</v>
      </c>
    </row>
    <row r="3593" spans="2:13" ht="11.25" customHeight="1" x14ac:dyDescent="0.25">
      <c r="B3593" s="262"/>
      <c r="C3593" s="132"/>
      <c r="D3593" s="132" t="s">
        <v>305</v>
      </c>
      <c r="E3593" s="132" t="s">
        <v>306</v>
      </c>
      <c r="F3593" s="395" t="s">
        <v>339</v>
      </c>
      <c r="G3593" s="396"/>
      <c r="H3593" s="397"/>
      <c r="I3593" s="133"/>
    </row>
    <row r="3594" spans="2:13" ht="28.5" customHeight="1" x14ac:dyDescent="0.25">
      <c r="B3594" s="263" t="s">
        <v>307</v>
      </c>
      <c r="C3594" s="383" t="s">
        <v>414</v>
      </c>
      <c r="D3594" s="384"/>
      <c r="E3594" s="384"/>
      <c r="F3594" s="384"/>
      <c r="G3594" s="384"/>
      <c r="H3594" s="384"/>
      <c r="I3594" s="385"/>
    </row>
    <row r="3595" spans="2:13" ht="10.5" customHeight="1" x14ac:dyDescent="0.25">
      <c r="B3595" s="264" t="s">
        <v>129</v>
      </c>
      <c r="C3595" s="388" t="s">
        <v>308</v>
      </c>
      <c r="D3595" s="389"/>
      <c r="E3595" s="389"/>
      <c r="F3595" s="389"/>
      <c r="G3595" s="389"/>
      <c r="H3595" s="389"/>
      <c r="I3595" s="134" t="s">
        <v>130</v>
      </c>
    </row>
    <row r="3596" spans="2:13" ht="50.25" customHeight="1" thickBot="1" x14ac:dyDescent="0.3">
      <c r="B3596" s="265">
        <v>9.1499999999999968</v>
      </c>
      <c r="C3596" s="386" t="s">
        <v>623</v>
      </c>
      <c r="D3596" s="387"/>
      <c r="E3596" s="387"/>
      <c r="F3596" s="387"/>
      <c r="G3596" s="387"/>
      <c r="H3596" s="387"/>
      <c r="I3596" s="135" t="s">
        <v>27</v>
      </c>
    </row>
    <row r="3597" spans="2:13" ht="6" customHeight="1" thickBot="1" x14ac:dyDescent="0.3">
      <c r="B3597" s="373"/>
      <c r="C3597" s="373"/>
      <c r="D3597" s="373"/>
      <c r="E3597" s="373"/>
      <c r="F3597" s="373"/>
      <c r="G3597" s="373"/>
      <c r="H3597" s="373"/>
      <c r="I3597" s="373"/>
    </row>
    <row r="3598" spans="2:13" x14ac:dyDescent="0.25">
      <c r="B3598" s="380" t="s">
        <v>309</v>
      </c>
      <c r="C3598" s="381"/>
      <c r="D3598" s="381"/>
      <c r="E3598" s="381"/>
      <c r="F3598" s="381"/>
      <c r="G3598" s="381"/>
      <c r="H3598" s="381"/>
      <c r="I3598" s="382"/>
      <c r="K3598" s="182"/>
    </row>
    <row r="3599" spans="2:13" ht="11.25" customHeight="1" x14ac:dyDescent="0.25">
      <c r="B3599" s="377" t="s">
        <v>310</v>
      </c>
      <c r="C3599" s="378"/>
      <c r="D3599" s="379"/>
      <c r="E3599" s="136"/>
      <c r="F3599" s="137" t="s">
        <v>311</v>
      </c>
      <c r="G3599" s="137" t="s">
        <v>312</v>
      </c>
      <c r="H3599" s="137" t="s">
        <v>313</v>
      </c>
      <c r="I3599" s="138" t="s">
        <v>314</v>
      </c>
      <c r="L3599" s="139"/>
      <c r="M3599" s="139"/>
    </row>
    <row r="3600" spans="2:13" ht="11.25" customHeight="1" x14ac:dyDescent="0.25">
      <c r="B3600" s="362" t="s">
        <v>315</v>
      </c>
      <c r="C3600" s="363"/>
      <c r="D3600" s="363"/>
      <c r="E3600" s="160"/>
      <c r="F3600" s="161" t="s">
        <v>316</v>
      </c>
      <c r="G3600" s="160">
        <v>5000</v>
      </c>
      <c r="H3600" s="142">
        <v>1.2</v>
      </c>
      <c r="I3600" s="143">
        <f>G3600*H3600</f>
        <v>6000</v>
      </c>
    </row>
    <row r="3601" spans="2:15" ht="16.5" customHeight="1" x14ac:dyDescent="0.25">
      <c r="B3601" s="362" t="s">
        <v>355</v>
      </c>
      <c r="C3601" s="363"/>
      <c r="D3601" s="363"/>
      <c r="E3601" s="160"/>
      <c r="F3601" s="161" t="s">
        <v>317</v>
      </c>
      <c r="G3601" s="160">
        <v>90000</v>
      </c>
      <c r="H3601" s="142">
        <f>+H3600</f>
        <v>1.2</v>
      </c>
      <c r="I3601" s="143">
        <f>G3601*H3601</f>
        <v>108000</v>
      </c>
    </row>
    <row r="3602" spans="2:15" ht="10.5" customHeight="1" thickBot="1" x14ac:dyDescent="0.3">
      <c r="B3602" s="371" t="s">
        <v>318</v>
      </c>
      <c r="C3602" s="372"/>
      <c r="D3602" s="372"/>
      <c r="E3602" s="372"/>
      <c r="F3602" s="372"/>
      <c r="G3602" s="372"/>
      <c r="H3602" s="372"/>
      <c r="I3602" s="144">
        <f>SUM(I3600:I3601)</f>
        <v>114000</v>
      </c>
      <c r="N3602" s="150"/>
    </row>
    <row r="3603" spans="2:15" ht="6" customHeight="1" thickBot="1" x14ac:dyDescent="0.3">
      <c r="B3603" s="373"/>
      <c r="C3603" s="373"/>
      <c r="D3603" s="373"/>
      <c r="E3603" s="373"/>
      <c r="F3603" s="373"/>
      <c r="G3603" s="373"/>
      <c r="H3603" s="373"/>
      <c r="I3603" s="373"/>
    </row>
    <row r="3604" spans="2:15" s="145" customFormat="1" x14ac:dyDescent="0.25">
      <c r="B3604" s="380" t="s">
        <v>319</v>
      </c>
      <c r="C3604" s="381"/>
      <c r="D3604" s="381"/>
      <c r="E3604" s="381"/>
      <c r="F3604" s="381"/>
      <c r="G3604" s="381"/>
      <c r="H3604" s="381"/>
      <c r="I3604" s="382"/>
    </row>
    <row r="3605" spans="2:15" s="145" customFormat="1" ht="15.75" customHeight="1" x14ac:dyDescent="0.25">
      <c r="B3605" s="377" t="s">
        <v>310</v>
      </c>
      <c r="C3605" s="378"/>
      <c r="D3605" s="379"/>
      <c r="E3605" s="137"/>
      <c r="F3605" s="137" t="s">
        <v>320</v>
      </c>
      <c r="G3605" s="137" t="s">
        <v>321</v>
      </c>
      <c r="H3605" s="137" t="s">
        <v>322</v>
      </c>
      <c r="I3605" s="138" t="s">
        <v>314</v>
      </c>
    </row>
    <row r="3606" spans="2:15" ht="72.75" customHeight="1" x14ac:dyDescent="0.25">
      <c r="B3606" s="436" t="s">
        <v>623</v>
      </c>
      <c r="C3606" s="437"/>
      <c r="D3606" s="438"/>
      <c r="E3606" s="163"/>
      <c r="F3606" s="161" t="s">
        <v>27</v>
      </c>
      <c r="G3606" s="160">
        <f>1189923+3062272+1673635-5059078+1+1165487+180285+1281173+1815635-975211+1</f>
        <v>4334123</v>
      </c>
      <c r="H3606" s="142">
        <v>1</v>
      </c>
      <c r="I3606" s="143">
        <f>G3606*H3606</f>
        <v>4334123</v>
      </c>
      <c r="M3606">
        <v>4608265</v>
      </c>
    </row>
    <row r="3607" spans="2:15" ht="18" customHeight="1" thickBot="1" x14ac:dyDescent="0.3">
      <c r="B3607" s="371" t="s">
        <v>318</v>
      </c>
      <c r="C3607" s="372"/>
      <c r="D3607" s="372"/>
      <c r="E3607" s="372"/>
      <c r="F3607" s="372"/>
      <c r="G3607" s="372"/>
      <c r="H3607" s="372"/>
      <c r="I3607" s="144">
        <f>SUM(I3606:I3606)</f>
        <v>4334123</v>
      </c>
      <c r="N3607" s="150"/>
    </row>
    <row r="3608" spans="2:15" ht="6" customHeight="1" thickBot="1" x14ac:dyDescent="0.3">
      <c r="B3608" s="373"/>
      <c r="C3608" s="373"/>
      <c r="D3608" s="373"/>
      <c r="E3608" s="373"/>
      <c r="F3608" s="373"/>
      <c r="G3608" s="373"/>
      <c r="H3608" s="373"/>
      <c r="I3608" s="373"/>
    </row>
    <row r="3609" spans="2:15" s="145" customFormat="1" x14ac:dyDescent="0.25">
      <c r="B3609" s="380" t="s">
        <v>323</v>
      </c>
      <c r="C3609" s="381"/>
      <c r="D3609" s="381"/>
      <c r="E3609" s="381"/>
      <c r="F3609" s="381"/>
      <c r="G3609" s="381"/>
      <c r="H3609" s="381"/>
      <c r="I3609" s="382"/>
      <c r="L3609" s="146"/>
      <c r="M3609" s="146"/>
    </row>
    <row r="3610" spans="2:15" s="145" customFormat="1" x14ac:dyDescent="0.25">
      <c r="B3610" s="377" t="s">
        <v>324</v>
      </c>
      <c r="C3610" s="378"/>
      <c r="D3610" s="379"/>
      <c r="E3610" s="137" t="s">
        <v>325</v>
      </c>
      <c r="F3610" s="137" t="s">
        <v>326</v>
      </c>
      <c r="G3610" s="137" t="s">
        <v>130</v>
      </c>
      <c r="H3610" s="137" t="s">
        <v>327</v>
      </c>
      <c r="I3610" s="138" t="s">
        <v>314</v>
      </c>
      <c r="K3610" s="260"/>
      <c r="N3610" s="183"/>
      <c r="O3610" s="148"/>
    </row>
    <row r="3611" spans="2:15" ht="11.25" customHeight="1" x14ac:dyDescent="0.25">
      <c r="B3611" s="362" t="s">
        <v>711</v>
      </c>
      <c r="C3611" s="363"/>
      <c r="D3611" s="363"/>
      <c r="E3611" s="170">
        <v>1</v>
      </c>
      <c r="F3611" s="164"/>
      <c r="G3611" s="161"/>
      <c r="H3611" s="162">
        <v>30000</v>
      </c>
      <c r="I3611" s="143">
        <f>H3611*E3611</f>
        <v>30000</v>
      </c>
      <c r="K3611" s="281"/>
    </row>
    <row r="3612" spans="2:15" ht="10.5" customHeight="1" thickBot="1" x14ac:dyDescent="0.3">
      <c r="B3612" s="371" t="s">
        <v>318</v>
      </c>
      <c r="C3612" s="372"/>
      <c r="D3612" s="372"/>
      <c r="E3612" s="372"/>
      <c r="F3612" s="372"/>
      <c r="G3612" s="372"/>
      <c r="H3612" s="372"/>
      <c r="I3612" s="144">
        <f>SUM(I3611:I3611)</f>
        <v>30000</v>
      </c>
      <c r="K3612" s="281"/>
      <c r="N3612" s="150"/>
    </row>
    <row r="3613" spans="2:15" ht="6" customHeight="1" thickBot="1" x14ac:dyDescent="0.3">
      <c r="B3613" s="373"/>
      <c r="C3613" s="373"/>
      <c r="D3613" s="373"/>
      <c r="E3613" s="373"/>
      <c r="F3613" s="373"/>
      <c r="G3613" s="373"/>
      <c r="H3613" s="373"/>
      <c r="I3613" s="373"/>
    </row>
    <row r="3614" spans="2:15" s="145" customFormat="1" ht="20.100000000000001" customHeight="1" x14ac:dyDescent="0.25">
      <c r="B3614" s="380" t="s">
        <v>328</v>
      </c>
      <c r="C3614" s="381"/>
      <c r="D3614" s="381"/>
      <c r="E3614" s="381"/>
      <c r="F3614" s="381"/>
      <c r="G3614" s="381"/>
      <c r="H3614" s="381"/>
      <c r="I3614" s="382"/>
      <c r="K3614" s="147">
        <v>5138122.5</v>
      </c>
      <c r="N3614" s="148"/>
      <c r="O3614" s="149"/>
    </row>
    <row r="3615" spans="2:15" s="145" customFormat="1" ht="20.100000000000001" customHeight="1" x14ac:dyDescent="0.25">
      <c r="B3615" s="377" t="s">
        <v>329</v>
      </c>
      <c r="C3615" s="379"/>
      <c r="D3615" s="137" t="s">
        <v>322</v>
      </c>
      <c r="E3615" s="137" t="s">
        <v>330</v>
      </c>
      <c r="F3615" s="137" t="s">
        <v>331</v>
      </c>
      <c r="G3615" s="137" t="s">
        <v>332</v>
      </c>
      <c r="H3615" s="137" t="s">
        <v>313</v>
      </c>
      <c r="I3615" s="138" t="s">
        <v>314</v>
      </c>
      <c r="K3615" s="147">
        <f>+K3614-I3621</f>
        <v>-0.5</v>
      </c>
      <c r="O3615" s="179"/>
    </row>
    <row r="3616" spans="2:15" s="151" customFormat="1" ht="9.75" customHeight="1" x14ac:dyDescent="0.25">
      <c r="B3616" s="367" t="s">
        <v>356</v>
      </c>
      <c r="C3616" s="368"/>
      <c r="D3616" s="180">
        <v>1</v>
      </c>
      <c r="E3616" s="141">
        <v>140000</v>
      </c>
      <c r="F3616" s="141">
        <f>+E3616*0.8</f>
        <v>112000</v>
      </c>
      <c r="G3616" s="178">
        <f>D3616*E3616+F3616*D3616</f>
        <v>252000</v>
      </c>
      <c r="H3616" s="184">
        <v>0.9</v>
      </c>
      <c r="I3616" s="143">
        <f>+G3616/H3616</f>
        <v>280000</v>
      </c>
      <c r="J3616" s="145"/>
      <c r="K3616" s="147"/>
    </row>
    <row r="3617" spans="2:14" s="151" customFormat="1" ht="11.25" customHeight="1" x14ac:dyDescent="0.25">
      <c r="B3617" s="367" t="s">
        <v>374</v>
      </c>
      <c r="C3617" s="368"/>
      <c r="D3617" s="180">
        <v>1</v>
      </c>
      <c r="E3617" s="141">
        <v>80000</v>
      </c>
      <c r="F3617" s="141">
        <f>+E3617*0.8</f>
        <v>64000</v>
      </c>
      <c r="G3617" s="178">
        <f>D3617*E3617+F3617*D3617</f>
        <v>144000</v>
      </c>
      <c r="H3617" s="184">
        <f>+H3616</f>
        <v>0.9</v>
      </c>
      <c r="I3617" s="143">
        <f>+G3617/H3617</f>
        <v>160000</v>
      </c>
      <c r="J3617" s="145"/>
      <c r="K3617" s="147"/>
      <c r="L3617" s="179"/>
      <c r="M3617" s="179"/>
    </row>
    <row r="3618" spans="2:14" s="145" customFormat="1" ht="10.5" customHeight="1" x14ac:dyDescent="0.25">
      <c r="B3618" s="367" t="s">
        <v>333</v>
      </c>
      <c r="C3618" s="368"/>
      <c r="D3618" s="180">
        <v>2</v>
      </c>
      <c r="E3618" s="141">
        <v>55000</v>
      </c>
      <c r="F3618" s="141">
        <f>+E3618*0.8</f>
        <v>44000</v>
      </c>
      <c r="G3618" s="178">
        <f>D3618*E3618+F3618*D3618</f>
        <v>198000</v>
      </c>
      <c r="H3618" s="184">
        <f>+H3617</f>
        <v>0.9</v>
      </c>
      <c r="I3618" s="143">
        <f>+G3618/H3618</f>
        <v>220000</v>
      </c>
      <c r="K3618" s="147"/>
    </row>
    <row r="3619" spans="2:14" ht="10.5" customHeight="1" thickBot="1" x14ac:dyDescent="0.3">
      <c r="B3619" s="371" t="s">
        <v>318</v>
      </c>
      <c r="C3619" s="372"/>
      <c r="D3619" s="372"/>
      <c r="E3619" s="372"/>
      <c r="F3619" s="372"/>
      <c r="G3619" s="372"/>
      <c r="H3619" s="372"/>
      <c r="I3619" s="144">
        <f>SUM(I3616:I3618)</f>
        <v>660000</v>
      </c>
      <c r="K3619" s="281"/>
      <c r="N3619" s="150"/>
    </row>
    <row r="3620" spans="2:14" ht="6" customHeight="1" thickBot="1" x14ac:dyDescent="0.3">
      <c r="B3620" s="373"/>
      <c r="C3620" s="373"/>
      <c r="D3620" s="373"/>
      <c r="E3620" s="373"/>
      <c r="F3620" s="373"/>
      <c r="G3620" s="373"/>
      <c r="H3620" s="373"/>
      <c r="I3620" s="373"/>
    </row>
    <row r="3621" spans="2:14" ht="10.5" customHeight="1" thickBot="1" x14ac:dyDescent="0.3">
      <c r="B3621" s="374" t="s">
        <v>334</v>
      </c>
      <c r="C3621" s="375"/>
      <c r="D3621" s="375"/>
      <c r="E3621" s="375"/>
      <c r="F3621" s="375"/>
      <c r="G3621" s="375"/>
      <c r="H3621" s="376"/>
      <c r="I3621" s="152">
        <f>ROUND(+I3602+I3607+I3612+I3619,0)</f>
        <v>5138123</v>
      </c>
      <c r="J3621" s="281"/>
      <c r="K3621" s="169"/>
      <c r="L3621" s="181"/>
      <c r="M3621" s="181"/>
      <c r="N3621" s="153"/>
    </row>
    <row r="3622" spans="2:14" ht="6" customHeight="1" thickBot="1" x14ac:dyDescent="0.3">
      <c r="B3622" s="373"/>
      <c r="C3622" s="373"/>
      <c r="D3622" s="373"/>
      <c r="E3622" s="373"/>
      <c r="F3622" s="373"/>
      <c r="G3622" s="373"/>
      <c r="H3622" s="373"/>
      <c r="I3622" s="373"/>
    </row>
    <row r="3623" spans="2:14" ht="8.25" customHeight="1" x14ac:dyDescent="0.25">
      <c r="B3623" s="433" t="s">
        <v>335</v>
      </c>
      <c r="C3623" s="417"/>
      <c r="D3623" s="418"/>
      <c r="E3623" s="418"/>
      <c r="F3623" s="419"/>
      <c r="G3623" s="369" t="s">
        <v>336</v>
      </c>
      <c r="H3623" s="370"/>
      <c r="I3623" s="370"/>
    </row>
    <row r="3624" spans="2:14" ht="33.75" customHeight="1" x14ac:dyDescent="0.25">
      <c r="B3624" s="434"/>
      <c r="C3624" s="420"/>
      <c r="D3624" s="421"/>
      <c r="E3624" s="421"/>
      <c r="F3624" s="422"/>
      <c r="G3624" s="430" t="s">
        <v>337</v>
      </c>
      <c r="H3624" s="431"/>
      <c r="I3624" s="431"/>
      <c r="L3624" s="181"/>
      <c r="M3624" s="181"/>
      <c r="N3624" s="179"/>
    </row>
    <row r="3625" spans="2:14" ht="13.5" customHeight="1" x14ac:dyDescent="0.25">
      <c r="B3625" s="434"/>
      <c r="C3625" s="420"/>
      <c r="D3625" s="421"/>
      <c r="E3625" s="421"/>
      <c r="F3625" s="422"/>
      <c r="G3625" s="154" t="s">
        <v>92</v>
      </c>
      <c r="H3625" s="432" t="s">
        <v>93</v>
      </c>
      <c r="I3625" s="432"/>
    </row>
    <row r="3626" spans="2:14" ht="16.5" customHeight="1" x14ac:dyDescent="0.25">
      <c r="B3626" s="435"/>
      <c r="C3626" s="420"/>
      <c r="D3626" s="421"/>
      <c r="E3626" s="421"/>
      <c r="F3626" s="422"/>
      <c r="G3626" s="155" t="s">
        <v>94</v>
      </c>
      <c r="H3626" s="156" t="s">
        <v>95</v>
      </c>
      <c r="I3626" s="157" t="s">
        <v>96</v>
      </c>
    </row>
    <row r="3627" spans="2:14" x14ac:dyDescent="0.25">
      <c r="B3627" s="268" t="s">
        <v>18</v>
      </c>
      <c r="C3627" s="427"/>
      <c r="D3627" s="428"/>
      <c r="E3627" s="428"/>
      <c r="F3627" s="429"/>
      <c r="G3627" s="155" t="s">
        <v>98</v>
      </c>
      <c r="H3627" s="157" t="s">
        <v>99</v>
      </c>
      <c r="I3627" s="157" t="s">
        <v>100</v>
      </c>
    </row>
    <row r="3628" spans="2:14" x14ac:dyDescent="0.25">
      <c r="B3628" s="269" t="s">
        <v>97</v>
      </c>
      <c r="C3628" s="427"/>
      <c r="D3628" s="428"/>
      <c r="E3628" s="428"/>
      <c r="F3628" s="429"/>
      <c r="G3628" s="154" t="s">
        <v>338</v>
      </c>
      <c r="H3628" s="426"/>
      <c r="I3628" s="426"/>
    </row>
    <row r="3629" spans="2:14" ht="15.75" thickBot="1" x14ac:dyDescent="0.3">
      <c r="B3629" s="270" t="s">
        <v>101</v>
      </c>
      <c r="C3629" s="423"/>
      <c r="D3629" s="424"/>
      <c r="E3629" s="424"/>
      <c r="F3629" s="425"/>
      <c r="G3629" s="154" t="s">
        <v>102</v>
      </c>
      <c r="H3629" s="426" t="s">
        <v>103</v>
      </c>
      <c r="I3629" s="426"/>
    </row>
    <row r="3630" spans="2:14" ht="45" customHeight="1" thickBot="1" x14ac:dyDescent="0.3">
      <c r="B3630" s="401"/>
      <c r="C3630" s="402"/>
      <c r="D3630" s="402"/>
      <c r="E3630" s="402"/>
      <c r="F3630" s="403" t="s">
        <v>0</v>
      </c>
      <c r="G3630" s="403"/>
      <c r="H3630" s="403"/>
      <c r="I3630" s="404"/>
    </row>
    <row r="3631" spans="2:14" ht="6" customHeight="1" thickBot="1" x14ac:dyDescent="0.3">
      <c r="B3631" s="373"/>
      <c r="C3631" s="373"/>
      <c r="D3631" s="373"/>
      <c r="E3631" s="373"/>
      <c r="F3631" s="373"/>
      <c r="G3631" s="373"/>
      <c r="H3631" s="373"/>
      <c r="I3631" s="373"/>
    </row>
    <row r="3632" spans="2:14" ht="10.5" customHeight="1" x14ac:dyDescent="0.25">
      <c r="B3632" s="405" t="s">
        <v>294</v>
      </c>
      <c r="C3632" s="406"/>
      <c r="D3632" s="407" t="s">
        <v>295</v>
      </c>
      <c r="E3632" s="409" t="s">
        <v>296</v>
      </c>
      <c r="F3632" s="410"/>
      <c r="G3632" s="410"/>
      <c r="H3632" s="410"/>
      <c r="I3632" s="411"/>
    </row>
    <row r="3633" spans="2:14" ht="9" customHeight="1" thickBot="1" x14ac:dyDescent="0.3">
      <c r="B3633" s="415"/>
      <c r="C3633" s="416"/>
      <c r="D3633" s="408"/>
      <c r="E3633" s="412"/>
      <c r="F3633" s="413"/>
      <c r="G3633" s="413"/>
      <c r="H3633" s="413"/>
      <c r="I3633" s="414"/>
    </row>
    <row r="3634" spans="2:14" ht="6" customHeight="1" thickBot="1" x14ac:dyDescent="0.3">
      <c r="B3634" s="373"/>
      <c r="C3634" s="373"/>
      <c r="D3634" s="373"/>
      <c r="E3634" s="373"/>
      <c r="F3634" s="373"/>
      <c r="G3634" s="373"/>
      <c r="H3634" s="373"/>
      <c r="I3634" s="373"/>
    </row>
    <row r="3635" spans="2:14" ht="17.25" customHeight="1" thickBot="1" x14ac:dyDescent="0.3">
      <c r="B3635" s="390" t="s">
        <v>297</v>
      </c>
      <c r="C3635" s="391"/>
      <c r="D3635" s="392"/>
      <c r="E3635" s="393"/>
      <c r="F3635" s="393"/>
      <c r="G3635" s="394"/>
      <c r="H3635" s="127" t="s">
        <v>298</v>
      </c>
      <c r="I3635" s="128"/>
    </row>
    <row r="3636" spans="2:14" ht="6" customHeight="1" thickBot="1" x14ac:dyDescent="0.3">
      <c r="B3636" s="373"/>
      <c r="C3636" s="373"/>
      <c r="D3636" s="373"/>
      <c r="E3636" s="373"/>
      <c r="F3636" s="373"/>
      <c r="G3636" s="373"/>
      <c r="H3636" s="373"/>
      <c r="I3636" s="373"/>
    </row>
    <row r="3637" spans="2:14" ht="19.5" customHeight="1" x14ac:dyDescent="0.25">
      <c r="B3637" s="261" t="s">
        <v>299</v>
      </c>
      <c r="C3637" s="129" t="s">
        <v>300</v>
      </c>
      <c r="D3637" s="130" t="s">
        <v>301</v>
      </c>
      <c r="E3637" s="130" t="s">
        <v>302</v>
      </c>
      <c r="F3637" s="398" t="s">
        <v>303</v>
      </c>
      <c r="G3637" s="399"/>
      <c r="H3637" s="400"/>
      <c r="I3637" s="131" t="s">
        <v>304</v>
      </c>
    </row>
    <row r="3638" spans="2:14" ht="11.25" customHeight="1" x14ac:dyDescent="0.25">
      <c r="B3638" s="262"/>
      <c r="C3638" s="132"/>
      <c r="D3638" s="132" t="s">
        <v>305</v>
      </c>
      <c r="E3638" s="132" t="s">
        <v>306</v>
      </c>
      <c r="F3638" s="395" t="s">
        <v>339</v>
      </c>
      <c r="G3638" s="396"/>
      <c r="H3638" s="397"/>
      <c r="I3638" s="133"/>
    </row>
    <row r="3639" spans="2:14" ht="28.5" customHeight="1" x14ac:dyDescent="0.25">
      <c r="B3639" s="263" t="s">
        <v>307</v>
      </c>
      <c r="C3639" s="383" t="s">
        <v>414</v>
      </c>
      <c r="D3639" s="384"/>
      <c r="E3639" s="384"/>
      <c r="F3639" s="384"/>
      <c r="G3639" s="384"/>
      <c r="H3639" s="384"/>
      <c r="I3639" s="385"/>
    </row>
    <row r="3640" spans="2:14" ht="10.5" customHeight="1" x14ac:dyDescent="0.25">
      <c r="B3640" s="264" t="s">
        <v>129</v>
      </c>
      <c r="C3640" s="388" t="s">
        <v>308</v>
      </c>
      <c r="D3640" s="389"/>
      <c r="E3640" s="389"/>
      <c r="F3640" s="389"/>
      <c r="G3640" s="389"/>
      <c r="H3640" s="389"/>
      <c r="I3640" s="134" t="s">
        <v>130</v>
      </c>
    </row>
    <row r="3641" spans="2:14" ht="50.25" customHeight="1" thickBot="1" x14ac:dyDescent="0.3">
      <c r="B3641" s="265">
        <v>9.1599999999999966</v>
      </c>
      <c r="C3641" s="386" t="s">
        <v>624</v>
      </c>
      <c r="D3641" s="387"/>
      <c r="E3641" s="387"/>
      <c r="F3641" s="387"/>
      <c r="G3641" s="387"/>
      <c r="H3641" s="387"/>
      <c r="I3641" s="135" t="s">
        <v>27</v>
      </c>
    </row>
    <row r="3642" spans="2:14" ht="6" customHeight="1" thickBot="1" x14ac:dyDescent="0.3">
      <c r="B3642" s="373"/>
      <c r="C3642" s="373"/>
      <c r="D3642" s="373"/>
      <c r="E3642" s="373"/>
      <c r="F3642" s="373"/>
      <c r="G3642" s="373"/>
      <c r="H3642" s="373"/>
      <c r="I3642" s="373"/>
    </row>
    <row r="3643" spans="2:14" x14ac:dyDescent="0.25">
      <c r="B3643" s="380" t="s">
        <v>309</v>
      </c>
      <c r="C3643" s="381"/>
      <c r="D3643" s="381"/>
      <c r="E3643" s="381"/>
      <c r="F3643" s="381"/>
      <c r="G3643" s="381"/>
      <c r="H3643" s="381"/>
      <c r="I3643" s="382"/>
      <c r="K3643" s="182"/>
    </row>
    <row r="3644" spans="2:14" ht="11.25" customHeight="1" x14ac:dyDescent="0.25">
      <c r="B3644" s="377" t="s">
        <v>310</v>
      </c>
      <c r="C3644" s="378"/>
      <c r="D3644" s="379"/>
      <c r="E3644" s="136"/>
      <c r="F3644" s="137" t="s">
        <v>311</v>
      </c>
      <c r="G3644" s="137" t="s">
        <v>312</v>
      </c>
      <c r="H3644" s="137" t="s">
        <v>313</v>
      </c>
      <c r="I3644" s="138" t="s">
        <v>314</v>
      </c>
      <c r="L3644" s="139"/>
      <c r="M3644" s="139"/>
    </row>
    <row r="3645" spans="2:14" ht="11.25" customHeight="1" x14ac:dyDescent="0.25">
      <c r="B3645" s="362" t="s">
        <v>315</v>
      </c>
      <c r="C3645" s="363"/>
      <c r="D3645" s="363"/>
      <c r="E3645" s="160"/>
      <c r="F3645" s="161" t="s">
        <v>316</v>
      </c>
      <c r="G3645" s="160">
        <v>5000</v>
      </c>
      <c r="H3645" s="142">
        <v>1</v>
      </c>
      <c r="I3645" s="143">
        <f>G3645*H3645</f>
        <v>5000</v>
      </c>
    </row>
    <row r="3646" spans="2:14" ht="16.5" customHeight="1" x14ac:dyDescent="0.25">
      <c r="B3646" s="362" t="s">
        <v>355</v>
      </c>
      <c r="C3646" s="363"/>
      <c r="D3646" s="363"/>
      <c r="E3646" s="160"/>
      <c r="F3646" s="161" t="s">
        <v>317</v>
      </c>
      <c r="G3646" s="160">
        <v>90000</v>
      </c>
      <c r="H3646" s="142">
        <f>+H3645</f>
        <v>1</v>
      </c>
      <c r="I3646" s="143">
        <f>G3646*H3646</f>
        <v>90000</v>
      </c>
    </row>
    <row r="3647" spans="2:14" ht="10.5" customHeight="1" thickBot="1" x14ac:dyDescent="0.3">
      <c r="B3647" s="371" t="s">
        <v>318</v>
      </c>
      <c r="C3647" s="372"/>
      <c r="D3647" s="372"/>
      <c r="E3647" s="372"/>
      <c r="F3647" s="372"/>
      <c r="G3647" s="372"/>
      <c r="H3647" s="372"/>
      <c r="I3647" s="144">
        <f>SUM(I3645:I3646)</f>
        <v>95000</v>
      </c>
      <c r="N3647" s="150"/>
    </row>
    <row r="3648" spans="2:14" ht="6" customHeight="1" thickBot="1" x14ac:dyDescent="0.3">
      <c r="B3648" s="373"/>
      <c r="C3648" s="373"/>
      <c r="D3648" s="373"/>
      <c r="E3648" s="373"/>
      <c r="F3648" s="373"/>
      <c r="G3648" s="373"/>
      <c r="H3648" s="373"/>
      <c r="I3648" s="373"/>
    </row>
    <row r="3649" spans="2:15" s="145" customFormat="1" x14ac:dyDescent="0.25">
      <c r="B3649" s="380" t="s">
        <v>319</v>
      </c>
      <c r="C3649" s="381"/>
      <c r="D3649" s="381"/>
      <c r="E3649" s="381"/>
      <c r="F3649" s="381"/>
      <c r="G3649" s="381"/>
      <c r="H3649" s="381"/>
      <c r="I3649" s="382"/>
    </row>
    <row r="3650" spans="2:15" s="145" customFormat="1" ht="15.75" customHeight="1" x14ac:dyDescent="0.25">
      <c r="B3650" s="377" t="s">
        <v>310</v>
      </c>
      <c r="C3650" s="378"/>
      <c r="D3650" s="379"/>
      <c r="E3650" s="137"/>
      <c r="F3650" s="137" t="s">
        <v>320</v>
      </c>
      <c r="G3650" s="137" t="s">
        <v>321</v>
      </c>
      <c r="H3650" s="137" t="s">
        <v>322</v>
      </c>
      <c r="I3650" s="138" t="s">
        <v>314</v>
      </c>
    </row>
    <row r="3651" spans="2:15" ht="72.75" customHeight="1" x14ac:dyDescent="0.25">
      <c r="B3651" s="436" t="s">
        <v>624</v>
      </c>
      <c r="C3651" s="437"/>
      <c r="D3651" s="438"/>
      <c r="E3651" s="163"/>
      <c r="F3651" s="161" t="s">
        <v>27</v>
      </c>
      <c r="G3651" s="160">
        <f>1189923+3062272+1673635-5059078+1+1165487+180285+1281173+1815635-3019001</f>
        <v>2290332</v>
      </c>
      <c r="H3651" s="142">
        <v>1</v>
      </c>
      <c r="I3651" s="143">
        <f>G3651*H3651</f>
        <v>2290332</v>
      </c>
      <c r="M3651">
        <v>4608265</v>
      </c>
    </row>
    <row r="3652" spans="2:15" ht="18" customHeight="1" thickBot="1" x14ac:dyDescent="0.3">
      <c r="B3652" s="371" t="s">
        <v>318</v>
      </c>
      <c r="C3652" s="372"/>
      <c r="D3652" s="372"/>
      <c r="E3652" s="372"/>
      <c r="F3652" s="372"/>
      <c r="G3652" s="372"/>
      <c r="H3652" s="372"/>
      <c r="I3652" s="144">
        <f>SUM(I3651:I3651)</f>
        <v>2290332</v>
      </c>
      <c r="N3652" s="150"/>
    </row>
    <row r="3653" spans="2:15" ht="6" customHeight="1" thickBot="1" x14ac:dyDescent="0.3">
      <c r="B3653" s="373"/>
      <c r="C3653" s="373"/>
      <c r="D3653" s="373"/>
      <c r="E3653" s="373"/>
      <c r="F3653" s="373"/>
      <c r="G3653" s="373"/>
      <c r="H3653" s="373"/>
      <c r="I3653" s="373"/>
    </row>
    <row r="3654" spans="2:15" s="145" customFormat="1" x14ac:dyDescent="0.25">
      <c r="B3654" s="380" t="s">
        <v>323</v>
      </c>
      <c r="C3654" s="381"/>
      <c r="D3654" s="381"/>
      <c r="E3654" s="381"/>
      <c r="F3654" s="381"/>
      <c r="G3654" s="381"/>
      <c r="H3654" s="381"/>
      <c r="I3654" s="382"/>
      <c r="L3654" s="146"/>
      <c r="M3654" s="146"/>
    </row>
    <row r="3655" spans="2:15" s="145" customFormat="1" x14ac:dyDescent="0.25">
      <c r="B3655" s="377" t="s">
        <v>324</v>
      </c>
      <c r="C3655" s="378"/>
      <c r="D3655" s="379"/>
      <c r="E3655" s="137" t="s">
        <v>325</v>
      </c>
      <c r="F3655" s="137" t="s">
        <v>326</v>
      </c>
      <c r="G3655" s="137" t="s">
        <v>130</v>
      </c>
      <c r="H3655" s="137" t="s">
        <v>327</v>
      </c>
      <c r="I3655" s="138" t="s">
        <v>314</v>
      </c>
      <c r="K3655" s="260"/>
      <c r="N3655" s="183"/>
      <c r="O3655" s="148"/>
    </row>
    <row r="3656" spans="2:15" ht="11.25" customHeight="1" x14ac:dyDescent="0.25">
      <c r="B3656" s="362" t="s">
        <v>711</v>
      </c>
      <c r="C3656" s="363"/>
      <c r="D3656" s="363"/>
      <c r="E3656" s="170">
        <v>1</v>
      </c>
      <c r="F3656" s="164"/>
      <c r="G3656" s="161"/>
      <c r="H3656" s="162">
        <v>25000</v>
      </c>
      <c r="I3656" s="143">
        <f>H3656*E3656</f>
        <v>25000</v>
      </c>
      <c r="K3656" s="281"/>
    </row>
    <row r="3657" spans="2:15" ht="10.5" customHeight="1" thickBot="1" x14ac:dyDescent="0.3">
      <c r="B3657" s="371" t="s">
        <v>318</v>
      </c>
      <c r="C3657" s="372"/>
      <c r="D3657" s="372"/>
      <c r="E3657" s="372"/>
      <c r="F3657" s="372"/>
      <c r="G3657" s="372"/>
      <c r="H3657" s="372"/>
      <c r="I3657" s="144">
        <f>SUM(I3656:I3656)</f>
        <v>25000</v>
      </c>
      <c r="K3657" s="281"/>
      <c r="N3657" s="150"/>
    </row>
    <row r="3658" spans="2:15" ht="6" customHeight="1" thickBot="1" x14ac:dyDescent="0.3">
      <c r="B3658" s="373"/>
      <c r="C3658" s="373"/>
      <c r="D3658" s="373"/>
      <c r="E3658" s="373"/>
      <c r="F3658" s="373"/>
      <c r="G3658" s="373"/>
      <c r="H3658" s="373"/>
      <c r="I3658" s="373"/>
    </row>
    <row r="3659" spans="2:15" s="145" customFormat="1" ht="20.100000000000001" customHeight="1" x14ac:dyDescent="0.25">
      <c r="B3659" s="380" t="s">
        <v>328</v>
      </c>
      <c r="C3659" s="381"/>
      <c r="D3659" s="381"/>
      <c r="E3659" s="381"/>
      <c r="F3659" s="381"/>
      <c r="G3659" s="381"/>
      <c r="H3659" s="381"/>
      <c r="I3659" s="382"/>
      <c r="K3659" s="147">
        <f>+I3666-K3660</f>
        <v>0</v>
      </c>
      <c r="N3659" s="148"/>
      <c r="O3659" s="149"/>
    </row>
    <row r="3660" spans="2:15" s="145" customFormat="1" ht="20.100000000000001" customHeight="1" x14ac:dyDescent="0.25">
      <c r="B3660" s="377" t="s">
        <v>329</v>
      </c>
      <c r="C3660" s="379"/>
      <c r="D3660" s="137" t="s">
        <v>322</v>
      </c>
      <c r="E3660" s="137" t="s">
        <v>330</v>
      </c>
      <c r="F3660" s="137" t="s">
        <v>331</v>
      </c>
      <c r="G3660" s="137" t="s">
        <v>332</v>
      </c>
      <c r="H3660" s="137" t="s">
        <v>313</v>
      </c>
      <c r="I3660" s="138" t="s">
        <v>314</v>
      </c>
      <c r="K3660" s="147">
        <v>2740332</v>
      </c>
      <c r="O3660" s="179"/>
    </row>
    <row r="3661" spans="2:15" s="151" customFormat="1" ht="9.75" customHeight="1" x14ac:dyDescent="0.25">
      <c r="B3661" s="367" t="s">
        <v>356</v>
      </c>
      <c r="C3661" s="368"/>
      <c r="D3661" s="180">
        <v>1</v>
      </c>
      <c r="E3661" s="141">
        <v>140000</v>
      </c>
      <c r="F3661" s="141">
        <f>+E3661*0.8</f>
        <v>112000</v>
      </c>
      <c r="G3661" s="178">
        <f>D3661*E3661+F3661*D3661</f>
        <v>252000</v>
      </c>
      <c r="H3661" s="184">
        <v>1.8</v>
      </c>
      <c r="I3661" s="143">
        <f>+G3661/H3661</f>
        <v>140000</v>
      </c>
      <c r="J3661" s="145"/>
      <c r="K3661" s="147"/>
    </row>
    <row r="3662" spans="2:15" s="151" customFormat="1" ht="11.25" customHeight="1" x14ac:dyDescent="0.25">
      <c r="B3662" s="367" t="s">
        <v>374</v>
      </c>
      <c r="C3662" s="368"/>
      <c r="D3662" s="180">
        <v>1</v>
      </c>
      <c r="E3662" s="141">
        <v>80000</v>
      </c>
      <c r="F3662" s="141">
        <f>+E3662*0.8</f>
        <v>64000</v>
      </c>
      <c r="G3662" s="178">
        <f>D3662*E3662+F3662*D3662</f>
        <v>144000</v>
      </c>
      <c r="H3662" s="184">
        <f>+H3661</f>
        <v>1.8</v>
      </c>
      <c r="I3662" s="143">
        <f>+G3662/H3662</f>
        <v>80000</v>
      </c>
      <c r="J3662" s="145"/>
      <c r="K3662" s="147"/>
      <c r="L3662" s="179"/>
      <c r="M3662" s="179"/>
    </row>
    <row r="3663" spans="2:15" s="145" customFormat="1" ht="10.5" customHeight="1" x14ac:dyDescent="0.25">
      <c r="B3663" s="367" t="s">
        <v>333</v>
      </c>
      <c r="C3663" s="368"/>
      <c r="D3663" s="180">
        <v>2</v>
      </c>
      <c r="E3663" s="141">
        <v>55000</v>
      </c>
      <c r="F3663" s="141">
        <f>+E3663*0.8</f>
        <v>44000</v>
      </c>
      <c r="G3663" s="178">
        <f>D3663*E3663+F3663*D3663</f>
        <v>198000</v>
      </c>
      <c r="H3663" s="184">
        <f>+H3662</f>
        <v>1.8</v>
      </c>
      <c r="I3663" s="143">
        <f>+G3663/H3663</f>
        <v>110000</v>
      </c>
      <c r="K3663" s="147"/>
    </row>
    <row r="3664" spans="2:15" ht="10.5" customHeight="1" thickBot="1" x14ac:dyDescent="0.3">
      <c r="B3664" s="371" t="s">
        <v>318</v>
      </c>
      <c r="C3664" s="372"/>
      <c r="D3664" s="372"/>
      <c r="E3664" s="372"/>
      <c r="F3664" s="372"/>
      <c r="G3664" s="372"/>
      <c r="H3664" s="372"/>
      <c r="I3664" s="144">
        <f>SUM(I3661:I3663)</f>
        <v>330000</v>
      </c>
      <c r="K3664" s="281"/>
      <c r="N3664" s="150"/>
    </row>
    <row r="3665" spans="2:14" ht="6" customHeight="1" thickBot="1" x14ac:dyDescent="0.3">
      <c r="B3665" s="373"/>
      <c r="C3665" s="373"/>
      <c r="D3665" s="373"/>
      <c r="E3665" s="373"/>
      <c r="F3665" s="373"/>
      <c r="G3665" s="373"/>
      <c r="H3665" s="373"/>
      <c r="I3665" s="373"/>
    </row>
    <row r="3666" spans="2:14" ht="10.5" customHeight="1" thickBot="1" x14ac:dyDescent="0.3">
      <c r="B3666" s="374" t="s">
        <v>334</v>
      </c>
      <c r="C3666" s="375"/>
      <c r="D3666" s="375"/>
      <c r="E3666" s="375"/>
      <c r="F3666" s="375"/>
      <c r="G3666" s="375"/>
      <c r="H3666" s="376"/>
      <c r="I3666" s="152">
        <f>ROUND(+I3647+I3652+I3657+I3664,0)</f>
        <v>2740332</v>
      </c>
      <c r="J3666" s="281"/>
      <c r="K3666" s="169"/>
      <c r="L3666" s="181"/>
      <c r="M3666" s="181"/>
      <c r="N3666" s="153"/>
    </row>
    <row r="3667" spans="2:14" ht="6" customHeight="1" thickBot="1" x14ac:dyDescent="0.3">
      <c r="B3667" s="373"/>
      <c r="C3667" s="373"/>
      <c r="D3667" s="373"/>
      <c r="E3667" s="373"/>
      <c r="F3667" s="373"/>
      <c r="G3667" s="373"/>
      <c r="H3667" s="373"/>
      <c r="I3667" s="373"/>
    </row>
    <row r="3668" spans="2:14" ht="8.25" customHeight="1" x14ac:dyDescent="0.25">
      <c r="B3668" s="433" t="s">
        <v>335</v>
      </c>
      <c r="C3668" s="417"/>
      <c r="D3668" s="418"/>
      <c r="E3668" s="418"/>
      <c r="F3668" s="419"/>
      <c r="G3668" s="369" t="s">
        <v>336</v>
      </c>
      <c r="H3668" s="370"/>
      <c r="I3668" s="370"/>
    </row>
    <row r="3669" spans="2:14" ht="33.75" customHeight="1" x14ac:dyDescent="0.25">
      <c r="B3669" s="434"/>
      <c r="C3669" s="420"/>
      <c r="D3669" s="421"/>
      <c r="E3669" s="421"/>
      <c r="F3669" s="422"/>
      <c r="G3669" s="430" t="s">
        <v>337</v>
      </c>
      <c r="H3669" s="431"/>
      <c r="I3669" s="431"/>
      <c r="L3669" s="181"/>
      <c r="M3669" s="181"/>
      <c r="N3669" s="179"/>
    </row>
    <row r="3670" spans="2:14" ht="13.5" customHeight="1" x14ac:dyDescent="0.25">
      <c r="B3670" s="434"/>
      <c r="C3670" s="420"/>
      <c r="D3670" s="421"/>
      <c r="E3670" s="421"/>
      <c r="F3670" s="422"/>
      <c r="G3670" s="154" t="s">
        <v>92</v>
      </c>
      <c r="H3670" s="432" t="s">
        <v>93</v>
      </c>
      <c r="I3670" s="432"/>
    </row>
    <row r="3671" spans="2:14" ht="16.5" customHeight="1" x14ac:dyDescent="0.25">
      <c r="B3671" s="435"/>
      <c r="C3671" s="420"/>
      <c r="D3671" s="421"/>
      <c r="E3671" s="421"/>
      <c r="F3671" s="422"/>
      <c r="G3671" s="155" t="s">
        <v>94</v>
      </c>
      <c r="H3671" s="156" t="s">
        <v>95</v>
      </c>
      <c r="I3671" s="157" t="s">
        <v>96</v>
      </c>
    </row>
    <row r="3672" spans="2:14" x14ac:dyDescent="0.25">
      <c r="B3672" s="268" t="s">
        <v>18</v>
      </c>
      <c r="C3672" s="427"/>
      <c r="D3672" s="428"/>
      <c r="E3672" s="428"/>
      <c r="F3672" s="429"/>
      <c r="G3672" s="155" t="s">
        <v>98</v>
      </c>
      <c r="H3672" s="157" t="s">
        <v>99</v>
      </c>
      <c r="I3672" s="157" t="s">
        <v>100</v>
      </c>
    </row>
    <row r="3673" spans="2:14" x14ac:dyDescent="0.25">
      <c r="B3673" s="269" t="s">
        <v>97</v>
      </c>
      <c r="C3673" s="427"/>
      <c r="D3673" s="428"/>
      <c r="E3673" s="428"/>
      <c r="F3673" s="429"/>
      <c r="G3673" s="154" t="s">
        <v>338</v>
      </c>
      <c r="H3673" s="426"/>
      <c r="I3673" s="426"/>
    </row>
    <row r="3674" spans="2:14" ht="15.75" thickBot="1" x14ac:dyDescent="0.3">
      <c r="B3674" s="270" t="s">
        <v>101</v>
      </c>
      <c r="C3674" s="423"/>
      <c r="D3674" s="424"/>
      <c r="E3674" s="424"/>
      <c r="F3674" s="425"/>
      <c r="G3674" s="154" t="s">
        <v>102</v>
      </c>
      <c r="H3674" s="426" t="s">
        <v>103</v>
      </c>
      <c r="I3674" s="426"/>
    </row>
    <row r="3675" spans="2:14" ht="45" customHeight="1" thickBot="1" x14ac:dyDescent="0.3">
      <c r="B3675" s="401"/>
      <c r="C3675" s="402"/>
      <c r="D3675" s="402"/>
      <c r="E3675" s="402"/>
      <c r="F3675" s="403" t="s">
        <v>0</v>
      </c>
      <c r="G3675" s="403"/>
      <c r="H3675" s="403"/>
      <c r="I3675" s="404"/>
    </row>
    <row r="3676" spans="2:14" ht="6" customHeight="1" thickBot="1" x14ac:dyDescent="0.3">
      <c r="B3676" s="373"/>
      <c r="C3676" s="373"/>
      <c r="D3676" s="373"/>
      <c r="E3676" s="373"/>
      <c r="F3676" s="373"/>
      <c r="G3676" s="373"/>
      <c r="H3676" s="373"/>
      <c r="I3676" s="373"/>
    </row>
    <row r="3677" spans="2:14" ht="10.5" customHeight="1" x14ac:dyDescent="0.25">
      <c r="B3677" s="405" t="s">
        <v>294</v>
      </c>
      <c r="C3677" s="406"/>
      <c r="D3677" s="407" t="s">
        <v>295</v>
      </c>
      <c r="E3677" s="409" t="s">
        <v>296</v>
      </c>
      <c r="F3677" s="410"/>
      <c r="G3677" s="410"/>
      <c r="H3677" s="410"/>
      <c r="I3677" s="411"/>
    </row>
    <row r="3678" spans="2:14" ht="9" customHeight="1" thickBot="1" x14ac:dyDescent="0.3">
      <c r="B3678" s="415"/>
      <c r="C3678" s="416"/>
      <c r="D3678" s="408"/>
      <c r="E3678" s="412"/>
      <c r="F3678" s="413"/>
      <c r="G3678" s="413"/>
      <c r="H3678" s="413"/>
      <c r="I3678" s="414"/>
    </row>
    <row r="3679" spans="2:14" ht="6" customHeight="1" thickBot="1" x14ac:dyDescent="0.3">
      <c r="B3679" s="373"/>
      <c r="C3679" s="373"/>
      <c r="D3679" s="373"/>
      <c r="E3679" s="373"/>
      <c r="F3679" s="373"/>
      <c r="G3679" s="373"/>
      <c r="H3679" s="373"/>
      <c r="I3679" s="373"/>
    </row>
    <row r="3680" spans="2:14" ht="17.25" customHeight="1" thickBot="1" x14ac:dyDescent="0.3">
      <c r="B3680" s="390" t="s">
        <v>297</v>
      </c>
      <c r="C3680" s="391"/>
      <c r="D3680" s="392"/>
      <c r="E3680" s="393"/>
      <c r="F3680" s="393"/>
      <c r="G3680" s="394"/>
      <c r="H3680" s="127" t="s">
        <v>298</v>
      </c>
      <c r="I3680" s="128"/>
    </row>
    <row r="3681" spans="2:14" ht="6" customHeight="1" thickBot="1" x14ac:dyDescent="0.3">
      <c r="B3681" s="373"/>
      <c r="C3681" s="373"/>
      <c r="D3681" s="373"/>
      <c r="E3681" s="373"/>
      <c r="F3681" s="373"/>
      <c r="G3681" s="373"/>
      <c r="H3681" s="373"/>
      <c r="I3681" s="373"/>
    </row>
    <row r="3682" spans="2:14" ht="19.5" customHeight="1" x14ac:dyDescent="0.25">
      <c r="B3682" s="261" t="s">
        <v>299</v>
      </c>
      <c r="C3682" s="129" t="s">
        <v>300</v>
      </c>
      <c r="D3682" s="130" t="s">
        <v>301</v>
      </c>
      <c r="E3682" s="130" t="s">
        <v>302</v>
      </c>
      <c r="F3682" s="398" t="s">
        <v>303</v>
      </c>
      <c r="G3682" s="399"/>
      <c r="H3682" s="400"/>
      <c r="I3682" s="131" t="s">
        <v>304</v>
      </c>
    </row>
    <row r="3683" spans="2:14" ht="11.25" customHeight="1" x14ac:dyDescent="0.25">
      <c r="B3683" s="262"/>
      <c r="C3683" s="132"/>
      <c r="D3683" s="132" t="s">
        <v>305</v>
      </c>
      <c r="E3683" s="132" t="s">
        <v>306</v>
      </c>
      <c r="F3683" s="395" t="s">
        <v>339</v>
      </c>
      <c r="G3683" s="396"/>
      <c r="H3683" s="397"/>
      <c r="I3683" s="133"/>
    </row>
    <row r="3684" spans="2:14" ht="28.5" customHeight="1" x14ac:dyDescent="0.25">
      <c r="B3684" s="263" t="s">
        <v>307</v>
      </c>
      <c r="C3684" s="383" t="s">
        <v>414</v>
      </c>
      <c r="D3684" s="384"/>
      <c r="E3684" s="384"/>
      <c r="F3684" s="384"/>
      <c r="G3684" s="384"/>
      <c r="H3684" s="384"/>
      <c r="I3684" s="385"/>
    </row>
    <row r="3685" spans="2:14" ht="10.5" customHeight="1" x14ac:dyDescent="0.25">
      <c r="B3685" s="264" t="s">
        <v>129</v>
      </c>
      <c r="C3685" s="388" t="s">
        <v>308</v>
      </c>
      <c r="D3685" s="389"/>
      <c r="E3685" s="389"/>
      <c r="F3685" s="389"/>
      <c r="G3685" s="389"/>
      <c r="H3685" s="389"/>
      <c r="I3685" s="134" t="s">
        <v>130</v>
      </c>
    </row>
    <row r="3686" spans="2:14" ht="50.25" customHeight="1" thickBot="1" x14ac:dyDescent="0.3">
      <c r="B3686" s="265">
        <v>9.1699999999999964</v>
      </c>
      <c r="C3686" s="386" t="s">
        <v>625</v>
      </c>
      <c r="D3686" s="387"/>
      <c r="E3686" s="387"/>
      <c r="F3686" s="387"/>
      <c r="G3686" s="387"/>
      <c r="H3686" s="387"/>
      <c r="I3686" s="135" t="s">
        <v>27</v>
      </c>
    </row>
    <row r="3687" spans="2:14" ht="6" customHeight="1" thickBot="1" x14ac:dyDescent="0.3">
      <c r="B3687" s="373"/>
      <c r="C3687" s="373"/>
      <c r="D3687" s="373"/>
      <c r="E3687" s="373"/>
      <c r="F3687" s="373"/>
      <c r="G3687" s="373"/>
      <c r="H3687" s="373"/>
      <c r="I3687" s="373"/>
    </row>
    <row r="3688" spans="2:14" x14ac:dyDescent="0.25">
      <c r="B3688" s="380" t="s">
        <v>309</v>
      </c>
      <c r="C3688" s="381"/>
      <c r="D3688" s="381"/>
      <c r="E3688" s="381"/>
      <c r="F3688" s="381"/>
      <c r="G3688" s="381"/>
      <c r="H3688" s="381"/>
      <c r="I3688" s="382"/>
      <c r="K3688" s="182"/>
    </row>
    <row r="3689" spans="2:14" ht="11.25" customHeight="1" x14ac:dyDescent="0.25">
      <c r="B3689" s="377" t="s">
        <v>310</v>
      </c>
      <c r="C3689" s="378"/>
      <c r="D3689" s="379"/>
      <c r="E3689" s="136"/>
      <c r="F3689" s="137" t="s">
        <v>311</v>
      </c>
      <c r="G3689" s="137" t="s">
        <v>312</v>
      </c>
      <c r="H3689" s="137" t="s">
        <v>313</v>
      </c>
      <c r="I3689" s="138" t="s">
        <v>314</v>
      </c>
      <c r="L3689" s="139"/>
      <c r="M3689" s="139"/>
    </row>
    <row r="3690" spans="2:14" ht="11.25" customHeight="1" x14ac:dyDescent="0.25">
      <c r="B3690" s="362" t="s">
        <v>315</v>
      </c>
      <c r="C3690" s="363"/>
      <c r="D3690" s="363"/>
      <c r="E3690" s="160"/>
      <c r="F3690" s="161" t="s">
        <v>316</v>
      </c>
      <c r="G3690" s="160">
        <v>5000</v>
      </c>
      <c r="H3690" s="142">
        <v>1.4</v>
      </c>
      <c r="I3690" s="143">
        <f>G3690*H3690</f>
        <v>7000</v>
      </c>
    </row>
    <row r="3691" spans="2:14" ht="16.5" customHeight="1" x14ac:dyDescent="0.25">
      <c r="B3691" s="362" t="s">
        <v>355</v>
      </c>
      <c r="C3691" s="363"/>
      <c r="D3691" s="363"/>
      <c r="E3691" s="160"/>
      <c r="F3691" s="161" t="s">
        <v>317</v>
      </c>
      <c r="G3691" s="160">
        <v>90000</v>
      </c>
      <c r="H3691" s="142">
        <f>+H3690</f>
        <v>1.4</v>
      </c>
      <c r="I3691" s="143">
        <f>G3691*H3691</f>
        <v>125999.99999999999</v>
      </c>
    </row>
    <row r="3692" spans="2:14" ht="10.5" customHeight="1" thickBot="1" x14ac:dyDescent="0.3">
      <c r="B3692" s="371" t="s">
        <v>318</v>
      </c>
      <c r="C3692" s="372"/>
      <c r="D3692" s="372"/>
      <c r="E3692" s="372"/>
      <c r="F3692" s="372"/>
      <c r="G3692" s="372"/>
      <c r="H3692" s="372"/>
      <c r="I3692" s="144">
        <f>SUM(I3690:I3691)</f>
        <v>133000</v>
      </c>
      <c r="N3692" s="150"/>
    </row>
    <row r="3693" spans="2:14" ht="6" customHeight="1" thickBot="1" x14ac:dyDescent="0.3">
      <c r="B3693" s="373"/>
      <c r="C3693" s="373"/>
      <c r="D3693" s="373"/>
      <c r="E3693" s="373"/>
      <c r="F3693" s="373"/>
      <c r="G3693" s="373"/>
      <c r="H3693" s="373"/>
      <c r="I3693" s="373"/>
    </row>
    <row r="3694" spans="2:14" s="145" customFormat="1" x14ac:dyDescent="0.25">
      <c r="B3694" s="380" t="s">
        <v>319</v>
      </c>
      <c r="C3694" s="381"/>
      <c r="D3694" s="381"/>
      <c r="E3694" s="381"/>
      <c r="F3694" s="381"/>
      <c r="G3694" s="381"/>
      <c r="H3694" s="381"/>
      <c r="I3694" s="382"/>
    </row>
    <row r="3695" spans="2:14" s="145" customFormat="1" ht="15.75" customHeight="1" x14ac:dyDescent="0.25">
      <c r="B3695" s="377" t="s">
        <v>310</v>
      </c>
      <c r="C3695" s="378"/>
      <c r="D3695" s="379"/>
      <c r="E3695" s="137"/>
      <c r="F3695" s="137" t="s">
        <v>320</v>
      </c>
      <c r="G3695" s="137" t="s">
        <v>321</v>
      </c>
      <c r="H3695" s="137" t="s">
        <v>322</v>
      </c>
      <c r="I3695" s="138" t="s">
        <v>314</v>
      </c>
    </row>
    <row r="3696" spans="2:14" ht="72.75" customHeight="1" x14ac:dyDescent="0.25">
      <c r="B3696" s="436" t="s">
        <v>625</v>
      </c>
      <c r="C3696" s="437"/>
      <c r="D3696" s="438"/>
      <c r="E3696" s="163"/>
      <c r="F3696" s="161" t="s">
        <v>27</v>
      </c>
      <c r="G3696" s="160">
        <f>1189923+3062272+1673635-5059078+1+1165487+180285+1281173+1815635+535855</f>
        <v>5845188</v>
      </c>
      <c r="H3696" s="142">
        <v>1</v>
      </c>
      <c r="I3696" s="143">
        <f>G3696*H3696</f>
        <v>5845188</v>
      </c>
      <c r="M3696">
        <v>4608265</v>
      </c>
    </row>
    <row r="3697" spans="2:15" ht="18" customHeight="1" thickBot="1" x14ac:dyDescent="0.3">
      <c r="B3697" s="371" t="s">
        <v>318</v>
      </c>
      <c r="C3697" s="372"/>
      <c r="D3697" s="372"/>
      <c r="E3697" s="372"/>
      <c r="F3697" s="372"/>
      <c r="G3697" s="372"/>
      <c r="H3697" s="372"/>
      <c r="I3697" s="144">
        <f>SUM(I3696:I3696)</f>
        <v>5845188</v>
      </c>
      <c r="N3697" s="150"/>
    </row>
    <row r="3698" spans="2:15" ht="6" customHeight="1" thickBot="1" x14ac:dyDescent="0.3">
      <c r="B3698" s="373"/>
      <c r="C3698" s="373"/>
      <c r="D3698" s="373"/>
      <c r="E3698" s="373"/>
      <c r="F3698" s="373"/>
      <c r="G3698" s="373"/>
      <c r="H3698" s="373"/>
      <c r="I3698" s="373"/>
    </row>
    <row r="3699" spans="2:15" s="145" customFormat="1" x14ac:dyDescent="0.25">
      <c r="B3699" s="380" t="s">
        <v>323</v>
      </c>
      <c r="C3699" s="381"/>
      <c r="D3699" s="381"/>
      <c r="E3699" s="381"/>
      <c r="F3699" s="381"/>
      <c r="G3699" s="381"/>
      <c r="H3699" s="381"/>
      <c r="I3699" s="382"/>
      <c r="L3699" s="146"/>
      <c r="M3699" s="146"/>
    </row>
    <row r="3700" spans="2:15" s="145" customFormat="1" x14ac:dyDescent="0.25">
      <c r="B3700" s="377" t="s">
        <v>324</v>
      </c>
      <c r="C3700" s="378"/>
      <c r="D3700" s="379"/>
      <c r="E3700" s="137" t="s">
        <v>325</v>
      </c>
      <c r="F3700" s="137" t="s">
        <v>326</v>
      </c>
      <c r="G3700" s="137" t="s">
        <v>130</v>
      </c>
      <c r="H3700" s="137" t="s">
        <v>327</v>
      </c>
      <c r="I3700" s="138" t="s">
        <v>314</v>
      </c>
      <c r="K3700" s="260"/>
      <c r="N3700" s="183"/>
      <c r="O3700" s="148"/>
    </row>
    <row r="3701" spans="2:15" ht="11.25" customHeight="1" x14ac:dyDescent="0.25">
      <c r="B3701" s="362" t="s">
        <v>711</v>
      </c>
      <c r="C3701" s="363"/>
      <c r="D3701" s="363"/>
      <c r="E3701" s="170">
        <v>1</v>
      </c>
      <c r="F3701" s="164"/>
      <c r="G3701" s="161"/>
      <c r="H3701" s="162">
        <v>40000</v>
      </c>
      <c r="I3701" s="143">
        <f>H3701*E3701</f>
        <v>40000</v>
      </c>
      <c r="K3701" s="281"/>
    </row>
    <row r="3702" spans="2:15" ht="10.5" customHeight="1" thickBot="1" x14ac:dyDescent="0.3">
      <c r="B3702" s="371" t="s">
        <v>318</v>
      </c>
      <c r="C3702" s="372"/>
      <c r="D3702" s="372"/>
      <c r="E3702" s="372"/>
      <c r="F3702" s="372"/>
      <c r="G3702" s="372"/>
      <c r="H3702" s="372"/>
      <c r="I3702" s="144">
        <f>SUM(I3701:I3701)</f>
        <v>40000</v>
      </c>
      <c r="K3702" s="281"/>
      <c r="N3702" s="150"/>
    </row>
    <row r="3703" spans="2:15" ht="6" customHeight="1" thickBot="1" x14ac:dyDescent="0.3">
      <c r="B3703" s="373"/>
      <c r="C3703" s="373"/>
      <c r="D3703" s="373"/>
      <c r="E3703" s="373"/>
      <c r="F3703" s="373"/>
      <c r="G3703" s="373"/>
      <c r="H3703" s="373"/>
      <c r="I3703" s="373"/>
    </row>
    <row r="3704" spans="2:15" s="145" customFormat="1" ht="20.100000000000001" customHeight="1" x14ac:dyDescent="0.25">
      <c r="B3704" s="380" t="s">
        <v>328</v>
      </c>
      <c r="C3704" s="381"/>
      <c r="D3704" s="381"/>
      <c r="E3704" s="381"/>
      <c r="F3704" s="381"/>
      <c r="G3704" s="381"/>
      <c r="H3704" s="381"/>
      <c r="I3704" s="382"/>
      <c r="K3704" s="147">
        <f>+K3705-I3711</f>
        <v>-0.5</v>
      </c>
      <c r="N3704" s="148"/>
      <c r="O3704" s="149"/>
    </row>
    <row r="3705" spans="2:15" s="145" customFormat="1" ht="20.100000000000001" customHeight="1" x14ac:dyDescent="0.25">
      <c r="B3705" s="377" t="s">
        <v>329</v>
      </c>
      <c r="C3705" s="379"/>
      <c r="D3705" s="137" t="s">
        <v>322</v>
      </c>
      <c r="E3705" s="137" t="s">
        <v>330</v>
      </c>
      <c r="F3705" s="137" t="s">
        <v>331</v>
      </c>
      <c r="G3705" s="137" t="s">
        <v>332</v>
      </c>
      <c r="H3705" s="137" t="s">
        <v>313</v>
      </c>
      <c r="I3705" s="138" t="s">
        <v>314</v>
      </c>
      <c r="K3705" s="147">
        <v>6760687.5</v>
      </c>
      <c r="O3705" s="179"/>
    </row>
    <row r="3706" spans="2:15" s="151" customFormat="1" ht="9.75" customHeight="1" x14ac:dyDescent="0.25">
      <c r="B3706" s="367" t="s">
        <v>356</v>
      </c>
      <c r="C3706" s="368"/>
      <c r="D3706" s="180">
        <v>1</v>
      </c>
      <c r="E3706" s="141">
        <v>140000</v>
      </c>
      <c r="F3706" s="141">
        <f>+E3706*0.8</f>
        <v>112000</v>
      </c>
      <c r="G3706" s="178">
        <f>D3706*E3706+F3706*D3706</f>
        <v>252000</v>
      </c>
      <c r="H3706" s="184">
        <v>0.8</v>
      </c>
      <c r="I3706" s="143">
        <f>+G3706/H3706</f>
        <v>315000</v>
      </c>
      <c r="J3706" s="145"/>
      <c r="K3706" s="147"/>
    </row>
    <row r="3707" spans="2:15" s="151" customFormat="1" ht="11.25" customHeight="1" x14ac:dyDescent="0.25">
      <c r="B3707" s="367" t="s">
        <v>374</v>
      </c>
      <c r="C3707" s="368"/>
      <c r="D3707" s="180">
        <v>1</v>
      </c>
      <c r="E3707" s="141">
        <v>80000</v>
      </c>
      <c r="F3707" s="141">
        <f>+E3707*0.8</f>
        <v>64000</v>
      </c>
      <c r="G3707" s="178">
        <f>D3707*E3707+F3707*D3707</f>
        <v>144000</v>
      </c>
      <c r="H3707" s="184">
        <f>+H3706</f>
        <v>0.8</v>
      </c>
      <c r="I3707" s="143">
        <f>+G3707/H3707</f>
        <v>180000</v>
      </c>
      <c r="J3707" s="145"/>
      <c r="K3707" s="147"/>
      <c r="L3707" s="179"/>
      <c r="M3707" s="179"/>
    </row>
    <row r="3708" spans="2:15" s="145" customFormat="1" ht="10.5" customHeight="1" x14ac:dyDescent="0.25">
      <c r="B3708" s="367" t="s">
        <v>333</v>
      </c>
      <c r="C3708" s="368"/>
      <c r="D3708" s="180">
        <v>2</v>
      </c>
      <c r="E3708" s="141">
        <v>55000</v>
      </c>
      <c r="F3708" s="141">
        <f>+E3708*0.8</f>
        <v>44000</v>
      </c>
      <c r="G3708" s="178">
        <f>D3708*E3708+F3708*D3708</f>
        <v>198000</v>
      </c>
      <c r="H3708" s="184">
        <f>+H3707</f>
        <v>0.8</v>
      </c>
      <c r="I3708" s="143">
        <f>+G3708/H3708</f>
        <v>247500</v>
      </c>
      <c r="K3708" s="147"/>
    </row>
    <row r="3709" spans="2:15" ht="10.5" customHeight="1" thickBot="1" x14ac:dyDescent="0.3">
      <c r="B3709" s="371" t="s">
        <v>318</v>
      </c>
      <c r="C3709" s="372"/>
      <c r="D3709" s="372"/>
      <c r="E3709" s="372"/>
      <c r="F3709" s="372"/>
      <c r="G3709" s="372"/>
      <c r="H3709" s="372"/>
      <c r="I3709" s="144">
        <f>SUM(I3706:I3708)</f>
        <v>742500</v>
      </c>
      <c r="K3709" s="281"/>
      <c r="N3709" s="150"/>
    </row>
    <row r="3710" spans="2:15" ht="6" customHeight="1" thickBot="1" x14ac:dyDescent="0.3">
      <c r="B3710" s="373"/>
      <c r="C3710" s="373"/>
      <c r="D3710" s="373"/>
      <c r="E3710" s="373"/>
      <c r="F3710" s="373"/>
      <c r="G3710" s="373"/>
      <c r="H3710" s="373"/>
      <c r="I3710" s="373"/>
    </row>
    <row r="3711" spans="2:15" ht="10.5" customHeight="1" thickBot="1" x14ac:dyDescent="0.3">
      <c r="B3711" s="374" t="s">
        <v>334</v>
      </c>
      <c r="C3711" s="375"/>
      <c r="D3711" s="375"/>
      <c r="E3711" s="375"/>
      <c r="F3711" s="375"/>
      <c r="G3711" s="375"/>
      <c r="H3711" s="376"/>
      <c r="I3711" s="152">
        <f>ROUND(+I3692+I3697+I3702+I3709,0)</f>
        <v>6760688</v>
      </c>
      <c r="J3711" s="281"/>
      <c r="K3711" s="169"/>
      <c r="L3711" s="181"/>
      <c r="M3711" s="181"/>
      <c r="N3711" s="153"/>
    </row>
    <row r="3712" spans="2:15" ht="6" customHeight="1" thickBot="1" x14ac:dyDescent="0.3">
      <c r="B3712" s="373"/>
      <c r="C3712" s="373"/>
      <c r="D3712" s="373"/>
      <c r="E3712" s="373"/>
      <c r="F3712" s="373"/>
      <c r="G3712" s="373"/>
      <c r="H3712" s="373"/>
      <c r="I3712" s="373"/>
    </row>
    <row r="3713" spans="2:14" ht="8.25" customHeight="1" x14ac:dyDescent="0.25">
      <c r="B3713" s="433" t="s">
        <v>335</v>
      </c>
      <c r="C3713" s="417"/>
      <c r="D3713" s="418"/>
      <c r="E3713" s="418"/>
      <c r="F3713" s="419"/>
      <c r="G3713" s="369" t="s">
        <v>336</v>
      </c>
      <c r="H3713" s="370"/>
      <c r="I3713" s="370"/>
    </row>
    <row r="3714" spans="2:14" ht="33.75" customHeight="1" x14ac:dyDescent="0.25">
      <c r="B3714" s="434"/>
      <c r="C3714" s="420"/>
      <c r="D3714" s="421"/>
      <c r="E3714" s="421"/>
      <c r="F3714" s="422"/>
      <c r="G3714" s="430" t="s">
        <v>337</v>
      </c>
      <c r="H3714" s="431"/>
      <c r="I3714" s="431"/>
      <c r="L3714" s="181"/>
      <c r="M3714" s="181"/>
      <c r="N3714" s="179"/>
    </row>
    <row r="3715" spans="2:14" ht="13.5" customHeight="1" x14ac:dyDescent="0.25">
      <c r="B3715" s="434"/>
      <c r="C3715" s="420"/>
      <c r="D3715" s="421"/>
      <c r="E3715" s="421"/>
      <c r="F3715" s="422"/>
      <c r="G3715" s="154" t="s">
        <v>92</v>
      </c>
      <c r="H3715" s="432" t="s">
        <v>93</v>
      </c>
      <c r="I3715" s="432"/>
    </row>
    <row r="3716" spans="2:14" ht="16.5" customHeight="1" x14ac:dyDescent="0.25">
      <c r="B3716" s="435"/>
      <c r="C3716" s="420"/>
      <c r="D3716" s="421"/>
      <c r="E3716" s="421"/>
      <c r="F3716" s="422"/>
      <c r="G3716" s="155" t="s">
        <v>94</v>
      </c>
      <c r="H3716" s="156" t="s">
        <v>95</v>
      </c>
      <c r="I3716" s="157" t="s">
        <v>96</v>
      </c>
    </row>
    <row r="3717" spans="2:14" x14ac:dyDescent="0.25">
      <c r="B3717" s="268" t="s">
        <v>18</v>
      </c>
      <c r="C3717" s="427"/>
      <c r="D3717" s="428"/>
      <c r="E3717" s="428"/>
      <c r="F3717" s="429"/>
      <c r="G3717" s="155" t="s">
        <v>98</v>
      </c>
      <c r="H3717" s="157" t="s">
        <v>99</v>
      </c>
      <c r="I3717" s="157" t="s">
        <v>100</v>
      </c>
    </row>
    <row r="3718" spans="2:14" x14ac:dyDescent="0.25">
      <c r="B3718" s="269" t="s">
        <v>97</v>
      </c>
      <c r="C3718" s="427"/>
      <c r="D3718" s="428"/>
      <c r="E3718" s="428"/>
      <c r="F3718" s="429"/>
      <c r="G3718" s="154" t="s">
        <v>338</v>
      </c>
      <c r="H3718" s="426"/>
      <c r="I3718" s="426"/>
    </row>
    <row r="3719" spans="2:14" ht="15.75" thickBot="1" x14ac:dyDescent="0.3">
      <c r="B3719" s="270" t="s">
        <v>101</v>
      </c>
      <c r="C3719" s="423"/>
      <c r="D3719" s="424"/>
      <c r="E3719" s="424"/>
      <c r="F3719" s="425"/>
      <c r="G3719" s="154" t="s">
        <v>102</v>
      </c>
      <c r="H3719" s="426" t="s">
        <v>103</v>
      </c>
      <c r="I3719" s="426"/>
    </row>
    <row r="3720" spans="2:14" ht="45" customHeight="1" thickBot="1" x14ac:dyDescent="0.3">
      <c r="B3720" s="401"/>
      <c r="C3720" s="402"/>
      <c r="D3720" s="402"/>
      <c r="E3720" s="402"/>
      <c r="F3720" s="403" t="s">
        <v>0</v>
      </c>
      <c r="G3720" s="403"/>
      <c r="H3720" s="403"/>
      <c r="I3720" s="404"/>
    </row>
    <row r="3721" spans="2:14" ht="6" customHeight="1" thickBot="1" x14ac:dyDescent="0.3">
      <c r="B3721" s="373"/>
      <c r="C3721" s="373"/>
      <c r="D3721" s="373"/>
      <c r="E3721" s="373"/>
      <c r="F3721" s="373"/>
      <c r="G3721" s="373"/>
      <c r="H3721" s="373"/>
      <c r="I3721" s="373"/>
    </row>
    <row r="3722" spans="2:14" ht="10.5" customHeight="1" x14ac:dyDescent="0.25">
      <c r="B3722" s="405" t="s">
        <v>294</v>
      </c>
      <c r="C3722" s="406"/>
      <c r="D3722" s="407" t="s">
        <v>295</v>
      </c>
      <c r="E3722" s="409" t="s">
        <v>296</v>
      </c>
      <c r="F3722" s="410"/>
      <c r="G3722" s="410"/>
      <c r="H3722" s="410"/>
      <c r="I3722" s="411"/>
    </row>
    <row r="3723" spans="2:14" ht="9" customHeight="1" thickBot="1" x14ac:dyDescent="0.3">
      <c r="B3723" s="415"/>
      <c r="C3723" s="416"/>
      <c r="D3723" s="408"/>
      <c r="E3723" s="412"/>
      <c r="F3723" s="413"/>
      <c r="G3723" s="413"/>
      <c r="H3723" s="413"/>
      <c r="I3723" s="414"/>
    </row>
    <row r="3724" spans="2:14" ht="6" customHeight="1" thickBot="1" x14ac:dyDescent="0.3">
      <c r="B3724" s="373"/>
      <c r="C3724" s="373"/>
      <c r="D3724" s="373"/>
      <c r="E3724" s="373"/>
      <c r="F3724" s="373"/>
      <c r="G3724" s="373"/>
      <c r="H3724" s="373"/>
      <c r="I3724" s="373"/>
    </row>
    <row r="3725" spans="2:14" ht="17.25" customHeight="1" thickBot="1" x14ac:dyDescent="0.3">
      <c r="B3725" s="390" t="s">
        <v>297</v>
      </c>
      <c r="C3725" s="391"/>
      <c r="D3725" s="392"/>
      <c r="E3725" s="393"/>
      <c r="F3725" s="393"/>
      <c r="G3725" s="394"/>
      <c r="H3725" s="127" t="s">
        <v>298</v>
      </c>
      <c r="I3725" s="128"/>
    </row>
    <row r="3726" spans="2:14" ht="6" customHeight="1" thickBot="1" x14ac:dyDescent="0.3">
      <c r="B3726" s="373"/>
      <c r="C3726" s="373"/>
      <c r="D3726" s="373"/>
      <c r="E3726" s="373"/>
      <c r="F3726" s="373"/>
      <c r="G3726" s="373"/>
      <c r="H3726" s="373"/>
      <c r="I3726" s="373"/>
    </row>
    <row r="3727" spans="2:14" ht="19.5" customHeight="1" x14ac:dyDescent="0.25">
      <c r="B3727" s="261" t="s">
        <v>299</v>
      </c>
      <c r="C3727" s="129" t="s">
        <v>300</v>
      </c>
      <c r="D3727" s="130" t="s">
        <v>301</v>
      </c>
      <c r="E3727" s="130" t="s">
        <v>302</v>
      </c>
      <c r="F3727" s="398" t="s">
        <v>303</v>
      </c>
      <c r="G3727" s="399"/>
      <c r="H3727" s="400"/>
      <c r="I3727" s="131" t="s">
        <v>304</v>
      </c>
    </row>
    <row r="3728" spans="2:14" ht="11.25" customHeight="1" x14ac:dyDescent="0.25">
      <c r="B3728" s="262"/>
      <c r="C3728" s="132"/>
      <c r="D3728" s="132" t="s">
        <v>305</v>
      </c>
      <c r="E3728" s="132" t="s">
        <v>306</v>
      </c>
      <c r="F3728" s="395" t="s">
        <v>339</v>
      </c>
      <c r="G3728" s="396"/>
      <c r="H3728" s="397"/>
      <c r="I3728" s="133"/>
    </row>
    <row r="3729" spans="2:14" ht="28.5" customHeight="1" x14ac:dyDescent="0.25">
      <c r="B3729" s="263" t="s">
        <v>307</v>
      </c>
      <c r="C3729" s="383" t="s">
        <v>414</v>
      </c>
      <c r="D3729" s="384"/>
      <c r="E3729" s="384"/>
      <c r="F3729" s="384"/>
      <c r="G3729" s="384"/>
      <c r="H3729" s="384"/>
      <c r="I3729" s="385"/>
    </row>
    <row r="3730" spans="2:14" ht="10.5" customHeight="1" x14ac:dyDescent="0.25">
      <c r="B3730" s="264" t="s">
        <v>129</v>
      </c>
      <c r="C3730" s="388" t="s">
        <v>308</v>
      </c>
      <c r="D3730" s="389"/>
      <c r="E3730" s="389"/>
      <c r="F3730" s="389"/>
      <c r="G3730" s="389"/>
      <c r="H3730" s="389"/>
      <c r="I3730" s="134" t="s">
        <v>130</v>
      </c>
    </row>
    <row r="3731" spans="2:14" ht="50.25" customHeight="1" thickBot="1" x14ac:dyDescent="0.3">
      <c r="B3731" s="265">
        <v>9.1799999999999962</v>
      </c>
      <c r="C3731" s="386" t="s">
        <v>626</v>
      </c>
      <c r="D3731" s="387"/>
      <c r="E3731" s="387"/>
      <c r="F3731" s="387"/>
      <c r="G3731" s="387"/>
      <c r="H3731" s="387"/>
      <c r="I3731" s="135" t="s">
        <v>27</v>
      </c>
    </row>
    <row r="3732" spans="2:14" ht="6" customHeight="1" thickBot="1" x14ac:dyDescent="0.3">
      <c r="B3732" s="373"/>
      <c r="C3732" s="373"/>
      <c r="D3732" s="373"/>
      <c r="E3732" s="373"/>
      <c r="F3732" s="373"/>
      <c r="G3732" s="373"/>
      <c r="H3732" s="373"/>
      <c r="I3732" s="373"/>
    </row>
    <row r="3733" spans="2:14" x14ac:dyDescent="0.25">
      <c r="B3733" s="380" t="s">
        <v>309</v>
      </c>
      <c r="C3733" s="381"/>
      <c r="D3733" s="381"/>
      <c r="E3733" s="381"/>
      <c r="F3733" s="381"/>
      <c r="G3733" s="381"/>
      <c r="H3733" s="381"/>
      <c r="I3733" s="382"/>
      <c r="K3733" s="182"/>
    </row>
    <row r="3734" spans="2:14" ht="11.25" customHeight="1" x14ac:dyDescent="0.25">
      <c r="B3734" s="377" t="s">
        <v>310</v>
      </c>
      <c r="C3734" s="378"/>
      <c r="D3734" s="379"/>
      <c r="E3734" s="136"/>
      <c r="F3734" s="137" t="s">
        <v>311</v>
      </c>
      <c r="G3734" s="137" t="s">
        <v>312</v>
      </c>
      <c r="H3734" s="137" t="s">
        <v>313</v>
      </c>
      <c r="I3734" s="138" t="s">
        <v>314</v>
      </c>
      <c r="L3734" s="139"/>
      <c r="M3734" s="139"/>
    </row>
    <row r="3735" spans="2:14" ht="11.25" customHeight="1" x14ac:dyDescent="0.25">
      <c r="B3735" s="362" t="s">
        <v>315</v>
      </c>
      <c r="C3735" s="363"/>
      <c r="D3735" s="363"/>
      <c r="E3735" s="160"/>
      <c r="F3735" s="161" t="s">
        <v>316</v>
      </c>
      <c r="G3735" s="160">
        <v>5000</v>
      </c>
      <c r="H3735" s="142">
        <v>1</v>
      </c>
      <c r="I3735" s="143">
        <f>G3735*H3735</f>
        <v>5000</v>
      </c>
    </row>
    <row r="3736" spans="2:14" ht="16.5" customHeight="1" x14ac:dyDescent="0.25">
      <c r="B3736" s="362" t="s">
        <v>355</v>
      </c>
      <c r="C3736" s="363"/>
      <c r="D3736" s="363"/>
      <c r="E3736" s="160"/>
      <c r="F3736" s="161" t="s">
        <v>317</v>
      </c>
      <c r="G3736" s="160">
        <v>90000</v>
      </c>
      <c r="H3736" s="142">
        <f>+H3735</f>
        <v>1</v>
      </c>
      <c r="I3736" s="143">
        <f>G3736*H3736</f>
        <v>90000</v>
      </c>
    </row>
    <row r="3737" spans="2:14" ht="10.5" customHeight="1" thickBot="1" x14ac:dyDescent="0.3">
      <c r="B3737" s="371" t="s">
        <v>318</v>
      </c>
      <c r="C3737" s="372"/>
      <c r="D3737" s="372"/>
      <c r="E3737" s="372"/>
      <c r="F3737" s="372"/>
      <c r="G3737" s="372"/>
      <c r="H3737" s="372"/>
      <c r="I3737" s="144">
        <f>SUM(I3735:I3736)</f>
        <v>95000</v>
      </c>
      <c r="N3737" s="150"/>
    </row>
    <row r="3738" spans="2:14" ht="6" customHeight="1" thickBot="1" x14ac:dyDescent="0.3">
      <c r="B3738" s="373"/>
      <c r="C3738" s="373"/>
      <c r="D3738" s="373"/>
      <c r="E3738" s="373"/>
      <c r="F3738" s="373"/>
      <c r="G3738" s="373"/>
      <c r="H3738" s="373"/>
      <c r="I3738" s="373"/>
    </row>
    <row r="3739" spans="2:14" s="145" customFormat="1" x14ac:dyDescent="0.25">
      <c r="B3739" s="380" t="s">
        <v>319</v>
      </c>
      <c r="C3739" s="381"/>
      <c r="D3739" s="381"/>
      <c r="E3739" s="381"/>
      <c r="F3739" s="381"/>
      <c r="G3739" s="381"/>
      <c r="H3739" s="381"/>
      <c r="I3739" s="382"/>
    </row>
    <row r="3740" spans="2:14" s="145" customFormat="1" ht="15.75" customHeight="1" x14ac:dyDescent="0.25">
      <c r="B3740" s="377" t="s">
        <v>310</v>
      </c>
      <c r="C3740" s="378"/>
      <c r="D3740" s="379"/>
      <c r="E3740" s="137"/>
      <c r="F3740" s="137" t="s">
        <v>320</v>
      </c>
      <c r="G3740" s="137" t="s">
        <v>321</v>
      </c>
      <c r="H3740" s="137" t="s">
        <v>322</v>
      </c>
      <c r="I3740" s="138" t="s">
        <v>314</v>
      </c>
    </row>
    <row r="3741" spans="2:14" ht="72.75" customHeight="1" x14ac:dyDescent="0.25">
      <c r="B3741" s="436" t="s">
        <v>626</v>
      </c>
      <c r="C3741" s="437"/>
      <c r="D3741" s="438"/>
      <c r="E3741" s="163"/>
      <c r="F3741" s="161" t="s">
        <v>27</v>
      </c>
      <c r="G3741" s="160">
        <f>1189923+3062272+1673635-5059078+1+1165487+180285+1281173+1815635-3245343</f>
        <v>2063990</v>
      </c>
      <c r="H3741" s="142">
        <v>1</v>
      </c>
      <c r="I3741" s="143">
        <f>G3741*H3741</f>
        <v>2063990</v>
      </c>
      <c r="M3741">
        <v>4608265</v>
      </c>
    </row>
    <row r="3742" spans="2:14" ht="18" customHeight="1" thickBot="1" x14ac:dyDescent="0.3">
      <c r="B3742" s="371" t="s">
        <v>318</v>
      </c>
      <c r="C3742" s="372"/>
      <c r="D3742" s="372"/>
      <c r="E3742" s="372"/>
      <c r="F3742" s="372"/>
      <c r="G3742" s="372"/>
      <c r="H3742" s="372"/>
      <c r="I3742" s="144">
        <f>SUM(I3741:I3741)</f>
        <v>2063990</v>
      </c>
      <c r="N3742" s="150"/>
    </row>
    <row r="3743" spans="2:14" ht="6" customHeight="1" thickBot="1" x14ac:dyDescent="0.3">
      <c r="B3743" s="373"/>
      <c r="C3743" s="373"/>
      <c r="D3743" s="373"/>
      <c r="E3743" s="373"/>
      <c r="F3743" s="373"/>
      <c r="G3743" s="373"/>
      <c r="H3743" s="373"/>
      <c r="I3743" s="373"/>
    </row>
    <row r="3744" spans="2:14" s="145" customFormat="1" x14ac:dyDescent="0.25">
      <c r="B3744" s="380" t="s">
        <v>323</v>
      </c>
      <c r="C3744" s="381"/>
      <c r="D3744" s="381"/>
      <c r="E3744" s="381"/>
      <c r="F3744" s="381"/>
      <c r="G3744" s="381"/>
      <c r="H3744" s="381"/>
      <c r="I3744" s="382"/>
      <c r="L3744" s="146"/>
      <c r="M3744" s="146"/>
    </row>
    <row r="3745" spans="2:15" s="145" customFormat="1" x14ac:dyDescent="0.25">
      <c r="B3745" s="377" t="s">
        <v>324</v>
      </c>
      <c r="C3745" s="378"/>
      <c r="D3745" s="379"/>
      <c r="E3745" s="137" t="s">
        <v>325</v>
      </c>
      <c r="F3745" s="137" t="s">
        <v>326</v>
      </c>
      <c r="G3745" s="137" t="s">
        <v>130</v>
      </c>
      <c r="H3745" s="137" t="s">
        <v>327</v>
      </c>
      <c r="I3745" s="138" t="s">
        <v>314</v>
      </c>
      <c r="K3745" s="260"/>
      <c r="N3745" s="183"/>
      <c r="O3745" s="148"/>
    </row>
    <row r="3746" spans="2:15" ht="11.25" customHeight="1" x14ac:dyDescent="0.25">
      <c r="B3746" s="362" t="s">
        <v>711</v>
      </c>
      <c r="C3746" s="363"/>
      <c r="D3746" s="363"/>
      <c r="E3746" s="170">
        <v>1</v>
      </c>
      <c r="F3746" s="164"/>
      <c r="G3746" s="161"/>
      <c r="H3746" s="162">
        <v>35000</v>
      </c>
      <c r="I3746" s="143">
        <f>H3746*E3746</f>
        <v>35000</v>
      </c>
      <c r="K3746" s="281"/>
    </row>
    <row r="3747" spans="2:15" ht="10.5" customHeight="1" thickBot="1" x14ac:dyDescent="0.3">
      <c r="B3747" s="371" t="s">
        <v>318</v>
      </c>
      <c r="C3747" s="372"/>
      <c r="D3747" s="372"/>
      <c r="E3747" s="372"/>
      <c r="F3747" s="372"/>
      <c r="G3747" s="372"/>
      <c r="H3747" s="372"/>
      <c r="I3747" s="144">
        <f>SUM(I3746:I3746)</f>
        <v>35000</v>
      </c>
      <c r="K3747" s="281"/>
      <c r="N3747" s="150"/>
    </row>
    <row r="3748" spans="2:15" ht="6" customHeight="1" thickBot="1" x14ac:dyDescent="0.3">
      <c r="B3748" s="373"/>
      <c r="C3748" s="373"/>
      <c r="D3748" s="373"/>
      <c r="E3748" s="373"/>
      <c r="F3748" s="373"/>
      <c r="G3748" s="373"/>
      <c r="H3748" s="373"/>
      <c r="I3748" s="373"/>
    </row>
    <row r="3749" spans="2:15" s="145" customFormat="1" ht="20.100000000000001" customHeight="1" x14ac:dyDescent="0.25">
      <c r="B3749" s="380" t="s">
        <v>328</v>
      </c>
      <c r="C3749" s="381"/>
      <c r="D3749" s="381"/>
      <c r="E3749" s="381"/>
      <c r="F3749" s="381"/>
      <c r="G3749" s="381"/>
      <c r="H3749" s="381"/>
      <c r="I3749" s="382"/>
      <c r="K3749" s="147">
        <v>2523990</v>
      </c>
      <c r="N3749" s="148"/>
      <c r="O3749" s="149"/>
    </row>
    <row r="3750" spans="2:15" s="145" customFormat="1" ht="20.100000000000001" customHeight="1" x14ac:dyDescent="0.25">
      <c r="B3750" s="377" t="s">
        <v>329</v>
      </c>
      <c r="C3750" s="379"/>
      <c r="D3750" s="137" t="s">
        <v>322</v>
      </c>
      <c r="E3750" s="137" t="s">
        <v>330</v>
      </c>
      <c r="F3750" s="137" t="s">
        <v>331</v>
      </c>
      <c r="G3750" s="137" t="s">
        <v>332</v>
      </c>
      <c r="H3750" s="137" t="s">
        <v>313</v>
      </c>
      <c r="I3750" s="138" t="s">
        <v>314</v>
      </c>
      <c r="K3750" s="147">
        <f>+K3749-I3756</f>
        <v>0</v>
      </c>
      <c r="O3750" s="179"/>
    </row>
    <row r="3751" spans="2:15" s="151" customFormat="1" ht="9.75" customHeight="1" x14ac:dyDescent="0.25">
      <c r="B3751" s="367" t="s">
        <v>356</v>
      </c>
      <c r="C3751" s="368"/>
      <c r="D3751" s="180">
        <v>1</v>
      </c>
      <c r="E3751" s="141">
        <v>140000</v>
      </c>
      <c r="F3751" s="141">
        <f>+E3751*0.8</f>
        <v>112000</v>
      </c>
      <c r="G3751" s="178">
        <f>D3751*E3751+F3751*D3751</f>
        <v>252000</v>
      </c>
      <c r="H3751" s="184">
        <v>1.8</v>
      </c>
      <c r="I3751" s="143">
        <f>+G3751/H3751</f>
        <v>140000</v>
      </c>
      <c r="J3751" s="145"/>
      <c r="K3751" s="147"/>
    </row>
    <row r="3752" spans="2:15" s="151" customFormat="1" ht="11.25" customHeight="1" x14ac:dyDescent="0.25">
      <c r="B3752" s="367" t="s">
        <v>374</v>
      </c>
      <c r="C3752" s="368"/>
      <c r="D3752" s="180">
        <v>1</v>
      </c>
      <c r="E3752" s="141">
        <v>80000</v>
      </c>
      <c r="F3752" s="141">
        <f>+E3752*0.8</f>
        <v>64000</v>
      </c>
      <c r="G3752" s="178">
        <f>D3752*E3752+F3752*D3752</f>
        <v>144000</v>
      </c>
      <c r="H3752" s="184">
        <f>+H3751</f>
        <v>1.8</v>
      </c>
      <c r="I3752" s="143">
        <f>+G3752/H3752</f>
        <v>80000</v>
      </c>
      <c r="J3752" s="145"/>
      <c r="K3752" s="147"/>
      <c r="L3752" s="179"/>
      <c r="M3752" s="179"/>
    </row>
    <row r="3753" spans="2:15" s="145" customFormat="1" ht="10.5" customHeight="1" x14ac:dyDescent="0.25">
      <c r="B3753" s="367" t="s">
        <v>333</v>
      </c>
      <c r="C3753" s="368"/>
      <c r="D3753" s="180">
        <v>2</v>
      </c>
      <c r="E3753" s="141">
        <v>55000</v>
      </c>
      <c r="F3753" s="141">
        <f>+E3753*0.8</f>
        <v>44000</v>
      </c>
      <c r="G3753" s="178">
        <f>D3753*E3753+F3753*D3753</f>
        <v>198000</v>
      </c>
      <c r="H3753" s="184">
        <f>+H3752</f>
        <v>1.8</v>
      </c>
      <c r="I3753" s="143">
        <f>+G3753/H3753</f>
        <v>110000</v>
      </c>
      <c r="K3753" s="147"/>
    </row>
    <row r="3754" spans="2:15" ht="10.5" customHeight="1" thickBot="1" x14ac:dyDescent="0.3">
      <c r="B3754" s="371" t="s">
        <v>318</v>
      </c>
      <c r="C3754" s="372"/>
      <c r="D3754" s="372"/>
      <c r="E3754" s="372"/>
      <c r="F3754" s="372"/>
      <c r="G3754" s="372"/>
      <c r="H3754" s="372"/>
      <c r="I3754" s="144">
        <f>SUM(I3751:I3753)</f>
        <v>330000</v>
      </c>
      <c r="K3754" s="281"/>
      <c r="N3754" s="150"/>
    </row>
    <row r="3755" spans="2:15" ht="6" customHeight="1" thickBot="1" x14ac:dyDescent="0.3">
      <c r="B3755" s="373"/>
      <c r="C3755" s="373"/>
      <c r="D3755" s="373"/>
      <c r="E3755" s="373"/>
      <c r="F3755" s="373"/>
      <c r="G3755" s="373"/>
      <c r="H3755" s="373"/>
      <c r="I3755" s="373"/>
    </row>
    <row r="3756" spans="2:15" ht="10.5" customHeight="1" thickBot="1" x14ac:dyDescent="0.3">
      <c r="B3756" s="374" t="s">
        <v>334</v>
      </c>
      <c r="C3756" s="375"/>
      <c r="D3756" s="375"/>
      <c r="E3756" s="375"/>
      <c r="F3756" s="375"/>
      <c r="G3756" s="375"/>
      <c r="H3756" s="376"/>
      <c r="I3756" s="152">
        <f>ROUND(+I3737+I3742+I3747+I3754,0)</f>
        <v>2523990</v>
      </c>
      <c r="J3756" s="281"/>
      <c r="K3756" s="169"/>
      <c r="L3756" s="181"/>
      <c r="M3756" s="181"/>
      <c r="N3756" s="153"/>
    </row>
    <row r="3757" spans="2:15" ht="6" customHeight="1" thickBot="1" x14ac:dyDescent="0.3">
      <c r="B3757" s="373"/>
      <c r="C3757" s="373"/>
      <c r="D3757" s="373"/>
      <c r="E3757" s="373"/>
      <c r="F3757" s="373"/>
      <c r="G3757" s="373"/>
      <c r="H3757" s="373"/>
      <c r="I3757" s="373"/>
    </row>
    <row r="3758" spans="2:15" ht="8.25" customHeight="1" x14ac:dyDescent="0.25">
      <c r="B3758" s="433" t="s">
        <v>335</v>
      </c>
      <c r="C3758" s="417"/>
      <c r="D3758" s="418"/>
      <c r="E3758" s="418"/>
      <c r="F3758" s="419"/>
      <c r="G3758" s="369" t="s">
        <v>336</v>
      </c>
      <c r="H3758" s="370"/>
      <c r="I3758" s="370"/>
    </row>
    <row r="3759" spans="2:15" ht="33.75" customHeight="1" x14ac:dyDescent="0.25">
      <c r="B3759" s="434"/>
      <c r="C3759" s="420"/>
      <c r="D3759" s="421"/>
      <c r="E3759" s="421"/>
      <c r="F3759" s="422"/>
      <c r="G3759" s="430" t="s">
        <v>337</v>
      </c>
      <c r="H3759" s="431"/>
      <c r="I3759" s="431"/>
      <c r="L3759" s="181"/>
      <c r="M3759" s="181"/>
      <c r="N3759" s="179"/>
    </row>
    <row r="3760" spans="2:15" ht="13.5" customHeight="1" x14ac:dyDescent="0.25">
      <c r="B3760" s="434"/>
      <c r="C3760" s="420"/>
      <c r="D3760" s="421"/>
      <c r="E3760" s="421"/>
      <c r="F3760" s="422"/>
      <c r="G3760" s="154" t="s">
        <v>92</v>
      </c>
      <c r="H3760" s="432" t="s">
        <v>93</v>
      </c>
      <c r="I3760" s="432"/>
    </row>
    <row r="3761" spans="2:9" ht="16.5" customHeight="1" x14ac:dyDescent="0.25">
      <c r="B3761" s="435"/>
      <c r="C3761" s="420"/>
      <c r="D3761" s="421"/>
      <c r="E3761" s="421"/>
      <c r="F3761" s="422"/>
      <c r="G3761" s="155" t="s">
        <v>94</v>
      </c>
      <c r="H3761" s="156" t="s">
        <v>95</v>
      </c>
      <c r="I3761" s="157" t="s">
        <v>96</v>
      </c>
    </row>
    <row r="3762" spans="2:9" x14ac:dyDescent="0.25">
      <c r="B3762" s="268" t="s">
        <v>18</v>
      </c>
      <c r="C3762" s="427"/>
      <c r="D3762" s="428"/>
      <c r="E3762" s="428"/>
      <c r="F3762" s="429"/>
      <c r="G3762" s="155" t="s">
        <v>98</v>
      </c>
      <c r="H3762" s="157" t="s">
        <v>99</v>
      </c>
      <c r="I3762" s="157" t="s">
        <v>100</v>
      </c>
    </row>
    <row r="3763" spans="2:9" x14ac:dyDescent="0.25">
      <c r="B3763" s="269" t="s">
        <v>97</v>
      </c>
      <c r="C3763" s="427"/>
      <c r="D3763" s="428"/>
      <c r="E3763" s="428"/>
      <c r="F3763" s="429"/>
      <c r="G3763" s="154" t="s">
        <v>338</v>
      </c>
      <c r="H3763" s="426"/>
      <c r="I3763" s="426"/>
    </row>
    <row r="3764" spans="2:9" ht="15.75" thickBot="1" x14ac:dyDescent="0.3">
      <c r="B3764" s="270" t="s">
        <v>101</v>
      </c>
      <c r="C3764" s="423"/>
      <c r="D3764" s="424"/>
      <c r="E3764" s="424"/>
      <c r="F3764" s="425"/>
      <c r="G3764" s="154" t="s">
        <v>102</v>
      </c>
      <c r="H3764" s="426" t="s">
        <v>103</v>
      </c>
      <c r="I3764" s="426"/>
    </row>
    <row r="3765" spans="2:9" ht="45" customHeight="1" thickBot="1" x14ac:dyDescent="0.3">
      <c r="B3765" s="401"/>
      <c r="C3765" s="402"/>
      <c r="D3765" s="402"/>
      <c r="E3765" s="402"/>
      <c r="F3765" s="403" t="s">
        <v>0</v>
      </c>
      <c r="G3765" s="403"/>
      <c r="H3765" s="403"/>
      <c r="I3765" s="404"/>
    </row>
    <row r="3766" spans="2:9" ht="6" customHeight="1" thickBot="1" x14ac:dyDescent="0.3">
      <c r="B3766" s="373"/>
      <c r="C3766" s="373"/>
      <c r="D3766" s="373"/>
      <c r="E3766" s="373"/>
      <c r="F3766" s="373"/>
      <c r="G3766" s="373"/>
      <c r="H3766" s="373"/>
      <c r="I3766" s="373"/>
    </row>
    <row r="3767" spans="2:9" ht="10.5" customHeight="1" x14ac:dyDescent="0.25">
      <c r="B3767" s="405" t="s">
        <v>294</v>
      </c>
      <c r="C3767" s="406"/>
      <c r="D3767" s="407" t="s">
        <v>295</v>
      </c>
      <c r="E3767" s="409" t="s">
        <v>296</v>
      </c>
      <c r="F3767" s="410"/>
      <c r="G3767" s="410"/>
      <c r="H3767" s="410"/>
      <c r="I3767" s="411"/>
    </row>
    <row r="3768" spans="2:9" ht="9" customHeight="1" thickBot="1" x14ac:dyDescent="0.3">
      <c r="B3768" s="415"/>
      <c r="C3768" s="416"/>
      <c r="D3768" s="408"/>
      <c r="E3768" s="412"/>
      <c r="F3768" s="413"/>
      <c r="G3768" s="413"/>
      <c r="H3768" s="413"/>
      <c r="I3768" s="414"/>
    </row>
    <row r="3769" spans="2:9" ht="6" customHeight="1" thickBot="1" x14ac:dyDescent="0.3">
      <c r="B3769" s="373"/>
      <c r="C3769" s="373"/>
      <c r="D3769" s="373"/>
      <c r="E3769" s="373"/>
      <c r="F3769" s="373"/>
      <c r="G3769" s="373"/>
      <c r="H3769" s="373"/>
      <c r="I3769" s="373"/>
    </row>
    <row r="3770" spans="2:9" ht="17.25" customHeight="1" thickBot="1" x14ac:dyDescent="0.3">
      <c r="B3770" s="390" t="s">
        <v>297</v>
      </c>
      <c r="C3770" s="391"/>
      <c r="D3770" s="392"/>
      <c r="E3770" s="393"/>
      <c r="F3770" s="393"/>
      <c r="G3770" s="394"/>
      <c r="H3770" s="127" t="s">
        <v>298</v>
      </c>
      <c r="I3770" s="128"/>
    </row>
    <row r="3771" spans="2:9" ht="6" customHeight="1" thickBot="1" x14ac:dyDescent="0.3">
      <c r="B3771" s="373"/>
      <c r="C3771" s="373"/>
      <c r="D3771" s="373"/>
      <c r="E3771" s="373"/>
      <c r="F3771" s="373"/>
      <c r="G3771" s="373"/>
      <c r="H3771" s="373"/>
      <c r="I3771" s="373"/>
    </row>
    <row r="3772" spans="2:9" ht="19.5" customHeight="1" x14ac:dyDescent="0.25">
      <c r="B3772" s="261" t="s">
        <v>299</v>
      </c>
      <c r="C3772" s="129" t="s">
        <v>300</v>
      </c>
      <c r="D3772" s="130" t="s">
        <v>301</v>
      </c>
      <c r="E3772" s="130" t="s">
        <v>302</v>
      </c>
      <c r="F3772" s="398" t="s">
        <v>303</v>
      </c>
      <c r="G3772" s="399"/>
      <c r="H3772" s="400"/>
      <c r="I3772" s="131" t="s">
        <v>304</v>
      </c>
    </row>
    <row r="3773" spans="2:9" ht="11.25" customHeight="1" x14ac:dyDescent="0.25">
      <c r="B3773" s="262"/>
      <c r="C3773" s="132"/>
      <c r="D3773" s="132" t="s">
        <v>305</v>
      </c>
      <c r="E3773" s="132" t="s">
        <v>306</v>
      </c>
      <c r="F3773" s="395" t="s">
        <v>339</v>
      </c>
      <c r="G3773" s="396"/>
      <c r="H3773" s="397"/>
      <c r="I3773" s="133"/>
    </row>
    <row r="3774" spans="2:9" ht="28.5" customHeight="1" x14ac:dyDescent="0.25">
      <c r="B3774" s="263" t="s">
        <v>307</v>
      </c>
      <c r="C3774" s="383" t="s">
        <v>414</v>
      </c>
      <c r="D3774" s="384"/>
      <c r="E3774" s="384"/>
      <c r="F3774" s="384"/>
      <c r="G3774" s="384"/>
      <c r="H3774" s="384"/>
      <c r="I3774" s="385"/>
    </row>
    <row r="3775" spans="2:9" ht="10.5" customHeight="1" x14ac:dyDescent="0.25">
      <c r="B3775" s="264" t="s">
        <v>129</v>
      </c>
      <c r="C3775" s="388" t="s">
        <v>308</v>
      </c>
      <c r="D3775" s="389"/>
      <c r="E3775" s="389"/>
      <c r="F3775" s="389"/>
      <c r="G3775" s="389"/>
      <c r="H3775" s="389"/>
      <c r="I3775" s="134" t="s">
        <v>130</v>
      </c>
    </row>
    <row r="3776" spans="2:9" ht="50.25" customHeight="1" thickBot="1" x14ac:dyDescent="0.3">
      <c r="B3776" s="265">
        <v>9.1899999999999959</v>
      </c>
      <c r="C3776" s="386" t="s">
        <v>627</v>
      </c>
      <c r="D3776" s="387"/>
      <c r="E3776" s="387"/>
      <c r="F3776" s="387"/>
      <c r="G3776" s="387"/>
      <c r="H3776" s="387"/>
      <c r="I3776" s="135" t="s">
        <v>27</v>
      </c>
    </row>
    <row r="3777" spans="2:15" ht="6" customHeight="1" thickBot="1" x14ac:dyDescent="0.3">
      <c r="B3777" s="373"/>
      <c r="C3777" s="373"/>
      <c r="D3777" s="373"/>
      <c r="E3777" s="373"/>
      <c r="F3777" s="373"/>
      <c r="G3777" s="373"/>
      <c r="H3777" s="373"/>
      <c r="I3777" s="373"/>
    </row>
    <row r="3778" spans="2:15" x14ac:dyDescent="0.25">
      <c r="B3778" s="380" t="s">
        <v>309</v>
      </c>
      <c r="C3778" s="381"/>
      <c r="D3778" s="381"/>
      <c r="E3778" s="381"/>
      <c r="F3778" s="381"/>
      <c r="G3778" s="381"/>
      <c r="H3778" s="381"/>
      <c r="I3778" s="382"/>
      <c r="K3778" s="182"/>
    </row>
    <row r="3779" spans="2:15" ht="11.25" customHeight="1" x14ac:dyDescent="0.25">
      <c r="B3779" s="377" t="s">
        <v>310</v>
      </c>
      <c r="C3779" s="378"/>
      <c r="D3779" s="379"/>
      <c r="E3779" s="136"/>
      <c r="F3779" s="137" t="s">
        <v>311</v>
      </c>
      <c r="G3779" s="137" t="s">
        <v>312</v>
      </c>
      <c r="H3779" s="137" t="s">
        <v>313</v>
      </c>
      <c r="I3779" s="138" t="s">
        <v>314</v>
      </c>
      <c r="L3779" s="139"/>
      <c r="M3779" s="139"/>
    </row>
    <row r="3780" spans="2:15" ht="11.25" customHeight="1" x14ac:dyDescent="0.25">
      <c r="B3780" s="362" t="s">
        <v>315</v>
      </c>
      <c r="C3780" s="363"/>
      <c r="D3780" s="363"/>
      <c r="E3780" s="160"/>
      <c r="F3780" s="161" t="s">
        <v>316</v>
      </c>
      <c r="G3780" s="160">
        <v>5000</v>
      </c>
      <c r="H3780" s="142">
        <v>1</v>
      </c>
      <c r="I3780" s="143">
        <f>G3780*H3780</f>
        <v>5000</v>
      </c>
    </row>
    <row r="3781" spans="2:15" ht="16.5" customHeight="1" x14ac:dyDescent="0.25">
      <c r="B3781" s="362" t="s">
        <v>355</v>
      </c>
      <c r="C3781" s="363"/>
      <c r="D3781" s="363"/>
      <c r="E3781" s="160"/>
      <c r="F3781" s="161" t="s">
        <v>317</v>
      </c>
      <c r="G3781" s="160">
        <v>90000</v>
      </c>
      <c r="H3781" s="142">
        <f>+H3780</f>
        <v>1</v>
      </c>
      <c r="I3781" s="143">
        <f>G3781*H3781</f>
        <v>90000</v>
      </c>
    </row>
    <row r="3782" spans="2:15" ht="10.5" customHeight="1" thickBot="1" x14ac:dyDescent="0.3">
      <c r="B3782" s="371" t="s">
        <v>318</v>
      </c>
      <c r="C3782" s="372"/>
      <c r="D3782" s="372"/>
      <c r="E3782" s="372"/>
      <c r="F3782" s="372"/>
      <c r="G3782" s="372"/>
      <c r="H3782" s="372"/>
      <c r="I3782" s="144">
        <f>SUM(I3780:I3781)</f>
        <v>95000</v>
      </c>
      <c r="N3782" s="150"/>
    </row>
    <row r="3783" spans="2:15" ht="6" customHeight="1" thickBot="1" x14ac:dyDescent="0.3">
      <c r="B3783" s="373"/>
      <c r="C3783" s="373"/>
      <c r="D3783" s="373"/>
      <c r="E3783" s="373"/>
      <c r="F3783" s="373"/>
      <c r="G3783" s="373"/>
      <c r="H3783" s="373"/>
      <c r="I3783" s="373"/>
    </row>
    <row r="3784" spans="2:15" s="145" customFormat="1" x14ac:dyDescent="0.25">
      <c r="B3784" s="380" t="s">
        <v>319</v>
      </c>
      <c r="C3784" s="381"/>
      <c r="D3784" s="381"/>
      <c r="E3784" s="381"/>
      <c r="F3784" s="381"/>
      <c r="G3784" s="381"/>
      <c r="H3784" s="381"/>
      <c r="I3784" s="382"/>
    </row>
    <row r="3785" spans="2:15" s="145" customFormat="1" ht="15.75" customHeight="1" x14ac:dyDescent="0.25">
      <c r="B3785" s="377" t="s">
        <v>310</v>
      </c>
      <c r="C3785" s="378"/>
      <c r="D3785" s="379"/>
      <c r="E3785" s="137"/>
      <c r="F3785" s="137" t="s">
        <v>320</v>
      </c>
      <c r="G3785" s="137" t="s">
        <v>321</v>
      </c>
      <c r="H3785" s="137" t="s">
        <v>322</v>
      </c>
      <c r="I3785" s="138" t="s">
        <v>314</v>
      </c>
    </row>
    <row r="3786" spans="2:15" ht="72.75" customHeight="1" x14ac:dyDescent="0.25">
      <c r="B3786" s="436" t="s">
        <v>627</v>
      </c>
      <c r="C3786" s="437"/>
      <c r="D3786" s="438"/>
      <c r="E3786" s="163"/>
      <c r="F3786" s="161" t="s">
        <v>27</v>
      </c>
      <c r="G3786" s="160">
        <f>1189923+3062272+1673635-5059078+1+1165487+180285+1281173+1815635-1196781+1</f>
        <v>4112553</v>
      </c>
      <c r="H3786" s="142">
        <v>1</v>
      </c>
      <c r="I3786" s="143">
        <f>G3786*H3786</f>
        <v>4112553</v>
      </c>
      <c r="M3786">
        <v>4608265</v>
      </c>
    </row>
    <row r="3787" spans="2:15" ht="18" customHeight="1" thickBot="1" x14ac:dyDescent="0.3">
      <c r="B3787" s="371" t="s">
        <v>318</v>
      </c>
      <c r="C3787" s="372"/>
      <c r="D3787" s="372"/>
      <c r="E3787" s="372"/>
      <c r="F3787" s="372"/>
      <c r="G3787" s="372"/>
      <c r="H3787" s="372"/>
      <c r="I3787" s="144">
        <f>SUM(I3786:I3786)</f>
        <v>4112553</v>
      </c>
      <c r="N3787" s="150"/>
    </row>
    <row r="3788" spans="2:15" ht="6" customHeight="1" thickBot="1" x14ac:dyDescent="0.3">
      <c r="B3788" s="373"/>
      <c r="C3788" s="373"/>
      <c r="D3788" s="373"/>
      <c r="E3788" s="373"/>
      <c r="F3788" s="373"/>
      <c r="G3788" s="373"/>
      <c r="H3788" s="373"/>
      <c r="I3788" s="373"/>
    </row>
    <row r="3789" spans="2:15" s="145" customFormat="1" x14ac:dyDescent="0.25">
      <c r="B3789" s="380" t="s">
        <v>323</v>
      </c>
      <c r="C3789" s="381"/>
      <c r="D3789" s="381"/>
      <c r="E3789" s="381"/>
      <c r="F3789" s="381"/>
      <c r="G3789" s="381"/>
      <c r="H3789" s="381"/>
      <c r="I3789" s="382"/>
      <c r="L3789" s="146"/>
      <c r="M3789" s="146"/>
    </row>
    <row r="3790" spans="2:15" s="145" customFormat="1" x14ac:dyDescent="0.25">
      <c r="B3790" s="377" t="s">
        <v>324</v>
      </c>
      <c r="C3790" s="378"/>
      <c r="D3790" s="379"/>
      <c r="E3790" s="137" t="s">
        <v>325</v>
      </c>
      <c r="F3790" s="137" t="s">
        <v>326</v>
      </c>
      <c r="G3790" s="137" t="s">
        <v>130</v>
      </c>
      <c r="H3790" s="137" t="s">
        <v>327</v>
      </c>
      <c r="I3790" s="138" t="s">
        <v>314</v>
      </c>
      <c r="K3790" s="260"/>
      <c r="N3790" s="183"/>
      <c r="O3790" s="148"/>
    </row>
    <row r="3791" spans="2:15" ht="11.25" customHeight="1" x14ac:dyDescent="0.25">
      <c r="B3791" s="362" t="s">
        <v>711</v>
      </c>
      <c r="C3791" s="363"/>
      <c r="D3791" s="363"/>
      <c r="E3791" s="170">
        <v>1</v>
      </c>
      <c r="F3791" s="164"/>
      <c r="G3791" s="161"/>
      <c r="H3791" s="162">
        <v>30000</v>
      </c>
      <c r="I3791" s="143">
        <f>H3791*E3791</f>
        <v>30000</v>
      </c>
      <c r="K3791" s="281"/>
    </row>
    <row r="3792" spans="2:15" ht="10.5" customHeight="1" thickBot="1" x14ac:dyDescent="0.3">
      <c r="B3792" s="371" t="s">
        <v>318</v>
      </c>
      <c r="C3792" s="372"/>
      <c r="D3792" s="372"/>
      <c r="E3792" s="372"/>
      <c r="F3792" s="372"/>
      <c r="G3792" s="372"/>
      <c r="H3792" s="372"/>
      <c r="I3792" s="144">
        <f>SUM(I3791:I3791)</f>
        <v>30000</v>
      </c>
      <c r="K3792" s="281"/>
      <c r="N3792" s="150"/>
    </row>
    <row r="3793" spans="2:15" ht="6" customHeight="1" thickBot="1" x14ac:dyDescent="0.3">
      <c r="B3793" s="373"/>
      <c r="C3793" s="373"/>
      <c r="D3793" s="373"/>
      <c r="E3793" s="373"/>
      <c r="F3793" s="373"/>
      <c r="G3793" s="373"/>
      <c r="H3793" s="373"/>
      <c r="I3793" s="373"/>
    </row>
    <row r="3794" spans="2:15" s="145" customFormat="1" ht="20.100000000000001" customHeight="1" x14ac:dyDescent="0.25">
      <c r="B3794" s="380" t="s">
        <v>328</v>
      </c>
      <c r="C3794" s="381"/>
      <c r="D3794" s="381"/>
      <c r="E3794" s="381"/>
      <c r="F3794" s="381"/>
      <c r="G3794" s="381"/>
      <c r="H3794" s="381"/>
      <c r="I3794" s="382"/>
      <c r="K3794" s="147">
        <v>4777552.5</v>
      </c>
      <c r="N3794" s="148"/>
      <c r="O3794" s="149"/>
    </row>
    <row r="3795" spans="2:15" s="145" customFormat="1" ht="20.100000000000001" customHeight="1" x14ac:dyDescent="0.25">
      <c r="B3795" s="377" t="s">
        <v>329</v>
      </c>
      <c r="C3795" s="379"/>
      <c r="D3795" s="137" t="s">
        <v>322</v>
      </c>
      <c r="E3795" s="137" t="s">
        <v>330</v>
      </c>
      <c r="F3795" s="137" t="s">
        <v>331</v>
      </c>
      <c r="G3795" s="137" t="s">
        <v>332</v>
      </c>
      <c r="H3795" s="137" t="s">
        <v>313</v>
      </c>
      <c r="I3795" s="138" t="s">
        <v>314</v>
      </c>
      <c r="K3795" s="147">
        <f>+K3794-I3801</f>
        <v>-0.5</v>
      </c>
      <c r="O3795" s="179"/>
    </row>
    <row r="3796" spans="2:15" s="151" customFormat="1" ht="9.75" customHeight="1" x14ac:dyDescent="0.25">
      <c r="B3796" s="367" t="s">
        <v>356</v>
      </c>
      <c r="C3796" s="368"/>
      <c r="D3796" s="180">
        <v>1</v>
      </c>
      <c r="E3796" s="141">
        <v>140000</v>
      </c>
      <c r="F3796" s="141">
        <f>+E3796*0.8</f>
        <v>112000</v>
      </c>
      <c r="G3796" s="178">
        <f>D3796*E3796+F3796*D3796</f>
        <v>252000</v>
      </c>
      <c r="H3796" s="184">
        <v>1.1000000000000001</v>
      </c>
      <c r="I3796" s="143">
        <f>+G3796/H3796</f>
        <v>229090.90909090906</v>
      </c>
      <c r="J3796" s="145"/>
      <c r="K3796" s="147"/>
    </row>
    <row r="3797" spans="2:15" s="151" customFormat="1" ht="11.25" customHeight="1" x14ac:dyDescent="0.25">
      <c r="B3797" s="367" t="s">
        <v>374</v>
      </c>
      <c r="C3797" s="368"/>
      <c r="D3797" s="180">
        <v>1</v>
      </c>
      <c r="E3797" s="141">
        <v>80000</v>
      </c>
      <c r="F3797" s="141">
        <f>+E3797*0.8</f>
        <v>64000</v>
      </c>
      <c r="G3797" s="178">
        <f>D3797*E3797+F3797*D3797</f>
        <v>144000</v>
      </c>
      <c r="H3797" s="184">
        <f>+H3796</f>
        <v>1.1000000000000001</v>
      </c>
      <c r="I3797" s="143">
        <f>+G3797/H3797</f>
        <v>130909.0909090909</v>
      </c>
      <c r="J3797" s="145"/>
      <c r="K3797" s="147"/>
      <c r="L3797" s="179"/>
      <c r="M3797" s="179"/>
    </row>
    <row r="3798" spans="2:15" s="145" customFormat="1" ht="10.5" customHeight="1" x14ac:dyDescent="0.25">
      <c r="B3798" s="367" t="s">
        <v>333</v>
      </c>
      <c r="C3798" s="368"/>
      <c r="D3798" s="180">
        <v>2</v>
      </c>
      <c r="E3798" s="141">
        <v>55000</v>
      </c>
      <c r="F3798" s="141">
        <f>+E3798*0.8</f>
        <v>44000</v>
      </c>
      <c r="G3798" s="178">
        <f>D3798*E3798+F3798*D3798</f>
        <v>198000</v>
      </c>
      <c r="H3798" s="184">
        <f>+H3797</f>
        <v>1.1000000000000001</v>
      </c>
      <c r="I3798" s="143">
        <f>+G3798/H3798</f>
        <v>180000</v>
      </c>
      <c r="K3798" s="147"/>
    </row>
    <row r="3799" spans="2:15" ht="10.5" customHeight="1" thickBot="1" x14ac:dyDescent="0.3">
      <c r="B3799" s="371" t="s">
        <v>318</v>
      </c>
      <c r="C3799" s="372"/>
      <c r="D3799" s="372"/>
      <c r="E3799" s="372"/>
      <c r="F3799" s="372"/>
      <c r="G3799" s="372"/>
      <c r="H3799" s="372"/>
      <c r="I3799" s="144">
        <f>SUM(I3796:I3798)</f>
        <v>540000</v>
      </c>
      <c r="K3799" s="281"/>
      <c r="N3799" s="150"/>
    </row>
    <row r="3800" spans="2:15" ht="6" customHeight="1" thickBot="1" x14ac:dyDescent="0.3">
      <c r="B3800" s="373"/>
      <c r="C3800" s="373"/>
      <c r="D3800" s="373"/>
      <c r="E3800" s="373"/>
      <c r="F3800" s="373"/>
      <c r="G3800" s="373"/>
      <c r="H3800" s="373"/>
      <c r="I3800" s="373"/>
    </row>
    <row r="3801" spans="2:15" ht="10.5" customHeight="1" thickBot="1" x14ac:dyDescent="0.3">
      <c r="B3801" s="374" t="s">
        <v>334</v>
      </c>
      <c r="C3801" s="375"/>
      <c r="D3801" s="375"/>
      <c r="E3801" s="375"/>
      <c r="F3801" s="375"/>
      <c r="G3801" s="375"/>
      <c r="H3801" s="376"/>
      <c r="I3801" s="152">
        <f>ROUND(+I3782+I3787+I3792+I3799,0)</f>
        <v>4777553</v>
      </c>
      <c r="J3801" s="281"/>
      <c r="K3801" s="169"/>
      <c r="L3801" s="181"/>
      <c r="M3801" s="181"/>
      <c r="N3801" s="153"/>
    </row>
    <row r="3802" spans="2:15" ht="6" customHeight="1" thickBot="1" x14ac:dyDescent="0.3">
      <c r="B3802" s="373"/>
      <c r="C3802" s="373"/>
      <c r="D3802" s="373"/>
      <c r="E3802" s="373"/>
      <c r="F3802" s="373"/>
      <c r="G3802" s="373"/>
      <c r="H3802" s="373"/>
      <c r="I3802" s="373"/>
    </row>
    <row r="3803" spans="2:15" ht="8.25" customHeight="1" x14ac:dyDescent="0.25">
      <c r="B3803" s="433" t="s">
        <v>335</v>
      </c>
      <c r="C3803" s="417"/>
      <c r="D3803" s="418"/>
      <c r="E3803" s="418"/>
      <c r="F3803" s="419"/>
      <c r="G3803" s="369" t="s">
        <v>336</v>
      </c>
      <c r="H3803" s="370"/>
      <c r="I3803" s="370"/>
    </row>
    <row r="3804" spans="2:15" ht="33.75" customHeight="1" x14ac:dyDescent="0.25">
      <c r="B3804" s="434"/>
      <c r="C3804" s="420"/>
      <c r="D3804" s="421"/>
      <c r="E3804" s="421"/>
      <c r="F3804" s="422"/>
      <c r="G3804" s="430" t="s">
        <v>337</v>
      </c>
      <c r="H3804" s="431"/>
      <c r="I3804" s="431"/>
      <c r="L3804" s="181"/>
      <c r="M3804" s="181"/>
      <c r="N3804" s="179"/>
    </row>
    <row r="3805" spans="2:15" ht="13.5" customHeight="1" x14ac:dyDescent="0.25">
      <c r="B3805" s="434"/>
      <c r="C3805" s="420"/>
      <c r="D3805" s="421"/>
      <c r="E3805" s="421"/>
      <c r="F3805" s="422"/>
      <c r="G3805" s="154" t="s">
        <v>92</v>
      </c>
      <c r="H3805" s="432" t="s">
        <v>93</v>
      </c>
      <c r="I3805" s="432"/>
    </row>
    <row r="3806" spans="2:15" ht="16.5" customHeight="1" x14ac:dyDescent="0.25">
      <c r="B3806" s="435"/>
      <c r="C3806" s="420"/>
      <c r="D3806" s="421"/>
      <c r="E3806" s="421"/>
      <c r="F3806" s="422"/>
      <c r="G3806" s="155" t="s">
        <v>94</v>
      </c>
      <c r="H3806" s="156" t="s">
        <v>95</v>
      </c>
      <c r="I3806" s="157" t="s">
        <v>96</v>
      </c>
    </row>
    <row r="3807" spans="2:15" x14ac:dyDescent="0.25">
      <c r="B3807" s="268" t="s">
        <v>18</v>
      </c>
      <c r="C3807" s="427"/>
      <c r="D3807" s="428"/>
      <c r="E3807" s="428"/>
      <c r="F3807" s="429"/>
      <c r="G3807" s="155" t="s">
        <v>98</v>
      </c>
      <c r="H3807" s="157" t="s">
        <v>99</v>
      </c>
      <c r="I3807" s="157" t="s">
        <v>100</v>
      </c>
    </row>
    <row r="3808" spans="2:15" x14ac:dyDescent="0.25">
      <c r="B3808" s="269" t="s">
        <v>97</v>
      </c>
      <c r="C3808" s="427"/>
      <c r="D3808" s="428"/>
      <c r="E3808" s="428"/>
      <c r="F3808" s="429"/>
      <c r="G3808" s="154" t="s">
        <v>338</v>
      </c>
      <c r="H3808" s="426"/>
      <c r="I3808" s="426"/>
    </row>
    <row r="3809" spans="2:13" ht="15.75" thickBot="1" x14ac:dyDescent="0.3">
      <c r="B3809" s="270" t="s">
        <v>101</v>
      </c>
      <c r="C3809" s="423"/>
      <c r="D3809" s="424"/>
      <c r="E3809" s="424"/>
      <c r="F3809" s="425"/>
      <c r="G3809" s="154" t="s">
        <v>102</v>
      </c>
      <c r="H3809" s="426" t="s">
        <v>103</v>
      </c>
      <c r="I3809" s="426"/>
    </row>
    <row r="3810" spans="2:13" ht="45" customHeight="1" thickBot="1" x14ac:dyDescent="0.3">
      <c r="B3810" s="401"/>
      <c r="C3810" s="402"/>
      <c r="D3810" s="402"/>
      <c r="E3810" s="402"/>
      <c r="F3810" s="403" t="s">
        <v>0</v>
      </c>
      <c r="G3810" s="403"/>
      <c r="H3810" s="403"/>
      <c r="I3810" s="404"/>
    </row>
    <row r="3811" spans="2:13" ht="6" customHeight="1" thickBot="1" x14ac:dyDescent="0.3">
      <c r="B3811" s="373"/>
      <c r="C3811" s="373"/>
      <c r="D3811" s="373"/>
      <c r="E3811" s="373"/>
      <c r="F3811" s="373"/>
      <c r="G3811" s="373"/>
      <c r="H3811" s="373"/>
      <c r="I3811" s="373"/>
    </row>
    <row r="3812" spans="2:13" ht="10.5" customHeight="1" x14ac:dyDescent="0.25">
      <c r="B3812" s="405" t="s">
        <v>294</v>
      </c>
      <c r="C3812" s="406"/>
      <c r="D3812" s="407" t="s">
        <v>295</v>
      </c>
      <c r="E3812" s="409" t="s">
        <v>296</v>
      </c>
      <c r="F3812" s="410"/>
      <c r="G3812" s="410"/>
      <c r="H3812" s="410"/>
      <c r="I3812" s="411"/>
    </row>
    <row r="3813" spans="2:13" ht="9" customHeight="1" thickBot="1" x14ac:dyDescent="0.3">
      <c r="B3813" s="415"/>
      <c r="C3813" s="416"/>
      <c r="D3813" s="408"/>
      <c r="E3813" s="412"/>
      <c r="F3813" s="413"/>
      <c r="G3813" s="413"/>
      <c r="H3813" s="413"/>
      <c r="I3813" s="414"/>
    </row>
    <row r="3814" spans="2:13" ht="6" customHeight="1" thickBot="1" x14ac:dyDescent="0.3">
      <c r="B3814" s="373"/>
      <c r="C3814" s="373"/>
      <c r="D3814" s="373"/>
      <c r="E3814" s="373"/>
      <c r="F3814" s="373"/>
      <c r="G3814" s="373"/>
      <c r="H3814" s="373"/>
      <c r="I3814" s="373"/>
    </row>
    <row r="3815" spans="2:13" ht="17.25" customHeight="1" thickBot="1" x14ac:dyDescent="0.3">
      <c r="B3815" s="390" t="s">
        <v>297</v>
      </c>
      <c r="C3815" s="391"/>
      <c r="D3815" s="392"/>
      <c r="E3815" s="393"/>
      <c r="F3815" s="393"/>
      <c r="G3815" s="394"/>
      <c r="H3815" s="127" t="s">
        <v>298</v>
      </c>
      <c r="I3815" s="128"/>
    </row>
    <row r="3816" spans="2:13" ht="6" customHeight="1" thickBot="1" x14ac:dyDescent="0.3">
      <c r="B3816" s="373"/>
      <c r="C3816" s="373"/>
      <c r="D3816" s="373"/>
      <c r="E3816" s="373"/>
      <c r="F3816" s="373"/>
      <c r="G3816" s="373"/>
      <c r="H3816" s="373"/>
      <c r="I3816" s="373"/>
    </row>
    <row r="3817" spans="2:13" ht="19.5" customHeight="1" x14ac:dyDescent="0.25">
      <c r="B3817" s="261" t="s">
        <v>299</v>
      </c>
      <c r="C3817" s="129" t="s">
        <v>300</v>
      </c>
      <c r="D3817" s="130" t="s">
        <v>301</v>
      </c>
      <c r="E3817" s="130" t="s">
        <v>302</v>
      </c>
      <c r="F3817" s="398" t="s">
        <v>303</v>
      </c>
      <c r="G3817" s="399"/>
      <c r="H3817" s="400"/>
      <c r="I3817" s="131" t="s">
        <v>304</v>
      </c>
    </row>
    <row r="3818" spans="2:13" ht="11.25" customHeight="1" x14ac:dyDescent="0.25">
      <c r="B3818" s="262"/>
      <c r="C3818" s="132"/>
      <c r="D3818" s="132" t="s">
        <v>305</v>
      </c>
      <c r="E3818" s="132" t="s">
        <v>306</v>
      </c>
      <c r="F3818" s="395" t="s">
        <v>339</v>
      </c>
      <c r="G3818" s="396"/>
      <c r="H3818" s="397"/>
      <c r="I3818" s="133"/>
    </row>
    <row r="3819" spans="2:13" ht="28.5" customHeight="1" x14ac:dyDescent="0.25">
      <c r="B3819" s="263" t="s">
        <v>307</v>
      </c>
      <c r="C3819" s="383" t="s">
        <v>414</v>
      </c>
      <c r="D3819" s="384"/>
      <c r="E3819" s="384"/>
      <c r="F3819" s="384"/>
      <c r="G3819" s="384"/>
      <c r="H3819" s="384"/>
      <c r="I3819" s="385"/>
    </row>
    <row r="3820" spans="2:13" ht="10.5" customHeight="1" x14ac:dyDescent="0.25">
      <c r="B3820" s="264" t="s">
        <v>129</v>
      </c>
      <c r="C3820" s="388" t="s">
        <v>308</v>
      </c>
      <c r="D3820" s="389"/>
      <c r="E3820" s="389"/>
      <c r="F3820" s="389"/>
      <c r="G3820" s="389"/>
      <c r="H3820" s="389"/>
      <c r="I3820" s="134" t="s">
        <v>130</v>
      </c>
    </row>
    <row r="3821" spans="2:13" ht="50.25" customHeight="1" thickBot="1" x14ac:dyDescent="0.3">
      <c r="B3821" s="265">
        <v>9.1999999999999957</v>
      </c>
      <c r="C3821" s="386" t="s">
        <v>628</v>
      </c>
      <c r="D3821" s="387"/>
      <c r="E3821" s="387"/>
      <c r="F3821" s="387"/>
      <c r="G3821" s="387"/>
      <c r="H3821" s="387"/>
      <c r="I3821" s="135" t="s">
        <v>27</v>
      </c>
    </row>
    <row r="3822" spans="2:13" ht="6" customHeight="1" thickBot="1" x14ac:dyDescent="0.3">
      <c r="B3822" s="373"/>
      <c r="C3822" s="373"/>
      <c r="D3822" s="373"/>
      <c r="E3822" s="373"/>
      <c r="F3822" s="373"/>
      <c r="G3822" s="373"/>
      <c r="H3822" s="373"/>
      <c r="I3822" s="373"/>
    </row>
    <row r="3823" spans="2:13" x14ac:dyDescent="0.25">
      <c r="B3823" s="380" t="s">
        <v>309</v>
      </c>
      <c r="C3823" s="381"/>
      <c r="D3823" s="381"/>
      <c r="E3823" s="381"/>
      <c r="F3823" s="381"/>
      <c r="G3823" s="381"/>
      <c r="H3823" s="381"/>
      <c r="I3823" s="382"/>
      <c r="K3823" s="182"/>
    </row>
    <row r="3824" spans="2:13" ht="11.25" customHeight="1" x14ac:dyDescent="0.25">
      <c r="B3824" s="377" t="s">
        <v>310</v>
      </c>
      <c r="C3824" s="378"/>
      <c r="D3824" s="379"/>
      <c r="E3824" s="136"/>
      <c r="F3824" s="137" t="s">
        <v>311</v>
      </c>
      <c r="G3824" s="137" t="s">
        <v>312</v>
      </c>
      <c r="H3824" s="137" t="s">
        <v>313</v>
      </c>
      <c r="I3824" s="138" t="s">
        <v>314</v>
      </c>
      <c r="L3824" s="139"/>
      <c r="M3824" s="139"/>
    </row>
    <row r="3825" spans="2:15" ht="11.25" customHeight="1" x14ac:dyDescent="0.25">
      <c r="B3825" s="362" t="s">
        <v>315</v>
      </c>
      <c r="C3825" s="363"/>
      <c r="D3825" s="363"/>
      <c r="E3825" s="160"/>
      <c r="F3825" s="161" t="s">
        <v>316</v>
      </c>
      <c r="G3825" s="160">
        <v>5000</v>
      </c>
      <c r="H3825" s="142">
        <v>0.9</v>
      </c>
      <c r="I3825" s="143">
        <f>G3825*H3825</f>
        <v>4500</v>
      </c>
    </row>
    <row r="3826" spans="2:15" ht="16.5" customHeight="1" x14ac:dyDescent="0.25">
      <c r="B3826" s="362" t="s">
        <v>355</v>
      </c>
      <c r="C3826" s="363"/>
      <c r="D3826" s="363"/>
      <c r="E3826" s="160"/>
      <c r="F3826" s="161" t="s">
        <v>317</v>
      </c>
      <c r="G3826" s="160">
        <v>90000</v>
      </c>
      <c r="H3826" s="142">
        <f>+H3825</f>
        <v>0.9</v>
      </c>
      <c r="I3826" s="143">
        <f>G3826*H3826</f>
        <v>81000</v>
      </c>
    </row>
    <row r="3827" spans="2:15" ht="10.5" customHeight="1" thickBot="1" x14ac:dyDescent="0.3">
      <c r="B3827" s="371" t="s">
        <v>318</v>
      </c>
      <c r="C3827" s="372"/>
      <c r="D3827" s="372"/>
      <c r="E3827" s="372"/>
      <c r="F3827" s="372"/>
      <c r="G3827" s="372"/>
      <c r="H3827" s="372"/>
      <c r="I3827" s="144">
        <f>SUM(I3825:I3826)</f>
        <v>85500</v>
      </c>
      <c r="N3827" s="150"/>
    </row>
    <row r="3828" spans="2:15" ht="6" customHeight="1" thickBot="1" x14ac:dyDescent="0.3">
      <c r="B3828" s="373"/>
      <c r="C3828" s="373"/>
      <c r="D3828" s="373"/>
      <c r="E3828" s="373"/>
      <c r="F3828" s="373"/>
      <c r="G3828" s="373"/>
      <c r="H3828" s="373"/>
      <c r="I3828" s="373"/>
    </row>
    <row r="3829" spans="2:15" s="145" customFormat="1" x14ac:dyDescent="0.25">
      <c r="B3829" s="380" t="s">
        <v>319</v>
      </c>
      <c r="C3829" s="381"/>
      <c r="D3829" s="381"/>
      <c r="E3829" s="381"/>
      <c r="F3829" s="381"/>
      <c r="G3829" s="381"/>
      <c r="H3829" s="381"/>
      <c r="I3829" s="382"/>
    </row>
    <row r="3830" spans="2:15" s="145" customFormat="1" ht="15.75" customHeight="1" x14ac:dyDescent="0.25">
      <c r="B3830" s="377" t="s">
        <v>310</v>
      </c>
      <c r="C3830" s="378"/>
      <c r="D3830" s="379"/>
      <c r="E3830" s="137"/>
      <c r="F3830" s="137" t="s">
        <v>320</v>
      </c>
      <c r="G3830" s="137" t="s">
        <v>321</v>
      </c>
      <c r="H3830" s="137" t="s">
        <v>322</v>
      </c>
      <c r="I3830" s="138" t="s">
        <v>314</v>
      </c>
    </row>
    <row r="3831" spans="2:15" ht="72.75" customHeight="1" x14ac:dyDescent="0.25">
      <c r="B3831" s="436" t="s">
        <v>628</v>
      </c>
      <c r="C3831" s="437"/>
      <c r="D3831" s="438"/>
      <c r="E3831" s="163"/>
      <c r="F3831" s="161" t="s">
        <v>27</v>
      </c>
      <c r="G3831" s="160">
        <f>1189923+3062272+1673635-5059078+1+1165487+180285+1281173+1815635-1196781+1-1492352+1</f>
        <v>2620202</v>
      </c>
      <c r="H3831" s="142">
        <v>1</v>
      </c>
      <c r="I3831" s="143">
        <f>G3831*H3831</f>
        <v>2620202</v>
      </c>
      <c r="M3831">
        <v>4608265</v>
      </c>
    </row>
    <row r="3832" spans="2:15" ht="18" customHeight="1" thickBot="1" x14ac:dyDescent="0.3">
      <c r="B3832" s="371" t="s">
        <v>318</v>
      </c>
      <c r="C3832" s="372"/>
      <c r="D3832" s="372"/>
      <c r="E3832" s="372"/>
      <c r="F3832" s="372"/>
      <c r="G3832" s="372"/>
      <c r="H3832" s="372"/>
      <c r="I3832" s="144">
        <f>SUM(I3831:I3831)</f>
        <v>2620202</v>
      </c>
      <c r="N3832" s="150"/>
    </row>
    <row r="3833" spans="2:15" ht="6" customHeight="1" thickBot="1" x14ac:dyDescent="0.3">
      <c r="B3833" s="373"/>
      <c r="C3833" s="373"/>
      <c r="D3833" s="373"/>
      <c r="E3833" s="373"/>
      <c r="F3833" s="373"/>
      <c r="G3833" s="373"/>
      <c r="H3833" s="373"/>
      <c r="I3833" s="373"/>
    </row>
    <row r="3834" spans="2:15" s="145" customFormat="1" x14ac:dyDescent="0.25">
      <c r="B3834" s="380" t="s">
        <v>323</v>
      </c>
      <c r="C3834" s="381"/>
      <c r="D3834" s="381"/>
      <c r="E3834" s="381"/>
      <c r="F3834" s="381"/>
      <c r="G3834" s="381"/>
      <c r="H3834" s="381"/>
      <c r="I3834" s="382"/>
      <c r="L3834" s="146"/>
      <c r="M3834" s="146"/>
    </row>
    <row r="3835" spans="2:15" s="145" customFormat="1" x14ac:dyDescent="0.25">
      <c r="B3835" s="377" t="s">
        <v>324</v>
      </c>
      <c r="C3835" s="378"/>
      <c r="D3835" s="379"/>
      <c r="E3835" s="137" t="s">
        <v>325</v>
      </c>
      <c r="F3835" s="137" t="s">
        <v>326</v>
      </c>
      <c r="G3835" s="137" t="s">
        <v>130</v>
      </c>
      <c r="H3835" s="137" t="s">
        <v>327</v>
      </c>
      <c r="I3835" s="138" t="s">
        <v>314</v>
      </c>
      <c r="K3835" s="260"/>
      <c r="N3835" s="183"/>
      <c r="O3835" s="148"/>
    </row>
    <row r="3836" spans="2:15" ht="11.25" customHeight="1" x14ac:dyDescent="0.25">
      <c r="B3836" s="362" t="s">
        <v>711</v>
      </c>
      <c r="C3836" s="363"/>
      <c r="D3836" s="363"/>
      <c r="E3836" s="170">
        <v>1</v>
      </c>
      <c r="F3836" s="164"/>
      <c r="G3836" s="161"/>
      <c r="H3836" s="162">
        <v>25000</v>
      </c>
      <c r="I3836" s="143">
        <f>H3836*E3836</f>
        <v>25000</v>
      </c>
      <c r="K3836" s="281"/>
    </row>
    <row r="3837" spans="2:15" ht="10.5" customHeight="1" thickBot="1" x14ac:dyDescent="0.3">
      <c r="B3837" s="371" t="s">
        <v>318</v>
      </c>
      <c r="C3837" s="372"/>
      <c r="D3837" s="372"/>
      <c r="E3837" s="372"/>
      <c r="F3837" s="372"/>
      <c r="G3837" s="372"/>
      <c r="H3837" s="372"/>
      <c r="I3837" s="144">
        <f>SUM(I3836:I3836)</f>
        <v>25000</v>
      </c>
      <c r="K3837" s="281"/>
      <c r="N3837" s="150"/>
    </row>
    <row r="3838" spans="2:15" ht="6" customHeight="1" thickBot="1" x14ac:dyDescent="0.3">
      <c r="B3838" s="373"/>
      <c r="C3838" s="373"/>
      <c r="D3838" s="373"/>
      <c r="E3838" s="373"/>
      <c r="F3838" s="373"/>
      <c r="G3838" s="373"/>
      <c r="H3838" s="373"/>
      <c r="I3838" s="373"/>
    </row>
    <row r="3839" spans="2:15" s="145" customFormat="1" ht="20.100000000000001" customHeight="1" x14ac:dyDescent="0.25">
      <c r="B3839" s="380" t="s">
        <v>328</v>
      </c>
      <c r="C3839" s="381"/>
      <c r="D3839" s="381"/>
      <c r="E3839" s="381"/>
      <c r="F3839" s="381"/>
      <c r="G3839" s="381"/>
      <c r="H3839" s="381"/>
      <c r="I3839" s="382"/>
      <c r="K3839" s="147">
        <v>3154987.5</v>
      </c>
      <c r="N3839" s="148"/>
      <c r="O3839" s="149"/>
    </row>
    <row r="3840" spans="2:15" s="145" customFormat="1" ht="20.100000000000001" customHeight="1" x14ac:dyDescent="0.25">
      <c r="B3840" s="377" t="s">
        <v>329</v>
      </c>
      <c r="C3840" s="379"/>
      <c r="D3840" s="137" t="s">
        <v>322</v>
      </c>
      <c r="E3840" s="137" t="s">
        <v>330</v>
      </c>
      <c r="F3840" s="137" t="s">
        <v>331</v>
      </c>
      <c r="G3840" s="137" t="s">
        <v>332</v>
      </c>
      <c r="H3840" s="137" t="s">
        <v>313</v>
      </c>
      <c r="I3840" s="138" t="s">
        <v>314</v>
      </c>
      <c r="K3840" s="147">
        <f>+K3839-I3846</f>
        <v>-0.5</v>
      </c>
      <c r="O3840" s="179"/>
    </row>
    <row r="3841" spans="2:14" s="151" customFormat="1" ht="9.75" customHeight="1" x14ac:dyDescent="0.25">
      <c r="B3841" s="367" t="s">
        <v>356</v>
      </c>
      <c r="C3841" s="368"/>
      <c r="D3841" s="180">
        <v>1</v>
      </c>
      <c r="E3841" s="141">
        <v>140000</v>
      </c>
      <c r="F3841" s="141">
        <f>+E3841*0.8</f>
        <v>112000</v>
      </c>
      <c r="G3841" s="178">
        <f>D3841*E3841+F3841*D3841</f>
        <v>252000</v>
      </c>
      <c r="H3841" s="184">
        <v>1.4</v>
      </c>
      <c r="I3841" s="143">
        <f>+G3841/H3841</f>
        <v>180000</v>
      </c>
      <c r="J3841" s="145"/>
      <c r="K3841" s="147"/>
    </row>
    <row r="3842" spans="2:14" s="151" customFormat="1" ht="11.25" customHeight="1" x14ac:dyDescent="0.25">
      <c r="B3842" s="367" t="s">
        <v>374</v>
      </c>
      <c r="C3842" s="368"/>
      <c r="D3842" s="180">
        <v>1</v>
      </c>
      <c r="E3842" s="141">
        <v>80000</v>
      </c>
      <c r="F3842" s="141">
        <f>+E3842*0.8</f>
        <v>64000</v>
      </c>
      <c r="G3842" s="178">
        <f>D3842*E3842+F3842*D3842</f>
        <v>144000</v>
      </c>
      <c r="H3842" s="184">
        <f>+H3841</f>
        <v>1.4</v>
      </c>
      <c r="I3842" s="143">
        <f>+G3842/H3842</f>
        <v>102857.14285714287</v>
      </c>
      <c r="J3842" s="145"/>
      <c r="K3842" s="147"/>
      <c r="L3842" s="179"/>
      <c r="M3842" s="179"/>
    </row>
    <row r="3843" spans="2:14" s="145" customFormat="1" ht="10.5" customHeight="1" x14ac:dyDescent="0.25">
      <c r="B3843" s="367" t="s">
        <v>333</v>
      </c>
      <c r="C3843" s="368"/>
      <c r="D3843" s="180">
        <v>2</v>
      </c>
      <c r="E3843" s="141">
        <v>55000</v>
      </c>
      <c r="F3843" s="141">
        <f>+E3843*0.8</f>
        <v>44000</v>
      </c>
      <c r="G3843" s="178">
        <f>D3843*E3843+F3843*D3843</f>
        <v>198000</v>
      </c>
      <c r="H3843" s="184">
        <f>+H3842</f>
        <v>1.4</v>
      </c>
      <c r="I3843" s="143">
        <f>+G3843/H3843</f>
        <v>141428.57142857145</v>
      </c>
      <c r="K3843" s="147"/>
    </row>
    <row r="3844" spans="2:14" ht="10.5" customHeight="1" thickBot="1" x14ac:dyDescent="0.3">
      <c r="B3844" s="371" t="s">
        <v>318</v>
      </c>
      <c r="C3844" s="372"/>
      <c r="D3844" s="372"/>
      <c r="E3844" s="372"/>
      <c r="F3844" s="372"/>
      <c r="G3844" s="372"/>
      <c r="H3844" s="372"/>
      <c r="I3844" s="144">
        <f>SUM(I3841:I3843)</f>
        <v>424285.71428571432</v>
      </c>
      <c r="K3844" s="281"/>
      <c r="N3844" s="150"/>
    </row>
    <row r="3845" spans="2:14" ht="6" customHeight="1" thickBot="1" x14ac:dyDescent="0.3">
      <c r="B3845" s="373"/>
      <c r="C3845" s="373"/>
      <c r="D3845" s="373"/>
      <c r="E3845" s="373"/>
      <c r="F3845" s="373"/>
      <c r="G3845" s="373"/>
      <c r="H3845" s="373"/>
      <c r="I3845" s="373"/>
    </row>
    <row r="3846" spans="2:14" ht="10.5" customHeight="1" thickBot="1" x14ac:dyDescent="0.3">
      <c r="B3846" s="374" t="s">
        <v>334</v>
      </c>
      <c r="C3846" s="375"/>
      <c r="D3846" s="375"/>
      <c r="E3846" s="375"/>
      <c r="F3846" s="375"/>
      <c r="G3846" s="375"/>
      <c r="H3846" s="376"/>
      <c r="I3846" s="152">
        <f>ROUND(+I3827+I3832+I3837+I3844,0)</f>
        <v>3154988</v>
      </c>
      <c r="J3846" s="281"/>
      <c r="K3846" s="169"/>
      <c r="L3846" s="181"/>
      <c r="M3846" s="181"/>
      <c r="N3846" s="153"/>
    </row>
    <row r="3847" spans="2:14" ht="6" customHeight="1" thickBot="1" x14ac:dyDescent="0.3">
      <c r="B3847" s="373"/>
      <c r="C3847" s="373"/>
      <c r="D3847" s="373"/>
      <c r="E3847" s="373"/>
      <c r="F3847" s="373"/>
      <c r="G3847" s="373"/>
      <c r="H3847" s="373"/>
      <c r="I3847" s="373"/>
    </row>
    <row r="3848" spans="2:14" ht="8.25" customHeight="1" x14ac:dyDescent="0.25">
      <c r="B3848" s="433" t="s">
        <v>335</v>
      </c>
      <c r="C3848" s="417"/>
      <c r="D3848" s="418"/>
      <c r="E3848" s="418"/>
      <c r="F3848" s="419"/>
      <c r="G3848" s="369" t="s">
        <v>336</v>
      </c>
      <c r="H3848" s="370"/>
      <c r="I3848" s="370"/>
    </row>
    <row r="3849" spans="2:14" ht="33.75" customHeight="1" x14ac:dyDescent="0.25">
      <c r="B3849" s="434"/>
      <c r="C3849" s="420"/>
      <c r="D3849" s="421"/>
      <c r="E3849" s="421"/>
      <c r="F3849" s="422"/>
      <c r="G3849" s="430" t="s">
        <v>337</v>
      </c>
      <c r="H3849" s="431"/>
      <c r="I3849" s="431"/>
      <c r="L3849" s="181"/>
      <c r="M3849" s="181"/>
      <c r="N3849" s="179"/>
    </row>
    <row r="3850" spans="2:14" ht="13.5" customHeight="1" x14ac:dyDescent="0.25">
      <c r="B3850" s="434"/>
      <c r="C3850" s="420"/>
      <c r="D3850" s="421"/>
      <c r="E3850" s="421"/>
      <c r="F3850" s="422"/>
      <c r="G3850" s="154" t="s">
        <v>92</v>
      </c>
      <c r="H3850" s="432" t="s">
        <v>93</v>
      </c>
      <c r="I3850" s="432"/>
    </row>
    <row r="3851" spans="2:14" ht="16.5" customHeight="1" x14ac:dyDescent="0.25">
      <c r="B3851" s="435"/>
      <c r="C3851" s="420"/>
      <c r="D3851" s="421"/>
      <c r="E3851" s="421"/>
      <c r="F3851" s="422"/>
      <c r="G3851" s="155" t="s">
        <v>94</v>
      </c>
      <c r="H3851" s="156" t="s">
        <v>95</v>
      </c>
      <c r="I3851" s="157" t="s">
        <v>96</v>
      </c>
    </row>
    <row r="3852" spans="2:14" x14ac:dyDescent="0.25">
      <c r="B3852" s="268" t="s">
        <v>18</v>
      </c>
      <c r="C3852" s="427"/>
      <c r="D3852" s="428"/>
      <c r="E3852" s="428"/>
      <c r="F3852" s="429"/>
      <c r="G3852" s="155" t="s">
        <v>98</v>
      </c>
      <c r="H3852" s="157" t="s">
        <v>99</v>
      </c>
      <c r="I3852" s="157" t="s">
        <v>100</v>
      </c>
    </row>
    <row r="3853" spans="2:14" x14ac:dyDescent="0.25">
      <c r="B3853" s="269" t="s">
        <v>97</v>
      </c>
      <c r="C3853" s="427"/>
      <c r="D3853" s="428"/>
      <c r="E3853" s="428"/>
      <c r="F3853" s="429"/>
      <c r="G3853" s="154" t="s">
        <v>338</v>
      </c>
      <c r="H3853" s="426"/>
      <c r="I3853" s="426"/>
    </row>
    <row r="3854" spans="2:14" ht="15.75" thickBot="1" x14ac:dyDescent="0.3">
      <c r="B3854" s="270" t="s">
        <v>101</v>
      </c>
      <c r="C3854" s="423"/>
      <c r="D3854" s="424"/>
      <c r="E3854" s="424"/>
      <c r="F3854" s="425"/>
      <c r="G3854" s="154" t="s">
        <v>102</v>
      </c>
      <c r="H3854" s="426" t="s">
        <v>103</v>
      </c>
      <c r="I3854" s="426"/>
    </row>
    <row r="3855" spans="2:14" ht="45" customHeight="1" thickBot="1" x14ac:dyDescent="0.3">
      <c r="B3855" s="401"/>
      <c r="C3855" s="402"/>
      <c r="D3855" s="402"/>
      <c r="E3855" s="402"/>
      <c r="F3855" s="403" t="s">
        <v>0</v>
      </c>
      <c r="G3855" s="403"/>
      <c r="H3855" s="403"/>
      <c r="I3855" s="404"/>
    </row>
    <row r="3856" spans="2:14" ht="6" customHeight="1" thickBot="1" x14ac:dyDescent="0.3">
      <c r="B3856" s="373"/>
      <c r="C3856" s="373"/>
      <c r="D3856" s="373"/>
      <c r="E3856" s="373"/>
      <c r="F3856" s="373"/>
      <c r="G3856" s="373"/>
      <c r="H3856" s="373"/>
      <c r="I3856" s="373"/>
    </row>
    <row r="3857" spans="2:14" ht="10.5" customHeight="1" x14ac:dyDescent="0.25">
      <c r="B3857" s="405" t="s">
        <v>294</v>
      </c>
      <c r="C3857" s="406"/>
      <c r="D3857" s="407" t="s">
        <v>295</v>
      </c>
      <c r="E3857" s="409" t="s">
        <v>296</v>
      </c>
      <c r="F3857" s="410"/>
      <c r="G3857" s="410"/>
      <c r="H3857" s="410"/>
      <c r="I3857" s="411"/>
    </row>
    <row r="3858" spans="2:14" ht="9" customHeight="1" thickBot="1" x14ac:dyDescent="0.3">
      <c r="B3858" s="415"/>
      <c r="C3858" s="416"/>
      <c r="D3858" s="408"/>
      <c r="E3858" s="412"/>
      <c r="F3858" s="413"/>
      <c r="G3858" s="413"/>
      <c r="H3858" s="413"/>
      <c r="I3858" s="414"/>
    </row>
    <row r="3859" spans="2:14" ht="6" customHeight="1" thickBot="1" x14ac:dyDescent="0.3">
      <c r="B3859" s="373"/>
      <c r="C3859" s="373"/>
      <c r="D3859" s="373"/>
      <c r="E3859" s="373"/>
      <c r="F3859" s="373"/>
      <c r="G3859" s="373"/>
      <c r="H3859" s="373"/>
      <c r="I3859" s="373"/>
    </row>
    <row r="3860" spans="2:14" ht="17.25" customHeight="1" thickBot="1" x14ac:dyDescent="0.3">
      <c r="B3860" s="390" t="s">
        <v>297</v>
      </c>
      <c r="C3860" s="391"/>
      <c r="D3860" s="392"/>
      <c r="E3860" s="393"/>
      <c r="F3860" s="393"/>
      <c r="G3860" s="394"/>
      <c r="H3860" s="127" t="s">
        <v>298</v>
      </c>
      <c r="I3860" s="128"/>
    </row>
    <row r="3861" spans="2:14" ht="6" customHeight="1" thickBot="1" x14ac:dyDescent="0.3">
      <c r="B3861" s="373"/>
      <c r="C3861" s="373"/>
      <c r="D3861" s="373"/>
      <c r="E3861" s="373"/>
      <c r="F3861" s="373"/>
      <c r="G3861" s="373"/>
      <c r="H3861" s="373"/>
      <c r="I3861" s="373"/>
    </row>
    <row r="3862" spans="2:14" ht="19.5" customHeight="1" x14ac:dyDescent="0.25">
      <c r="B3862" s="261" t="s">
        <v>299</v>
      </c>
      <c r="C3862" s="129" t="s">
        <v>300</v>
      </c>
      <c r="D3862" s="130" t="s">
        <v>301</v>
      </c>
      <c r="E3862" s="130" t="s">
        <v>302</v>
      </c>
      <c r="F3862" s="398" t="s">
        <v>303</v>
      </c>
      <c r="G3862" s="399"/>
      <c r="H3862" s="400"/>
      <c r="I3862" s="131" t="s">
        <v>304</v>
      </c>
    </row>
    <row r="3863" spans="2:14" ht="11.25" customHeight="1" x14ac:dyDescent="0.25">
      <c r="B3863" s="262"/>
      <c r="C3863" s="132"/>
      <c r="D3863" s="132" t="s">
        <v>305</v>
      </c>
      <c r="E3863" s="132" t="s">
        <v>306</v>
      </c>
      <c r="F3863" s="395" t="s">
        <v>339</v>
      </c>
      <c r="G3863" s="396"/>
      <c r="H3863" s="397"/>
      <c r="I3863" s="133"/>
    </row>
    <row r="3864" spans="2:14" ht="28.5" customHeight="1" x14ac:dyDescent="0.25">
      <c r="B3864" s="263" t="s">
        <v>307</v>
      </c>
      <c r="C3864" s="383" t="s">
        <v>414</v>
      </c>
      <c r="D3864" s="384"/>
      <c r="E3864" s="384"/>
      <c r="F3864" s="384"/>
      <c r="G3864" s="384"/>
      <c r="H3864" s="384"/>
      <c r="I3864" s="385"/>
    </row>
    <row r="3865" spans="2:14" ht="10.5" customHeight="1" x14ac:dyDescent="0.25">
      <c r="B3865" s="264" t="s">
        <v>129</v>
      </c>
      <c r="C3865" s="388" t="s">
        <v>308</v>
      </c>
      <c r="D3865" s="389"/>
      <c r="E3865" s="389"/>
      <c r="F3865" s="389"/>
      <c r="G3865" s="389"/>
      <c r="H3865" s="389"/>
      <c r="I3865" s="134" t="s">
        <v>130</v>
      </c>
    </row>
    <row r="3866" spans="2:14" ht="50.25" customHeight="1" thickBot="1" x14ac:dyDescent="0.3">
      <c r="B3866" s="265">
        <v>9.2099999999999955</v>
      </c>
      <c r="C3866" s="386" t="s">
        <v>629</v>
      </c>
      <c r="D3866" s="387"/>
      <c r="E3866" s="387"/>
      <c r="F3866" s="387"/>
      <c r="G3866" s="387"/>
      <c r="H3866" s="387"/>
      <c r="I3866" s="135" t="s">
        <v>27</v>
      </c>
    </row>
    <row r="3867" spans="2:14" ht="6" customHeight="1" thickBot="1" x14ac:dyDescent="0.3">
      <c r="B3867" s="373"/>
      <c r="C3867" s="373"/>
      <c r="D3867" s="373"/>
      <c r="E3867" s="373"/>
      <c r="F3867" s="373"/>
      <c r="G3867" s="373"/>
      <c r="H3867" s="373"/>
      <c r="I3867" s="373"/>
    </row>
    <row r="3868" spans="2:14" x14ac:dyDescent="0.25">
      <c r="B3868" s="380" t="s">
        <v>309</v>
      </c>
      <c r="C3868" s="381"/>
      <c r="D3868" s="381"/>
      <c r="E3868" s="381"/>
      <c r="F3868" s="381"/>
      <c r="G3868" s="381"/>
      <c r="H3868" s="381"/>
      <c r="I3868" s="382"/>
      <c r="K3868" s="182"/>
    </row>
    <row r="3869" spans="2:14" ht="11.25" customHeight="1" x14ac:dyDescent="0.25">
      <c r="B3869" s="377" t="s">
        <v>310</v>
      </c>
      <c r="C3869" s="378"/>
      <c r="D3869" s="379"/>
      <c r="E3869" s="136"/>
      <c r="F3869" s="137" t="s">
        <v>311</v>
      </c>
      <c r="G3869" s="137" t="s">
        <v>312</v>
      </c>
      <c r="H3869" s="137" t="s">
        <v>313</v>
      </c>
      <c r="I3869" s="138" t="s">
        <v>314</v>
      </c>
      <c r="L3869" s="139"/>
      <c r="M3869" s="139"/>
    </row>
    <row r="3870" spans="2:14" ht="11.25" customHeight="1" x14ac:dyDescent="0.25">
      <c r="B3870" s="362" t="s">
        <v>315</v>
      </c>
      <c r="C3870" s="363"/>
      <c r="D3870" s="363"/>
      <c r="E3870" s="160"/>
      <c r="F3870" s="161" t="s">
        <v>316</v>
      </c>
      <c r="G3870" s="160">
        <v>5000</v>
      </c>
      <c r="H3870" s="142">
        <v>1.2</v>
      </c>
      <c r="I3870" s="143">
        <f>G3870*H3870</f>
        <v>6000</v>
      </c>
    </row>
    <row r="3871" spans="2:14" ht="16.5" customHeight="1" x14ac:dyDescent="0.25">
      <c r="B3871" s="362" t="s">
        <v>355</v>
      </c>
      <c r="C3871" s="363"/>
      <c r="D3871" s="363"/>
      <c r="E3871" s="160"/>
      <c r="F3871" s="161" t="s">
        <v>317</v>
      </c>
      <c r="G3871" s="160">
        <v>90000</v>
      </c>
      <c r="H3871" s="142">
        <f>+H3870</f>
        <v>1.2</v>
      </c>
      <c r="I3871" s="143">
        <f>G3871*H3871</f>
        <v>108000</v>
      </c>
    </row>
    <row r="3872" spans="2:14" ht="10.5" customHeight="1" thickBot="1" x14ac:dyDescent="0.3">
      <c r="B3872" s="371" t="s">
        <v>318</v>
      </c>
      <c r="C3872" s="372"/>
      <c r="D3872" s="372"/>
      <c r="E3872" s="372"/>
      <c r="F3872" s="372"/>
      <c r="G3872" s="372"/>
      <c r="H3872" s="372"/>
      <c r="I3872" s="144">
        <f>SUM(I3870:I3871)</f>
        <v>114000</v>
      </c>
      <c r="N3872" s="150"/>
    </row>
    <row r="3873" spans="2:15" ht="6" customHeight="1" thickBot="1" x14ac:dyDescent="0.3">
      <c r="B3873" s="373"/>
      <c r="C3873" s="373"/>
      <c r="D3873" s="373"/>
      <c r="E3873" s="373"/>
      <c r="F3873" s="373"/>
      <c r="G3873" s="373"/>
      <c r="H3873" s="373"/>
      <c r="I3873" s="373"/>
    </row>
    <row r="3874" spans="2:15" s="145" customFormat="1" x14ac:dyDescent="0.25">
      <c r="B3874" s="380" t="s">
        <v>319</v>
      </c>
      <c r="C3874" s="381"/>
      <c r="D3874" s="381"/>
      <c r="E3874" s="381"/>
      <c r="F3874" s="381"/>
      <c r="G3874" s="381"/>
      <c r="H3874" s="381"/>
      <c r="I3874" s="382"/>
    </row>
    <row r="3875" spans="2:15" s="145" customFormat="1" ht="15.75" customHeight="1" x14ac:dyDescent="0.25">
      <c r="B3875" s="377" t="s">
        <v>310</v>
      </c>
      <c r="C3875" s="378"/>
      <c r="D3875" s="379"/>
      <c r="E3875" s="137"/>
      <c r="F3875" s="137" t="s">
        <v>320</v>
      </c>
      <c r="G3875" s="137" t="s">
        <v>321</v>
      </c>
      <c r="H3875" s="137" t="s">
        <v>322</v>
      </c>
      <c r="I3875" s="138" t="s">
        <v>314</v>
      </c>
    </row>
    <row r="3876" spans="2:15" ht="72.75" customHeight="1" x14ac:dyDescent="0.25">
      <c r="B3876" s="436" t="s">
        <v>629</v>
      </c>
      <c r="C3876" s="437"/>
      <c r="D3876" s="438"/>
      <c r="E3876" s="163"/>
      <c r="F3876" s="161" t="s">
        <v>27</v>
      </c>
      <c r="G3876" s="160">
        <f>1189923+3062272+1673635-5059078+1+1165487+180285+1281173+1815635-1196781+1+377712</f>
        <v>4490265</v>
      </c>
      <c r="H3876" s="142">
        <v>1</v>
      </c>
      <c r="I3876" s="143">
        <f>G3876*H3876</f>
        <v>4490265</v>
      </c>
      <c r="M3876">
        <v>4608265</v>
      </c>
    </row>
    <row r="3877" spans="2:15" ht="18" customHeight="1" thickBot="1" x14ac:dyDescent="0.3">
      <c r="B3877" s="371" t="s">
        <v>318</v>
      </c>
      <c r="C3877" s="372"/>
      <c r="D3877" s="372"/>
      <c r="E3877" s="372"/>
      <c r="F3877" s="372"/>
      <c r="G3877" s="372"/>
      <c r="H3877" s="372"/>
      <c r="I3877" s="144">
        <f>SUM(I3876:I3876)</f>
        <v>4490265</v>
      </c>
      <c r="N3877" s="150"/>
    </row>
    <row r="3878" spans="2:15" ht="6" customHeight="1" thickBot="1" x14ac:dyDescent="0.3">
      <c r="B3878" s="373"/>
      <c r="C3878" s="373"/>
      <c r="D3878" s="373"/>
      <c r="E3878" s="373"/>
      <c r="F3878" s="373"/>
      <c r="G3878" s="373"/>
      <c r="H3878" s="373"/>
      <c r="I3878" s="373"/>
    </row>
    <row r="3879" spans="2:15" s="145" customFormat="1" x14ac:dyDescent="0.25">
      <c r="B3879" s="380" t="s">
        <v>323</v>
      </c>
      <c r="C3879" s="381"/>
      <c r="D3879" s="381"/>
      <c r="E3879" s="381"/>
      <c r="F3879" s="381"/>
      <c r="G3879" s="381"/>
      <c r="H3879" s="381"/>
      <c r="I3879" s="382"/>
      <c r="L3879" s="146"/>
      <c r="M3879" s="146"/>
    </row>
    <row r="3880" spans="2:15" s="145" customFormat="1" x14ac:dyDescent="0.25">
      <c r="B3880" s="377" t="s">
        <v>324</v>
      </c>
      <c r="C3880" s="378"/>
      <c r="D3880" s="379"/>
      <c r="E3880" s="137" t="s">
        <v>325</v>
      </c>
      <c r="F3880" s="137" t="s">
        <v>326</v>
      </c>
      <c r="G3880" s="137" t="s">
        <v>130</v>
      </c>
      <c r="H3880" s="137" t="s">
        <v>327</v>
      </c>
      <c r="I3880" s="138" t="s">
        <v>314</v>
      </c>
      <c r="K3880" s="260"/>
      <c r="N3880" s="183"/>
      <c r="O3880" s="148"/>
    </row>
    <row r="3881" spans="2:15" ht="11.25" customHeight="1" x14ac:dyDescent="0.25">
      <c r="B3881" s="362" t="s">
        <v>711</v>
      </c>
      <c r="C3881" s="363"/>
      <c r="D3881" s="363"/>
      <c r="E3881" s="170">
        <v>1</v>
      </c>
      <c r="F3881" s="164"/>
      <c r="G3881" s="161"/>
      <c r="H3881" s="162">
        <v>30000</v>
      </c>
      <c r="I3881" s="143">
        <f>H3881*E3881</f>
        <v>30000</v>
      </c>
      <c r="K3881" s="281"/>
    </row>
    <row r="3882" spans="2:15" ht="10.5" customHeight="1" thickBot="1" x14ac:dyDescent="0.3">
      <c r="B3882" s="371" t="s">
        <v>318</v>
      </c>
      <c r="C3882" s="372"/>
      <c r="D3882" s="372"/>
      <c r="E3882" s="372"/>
      <c r="F3882" s="372"/>
      <c r="G3882" s="372"/>
      <c r="H3882" s="372"/>
      <c r="I3882" s="144">
        <f>SUM(I3881:I3881)</f>
        <v>30000</v>
      </c>
      <c r="K3882" s="281"/>
      <c r="N3882" s="150"/>
    </row>
    <row r="3883" spans="2:15" ht="6" customHeight="1" thickBot="1" x14ac:dyDescent="0.3">
      <c r="B3883" s="373"/>
      <c r="C3883" s="373"/>
      <c r="D3883" s="373"/>
      <c r="E3883" s="373"/>
      <c r="F3883" s="373"/>
      <c r="G3883" s="373"/>
      <c r="H3883" s="373"/>
      <c r="I3883" s="373"/>
    </row>
    <row r="3884" spans="2:15" s="145" customFormat="1" ht="20.100000000000001" customHeight="1" x14ac:dyDescent="0.25">
      <c r="B3884" s="380" t="s">
        <v>328</v>
      </c>
      <c r="C3884" s="381"/>
      <c r="D3884" s="381"/>
      <c r="E3884" s="381"/>
      <c r="F3884" s="381"/>
      <c r="G3884" s="381"/>
      <c r="H3884" s="381"/>
      <c r="I3884" s="382"/>
      <c r="K3884" s="147">
        <v>5228265</v>
      </c>
      <c r="N3884" s="148"/>
      <c r="O3884" s="149"/>
    </row>
    <row r="3885" spans="2:15" s="145" customFormat="1" ht="20.100000000000001" customHeight="1" x14ac:dyDescent="0.25">
      <c r="B3885" s="377" t="s">
        <v>329</v>
      </c>
      <c r="C3885" s="379"/>
      <c r="D3885" s="137" t="s">
        <v>322</v>
      </c>
      <c r="E3885" s="137" t="s">
        <v>330</v>
      </c>
      <c r="F3885" s="137" t="s">
        <v>331</v>
      </c>
      <c r="G3885" s="137" t="s">
        <v>332</v>
      </c>
      <c r="H3885" s="137" t="s">
        <v>313</v>
      </c>
      <c r="I3885" s="138" t="s">
        <v>314</v>
      </c>
      <c r="K3885" s="147">
        <f>+K3884-I3891</f>
        <v>0</v>
      </c>
      <c r="O3885" s="179"/>
    </row>
    <row r="3886" spans="2:15" s="151" customFormat="1" ht="9.75" customHeight="1" x14ac:dyDescent="0.25">
      <c r="B3886" s="367" t="s">
        <v>356</v>
      </c>
      <c r="C3886" s="368"/>
      <c r="D3886" s="180">
        <v>1</v>
      </c>
      <c r="E3886" s="141">
        <v>140000</v>
      </c>
      <c r="F3886" s="141">
        <f>+E3886*0.8</f>
        <v>112000</v>
      </c>
      <c r="G3886" s="178">
        <f>D3886*E3886+F3886*D3886</f>
        <v>252000</v>
      </c>
      <c r="H3886" s="184">
        <v>1</v>
      </c>
      <c r="I3886" s="143">
        <f>+G3886/H3886</f>
        <v>252000</v>
      </c>
      <c r="J3886" s="145"/>
      <c r="K3886" s="147"/>
    </row>
    <row r="3887" spans="2:15" s="151" customFormat="1" ht="11.25" customHeight="1" x14ac:dyDescent="0.25">
      <c r="B3887" s="367" t="s">
        <v>374</v>
      </c>
      <c r="C3887" s="368"/>
      <c r="D3887" s="180">
        <v>1</v>
      </c>
      <c r="E3887" s="141">
        <v>80000</v>
      </c>
      <c r="F3887" s="141">
        <f>+E3887*0.8</f>
        <v>64000</v>
      </c>
      <c r="G3887" s="178">
        <f>D3887*E3887+F3887*D3887</f>
        <v>144000</v>
      </c>
      <c r="H3887" s="184">
        <f>+H3886</f>
        <v>1</v>
      </c>
      <c r="I3887" s="143">
        <f>+G3887/H3887</f>
        <v>144000</v>
      </c>
      <c r="J3887" s="145"/>
      <c r="K3887" s="147"/>
      <c r="L3887" s="179"/>
      <c r="M3887" s="179"/>
    </row>
    <row r="3888" spans="2:15" s="145" customFormat="1" ht="10.5" customHeight="1" x14ac:dyDescent="0.25">
      <c r="B3888" s="367" t="s">
        <v>333</v>
      </c>
      <c r="C3888" s="368"/>
      <c r="D3888" s="180">
        <v>2</v>
      </c>
      <c r="E3888" s="141">
        <v>55000</v>
      </c>
      <c r="F3888" s="141">
        <f>+E3888*0.8</f>
        <v>44000</v>
      </c>
      <c r="G3888" s="178">
        <f>D3888*E3888+F3888*D3888</f>
        <v>198000</v>
      </c>
      <c r="H3888" s="184">
        <f>+H3887</f>
        <v>1</v>
      </c>
      <c r="I3888" s="143">
        <f>+G3888/H3888</f>
        <v>198000</v>
      </c>
      <c r="K3888" s="147"/>
    </row>
    <row r="3889" spans="2:14" ht="10.5" customHeight="1" thickBot="1" x14ac:dyDescent="0.3">
      <c r="B3889" s="371" t="s">
        <v>318</v>
      </c>
      <c r="C3889" s="372"/>
      <c r="D3889" s="372"/>
      <c r="E3889" s="372"/>
      <c r="F3889" s="372"/>
      <c r="G3889" s="372"/>
      <c r="H3889" s="372"/>
      <c r="I3889" s="144">
        <f>SUM(I3886:I3888)</f>
        <v>594000</v>
      </c>
      <c r="K3889" s="281"/>
      <c r="N3889" s="150"/>
    </row>
    <row r="3890" spans="2:14" ht="6" customHeight="1" thickBot="1" x14ac:dyDescent="0.3">
      <c r="B3890" s="373"/>
      <c r="C3890" s="373"/>
      <c r="D3890" s="373"/>
      <c r="E3890" s="373"/>
      <c r="F3890" s="373"/>
      <c r="G3890" s="373"/>
      <c r="H3890" s="373"/>
      <c r="I3890" s="373"/>
    </row>
    <row r="3891" spans="2:14" ht="10.5" customHeight="1" thickBot="1" x14ac:dyDescent="0.3">
      <c r="B3891" s="374" t="s">
        <v>334</v>
      </c>
      <c r="C3891" s="375"/>
      <c r="D3891" s="375"/>
      <c r="E3891" s="375"/>
      <c r="F3891" s="375"/>
      <c r="G3891" s="375"/>
      <c r="H3891" s="376"/>
      <c r="I3891" s="152">
        <f>ROUND(+I3872+I3877+I3882+I3889,0)</f>
        <v>5228265</v>
      </c>
      <c r="J3891" s="281"/>
      <c r="K3891" s="169"/>
      <c r="L3891" s="181"/>
      <c r="M3891" s="181"/>
      <c r="N3891" s="153"/>
    </row>
    <row r="3892" spans="2:14" ht="6" customHeight="1" thickBot="1" x14ac:dyDescent="0.3">
      <c r="B3892" s="373"/>
      <c r="C3892" s="373"/>
      <c r="D3892" s="373"/>
      <c r="E3892" s="373"/>
      <c r="F3892" s="373"/>
      <c r="G3892" s="373"/>
      <c r="H3892" s="373"/>
      <c r="I3892" s="373"/>
    </row>
    <row r="3893" spans="2:14" ht="8.25" customHeight="1" x14ac:dyDescent="0.25">
      <c r="B3893" s="433" t="s">
        <v>335</v>
      </c>
      <c r="C3893" s="417"/>
      <c r="D3893" s="418"/>
      <c r="E3893" s="418"/>
      <c r="F3893" s="419"/>
      <c r="G3893" s="369" t="s">
        <v>336</v>
      </c>
      <c r="H3893" s="370"/>
      <c r="I3893" s="370"/>
    </row>
    <row r="3894" spans="2:14" ht="33.75" customHeight="1" x14ac:dyDescent="0.25">
      <c r="B3894" s="434"/>
      <c r="C3894" s="420"/>
      <c r="D3894" s="421"/>
      <c r="E3894" s="421"/>
      <c r="F3894" s="422"/>
      <c r="G3894" s="430" t="s">
        <v>337</v>
      </c>
      <c r="H3894" s="431"/>
      <c r="I3894" s="431"/>
      <c r="L3894" s="181"/>
      <c r="M3894" s="181"/>
      <c r="N3894" s="179"/>
    </row>
    <row r="3895" spans="2:14" ht="13.5" customHeight="1" x14ac:dyDescent="0.25">
      <c r="B3895" s="434"/>
      <c r="C3895" s="420"/>
      <c r="D3895" s="421"/>
      <c r="E3895" s="421"/>
      <c r="F3895" s="422"/>
      <c r="G3895" s="154" t="s">
        <v>92</v>
      </c>
      <c r="H3895" s="432" t="s">
        <v>93</v>
      </c>
      <c r="I3895" s="432"/>
    </row>
    <row r="3896" spans="2:14" ht="16.5" customHeight="1" x14ac:dyDescent="0.25">
      <c r="B3896" s="435"/>
      <c r="C3896" s="420"/>
      <c r="D3896" s="421"/>
      <c r="E3896" s="421"/>
      <c r="F3896" s="422"/>
      <c r="G3896" s="155" t="s">
        <v>94</v>
      </c>
      <c r="H3896" s="156" t="s">
        <v>95</v>
      </c>
      <c r="I3896" s="157" t="s">
        <v>96</v>
      </c>
    </row>
    <row r="3897" spans="2:14" x14ac:dyDescent="0.25">
      <c r="B3897" s="268" t="s">
        <v>18</v>
      </c>
      <c r="C3897" s="427"/>
      <c r="D3897" s="428"/>
      <c r="E3897" s="428"/>
      <c r="F3897" s="429"/>
      <c r="G3897" s="155" t="s">
        <v>98</v>
      </c>
      <c r="H3897" s="157" t="s">
        <v>99</v>
      </c>
      <c r="I3897" s="157" t="s">
        <v>100</v>
      </c>
    </row>
    <row r="3898" spans="2:14" x14ac:dyDescent="0.25">
      <c r="B3898" s="269" t="s">
        <v>97</v>
      </c>
      <c r="C3898" s="427"/>
      <c r="D3898" s="428"/>
      <c r="E3898" s="428"/>
      <c r="F3898" s="429"/>
      <c r="G3898" s="154" t="s">
        <v>338</v>
      </c>
      <c r="H3898" s="426"/>
      <c r="I3898" s="426"/>
    </row>
    <row r="3899" spans="2:14" ht="15.75" thickBot="1" x14ac:dyDescent="0.3">
      <c r="B3899" s="270" t="s">
        <v>101</v>
      </c>
      <c r="C3899" s="423"/>
      <c r="D3899" s="424"/>
      <c r="E3899" s="424"/>
      <c r="F3899" s="425"/>
      <c r="G3899" s="154" t="s">
        <v>102</v>
      </c>
      <c r="H3899" s="426" t="s">
        <v>103</v>
      </c>
      <c r="I3899" s="426"/>
    </row>
    <row r="3900" spans="2:14" ht="45" customHeight="1" thickBot="1" x14ac:dyDescent="0.3">
      <c r="B3900" s="401"/>
      <c r="C3900" s="402"/>
      <c r="D3900" s="402"/>
      <c r="E3900" s="402"/>
      <c r="F3900" s="403" t="s">
        <v>0</v>
      </c>
      <c r="G3900" s="403"/>
      <c r="H3900" s="403"/>
      <c r="I3900" s="404"/>
    </row>
    <row r="3901" spans="2:14" ht="6" customHeight="1" thickBot="1" x14ac:dyDescent="0.3">
      <c r="B3901" s="373"/>
      <c r="C3901" s="373"/>
      <c r="D3901" s="373"/>
      <c r="E3901" s="373"/>
      <c r="F3901" s="373"/>
      <c r="G3901" s="373"/>
      <c r="H3901" s="373"/>
      <c r="I3901" s="373"/>
    </row>
    <row r="3902" spans="2:14" ht="10.5" customHeight="1" x14ac:dyDescent="0.25">
      <c r="B3902" s="405" t="s">
        <v>294</v>
      </c>
      <c r="C3902" s="406"/>
      <c r="D3902" s="407" t="s">
        <v>295</v>
      </c>
      <c r="E3902" s="409" t="s">
        <v>296</v>
      </c>
      <c r="F3902" s="410"/>
      <c r="G3902" s="410"/>
      <c r="H3902" s="410"/>
      <c r="I3902" s="411"/>
    </row>
    <row r="3903" spans="2:14" ht="9" customHeight="1" thickBot="1" x14ac:dyDescent="0.3">
      <c r="B3903" s="415"/>
      <c r="C3903" s="416"/>
      <c r="D3903" s="408"/>
      <c r="E3903" s="412"/>
      <c r="F3903" s="413"/>
      <c r="G3903" s="413"/>
      <c r="H3903" s="413"/>
      <c r="I3903" s="414"/>
    </row>
    <row r="3904" spans="2:14" ht="6" customHeight="1" thickBot="1" x14ac:dyDescent="0.3">
      <c r="B3904" s="373"/>
      <c r="C3904" s="373"/>
      <c r="D3904" s="373"/>
      <c r="E3904" s="373"/>
      <c r="F3904" s="373"/>
      <c r="G3904" s="373"/>
      <c r="H3904" s="373"/>
      <c r="I3904" s="373"/>
    </row>
    <row r="3905" spans="2:14" ht="17.25" customHeight="1" thickBot="1" x14ac:dyDescent="0.3">
      <c r="B3905" s="390" t="s">
        <v>297</v>
      </c>
      <c r="C3905" s="391"/>
      <c r="D3905" s="392"/>
      <c r="E3905" s="393"/>
      <c r="F3905" s="393"/>
      <c r="G3905" s="394"/>
      <c r="H3905" s="127" t="s">
        <v>298</v>
      </c>
      <c r="I3905" s="128"/>
    </row>
    <row r="3906" spans="2:14" ht="6" customHeight="1" thickBot="1" x14ac:dyDescent="0.3">
      <c r="B3906" s="373"/>
      <c r="C3906" s="373"/>
      <c r="D3906" s="373"/>
      <c r="E3906" s="373"/>
      <c r="F3906" s="373"/>
      <c r="G3906" s="373"/>
      <c r="H3906" s="373"/>
      <c r="I3906" s="373"/>
    </row>
    <row r="3907" spans="2:14" ht="19.5" customHeight="1" x14ac:dyDescent="0.25">
      <c r="B3907" s="261" t="s">
        <v>299</v>
      </c>
      <c r="C3907" s="129" t="s">
        <v>300</v>
      </c>
      <c r="D3907" s="130" t="s">
        <v>301</v>
      </c>
      <c r="E3907" s="130" t="s">
        <v>302</v>
      </c>
      <c r="F3907" s="398" t="s">
        <v>303</v>
      </c>
      <c r="G3907" s="399"/>
      <c r="H3907" s="400"/>
      <c r="I3907" s="131" t="s">
        <v>304</v>
      </c>
    </row>
    <row r="3908" spans="2:14" ht="11.25" customHeight="1" x14ac:dyDescent="0.25">
      <c r="B3908" s="262"/>
      <c r="C3908" s="132"/>
      <c r="D3908" s="132" t="s">
        <v>305</v>
      </c>
      <c r="E3908" s="132" t="s">
        <v>306</v>
      </c>
      <c r="F3908" s="395" t="s">
        <v>339</v>
      </c>
      <c r="G3908" s="396"/>
      <c r="H3908" s="397"/>
      <c r="I3908" s="133"/>
    </row>
    <row r="3909" spans="2:14" ht="28.5" customHeight="1" x14ac:dyDescent="0.25">
      <c r="B3909" s="263" t="s">
        <v>307</v>
      </c>
      <c r="C3909" s="383" t="s">
        <v>414</v>
      </c>
      <c r="D3909" s="384"/>
      <c r="E3909" s="384"/>
      <c r="F3909" s="384"/>
      <c r="G3909" s="384"/>
      <c r="H3909" s="384"/>
      <c r="I3909" s="385"/>
    </row>
    <row r="3910" spans="2:14" ht="10.5" customHeight="1" x14ac:dyDescent="0.25">
      <c r="B3910" s="264" t="s">
        <v>129</v>
      </c>
      <c r="C3910" s="388" t="s">
        <v>308</v>
      </c>
      <c r="D3910" s="389"/>
      <c r="E3910" s="389"/>
      <c r="F3910" s="389"/>
      <c r="G3910" s="389"/>
      <c r="H3910" s="389"/>
      <c r="I3910" s="134" t="s">
        <v>130</v>
      </c>
    </row>
    <row r="3911" spans="2:14" ht="50.25" customHeight="1" thickBot="1" x14ac:dyDescent="0.3">
      <c r="B3911" s="265">
        <v>9.2199999999999953</v>
      </c>
      <c r="C3911" s="386" t="s">
        <v>630</v>
      </c>
      <c r="D3911" s="387"/>
      <c r="E3911" s="387"/>
      <c r="F3911" s="387"/>
      <c r="G3911" s="387"/>
      <c r="H3911" s="387"/>
      <c r="I3911" s="135" t="s">
        <v>27</v>
      </c>
    </row>
    <row r="3912" spans="2:14" ht="6" customHeight="1" thickBot="1" x14ac:dyDescent="0.3">
      <c r="B3912" s="373"/>
      <c r="C3912" s="373"/>
      <c r="D3912" s="373"/>
      <c r="E3912" s="373"/>
      <c r="F3912" s="373"/>
      <c r="G3912" s="373"/>
      <c r="H3912" s="373"/>
      <c r="I3912" s="373"/>
    </row>
    <row r="3913" spans="2:14" x14ac:dyDescent="0.25">
      <c r="B3913" s="380" t="s">
        <v>309</v>
      </c>
      <c r="C3913" s="381"/>
      <c r="D3913" s="381"/>
      <c r="E3913" s="381"/>
      <c r="F3913" s="381"/>
      <c r="G3913" s="381"/>
      <c r="H3913" s="381"/>
      <c r="I3913" s="382"/>
      <c r="K3913" s="182"/>
    </row>
    <row r="3914" spans="2:14" ht="11.25" customHeight="1" x14ac:dyDescent="0.25">
      <c r="B3914" s="377" t="s">
        <v>310</v>
      </c>
      <c r="C3914" s="378"/>
      <c r="D3914" s="379"/>
      <c r="E3914" s="136"/>
      <c r="F3914" s="137" t="s">
        <v>311</v>
      </c>
      <c r="G3914" s="137" t="s">
        <v>312</v>
      </c>
      <c r="H3914" s="137" t="s">
        <v>313</v>
      </c>
      <c r="I3914" s="138" t="s">
        <v>314</v>
      </c>
      <c r="L3914" s="139"/>
      <c r="M3914" s="139"/>
    </row>
    <row r="3915" spans="2:14" ht="11.25" customHeight="1" x14ac:dyDescent="0.25">
      <c r="B3915" s="362" t="s">
        <v>315</v>
      </c>
      <c r="C3915" s="363"/>
      <c r="D3915" s="363"/>
      <c r="E3915" s="160"/>
      <c r="F3915" s="161" t="s">
        <v>316</v>
      </c>
      <c r="G3915" s="160">
        <v>5000</v>
      </c>
      <c r="H3915" s="142">
        <v>1.2</v>
      </c>
      <c r="I3915" s="143">
        <f>G3915*H3915</f>
        <v>6000</v>
      </c>
    </row>
    <row r="3916" spans="2:14" ht="16.5" customHeight="1" x14ac:dyDescent="0.25">
      <c r="B3916" s="362" t="s">
        <v>355</v>
      </c>
      <c r="C3916" s="363"/>
      <c r="D3916" s="363"/>
      <c r="E3916" s="160"/>
      <c r="F3916" s="161" t="s">
        <v>317</v>
      </c>
      <c r="G3916" s="160">
        <v>90000</v>
      </c>
      <c r="H3916" s="142">
        <f>+H3915</f>
        <v>1.2</v>
      </c>
      <c r="I3916" s="143">
        <f>G3916*H3916</f>
        <v>108000</v>
      </c>
    </row>
    <row r="3917" spans="2:14" ht="10.5" customHeight="1" thickBot="1" x14ac:dyDescent="0.3">
      <c r="B3917" s="371" t="s">
        <v>318</v>
      </c>
      <c r="C3917" s="372"/>
      <c r="D3917" s="372"/>
      <c r="E3917" s="372"/>
      <c r="F3917" s="372"/>
      <c r="G3917" s="372"/>
      <c r="H3917" s="372"/>
      <c r="I3917" s="144">
        <f>SUM(I3915:I3916)</f>
        <v>114000</v>
      </c>
      <c r="N3917" s="150"/>
    </row>
    <row r="3918" spans="2:14" ht="6" customHeight="1" thickBot="1" x14ac:dyDescent="0.3">
      <c r="B3918" s="373"/>
      <c r="C3918" s="373"/>
      <c r="D3918" s="373"/>
      <c r="E3918" s="373"/>
      <c r="F3918" s="373"/>
      <c r="G3918" s="373"/>
      <c r="H3918" s="373"/>
      <c r="I3918" s="373"/>
    </row>
    <row r="3919" spans="2:14" s="145" customFormat="1" x14ac:dyDescent="0.25">
      <c r="B3919" s="380" t="s">
        <v>319</v>
      </c>
      <c r="C3919" s="381"/>
      <c r="D3919" s="381"/>
      <c r="E3919" s="381"/>
      <c r="F3919" s="381"/>
      <c r="G3919" s="381"/>
      <c r="H3919" s="381"/>
      <c r="I3919" s="382"/>
    </row>
    <row r="3920" spans="2:14" s="145" customFormat="1" ht="15.75" customHeight="1" x14ac:dyDescent="0.25">
      <c r="B3920" s="377" t="s">
        <v>310</v>
      </c>
      <c r="C3920" s="378"/>
      <c r="D3920" s="379"/>
      <c r="E3920" s="137"/>
      <c r="F3920" s="137" t="s">
        <v>320</v>
      </c>
      <c r="G3920" s="137" t="s">
        <v>321</v>
      </c>
      <c r="H3920" s="137" t="s">
        <v>322</v>
      </c>
      <c r="I3920" s="138" t="s">
        <v>314</v>
      </c>
    </row>
    <row r="3921" spans="2:15" ht="72.75" customHeight="1" x14ac:dyDescent="0.25">
      <c r="B3921" s="436" t="s">
        <v>630</v>
      </c>
      <c r="C3921" s="437"/>
      <c r="D3921" s="438"/>
      <c r="E3921" s="163"/>
      <c r="F3921" s="161" t="s">
        <v>27</v>
      </c>
      <c r="G3921" s="160">
        <v>4490265</v>
      </c>
      <c r="H3921" s="142">
        <v>1</v>
      </c>
      <c r="I3921" s="143">
        <f>G3921*H3921</f>
        <v>4490265</v>
      </c>
      <c r="M3921">
        <v>4608265</v>
      </c>
    </row>
    <row r="3922" spans="2:15" ht="18" customHeight="1" thickBot="1" x14ac:dyDescent="0.3">
      <c r="B3922" s="371" t="s">
        <v>318</v>
      </c>
      <c r="C3922" s="372"/>
      <c r="D3922" s="372"/>
      <c r="E3922" s="372"/>
      <c r="F3922" s="372"/>
      <c r="G3922" s="372"/>
      <c r="H3922" s="372"/>
      <c r="I3922" s="144">
        <f>SUM(I3921:I3921)</f>
        <v>4490265</v>
      </c>
      <c r="N3922" s="150"/>
    </row>
    <row r="3923" spans="2:15" ht="6" customHeight="1" thickBot="1" x14ac:dyDescent="0.3">
      <c r="B3923" s="373"/>
      <c r="C3923" s="373"/>
      <c r="D3923" s="373"/>
      <c r="E3923" s="373"/>
      <c r="F3923" s="373"/>
      <c r="G3923" s="373"/>
      <c r="H3923" s="373"/>
      <c r="I3923" s="373"/>
    </row>
    <row r="3924" spans="2:15" s="145" customFormat="1" x14ac:dyDescent="0.25">
      <c r="B3924" s="380" t="s">
        <v>323</v>
      </c>
      <c r="C3924" s="381"/>
      <c r="D3924" s="381"/>
      <c r="E3924" s="381"/>
      <c r="F3924" s="381"/>
      <c r="G3924" s="381"/>
      <c r="H3924" s="381"/>
      <c r="I3924" s="382"/>
      <c r="L3924" s="146"/>
      <c r="M3924" s="146"/>
    </row>
    <row r="3925" spans="2:15" s="145" customFormat="1" x14ac:dyDescent="0.25">
      <c r="B3925" s="377" t="s">
        <v>324</v>
      </c>
      <c r="C3925" s="378"/>
      <c r="D3925" s="379"/>
      <c r="E3925" s="137" t="s">
        <v>325</v>
      </c>
      <c r="F3925" s="137" t="s">
        <v>326</v>
      </c>
      <c r="G3925" s="137" t="s">
        <v>130</v>
      </c>
      <c r="H3925" s="137" t="s">
        <v>327</v>
      </c>
      <c r="I3925" s="138" t="s">
        <v>314</v>
      </c>
      <c r="K3925" s="260"/>
      <c r="N3925" s="183"/>
      <c r="O3925" s="148"/>
    </row>
    <row r="3926" spans="2:15" ht="11.25" customHeight="1" x14ac:dyDescent="0.25">
      <c r="B3926" s="362" t="s">
        <v>711</v>
      </c>
      <c r="C3926" s="363"/>
      <c r="D3926" s="363"/>
      <c r="E3926" s="170">
        <v>1</v>
      </c>
      <c r="F3926" s="164"/>
      <c r="G3926" s="161"/>
      <c r="H3926" s="162">
        <v>30000</v>
      </c>
      <c r="I3926" s="143">
        <f>H3926*E3926</f>
        <v>30000</v>
      </c>
      <c r="K3926" s="281"/>
    </row>
    <row r="3927" spans="2:15" ht="10.5" customHeight="1" thickBot="1" x14ac:dyDescent="0.3">
      <c r="B3927" s="371" t="s">
        <v>318</v>
      </c>
      <c r="C3927" s="372"/>
      <c r="D3927" s="372"/>
      <c r="E3927" s="372"/>
      <c r="F3927" s="372"/>
      <c r="G3927" s="372"/>
      <c r="H3927" s="372"/>
      <c r="I3927" s="144">
        <f>SUM(I3926:I3926)</f>
        <v>30000</v>
      </c>
      <c r="K3927" s="281"/>
      <c r="N3927" s="150"/>
    </row>
    <row r="3928" spans="2:15" ht="6" customHeight="1" thickBot="1" x14ac:dyDescent="0.3">
      <c r="B3928" s="373"/>
      <c r="C3928" s="373"/>
      <c r="D3928" s="373"/>
      <c r="E3928" s="373"/>
      <c r="F3928" s="373"/>
      <c r="G3928" s="373"/>
      <c r="H3928" s="373"/>
      <c r="I3928" s="373"/>
    </row>
    <row r="3929" spans="2:15" s="145" customFormat="1" ht="20.100000000000001" customHeight="1" x14ac:dyDescent="0.25">
      <c r="B3929" s="380" t="s">
        <v>328</v>
      </c>
      <c r="C3929" s="381"/>
      <c r="D3929" s="381"/>
      <c r="E3929" s="381"/>
      <c r="F3929" s="381"/>
      <c r="G3929" s="381"/>
      <c r="H3929" s="381"/>
      <c r="I3929" s="382"/>
      <c r="K3929" s="147">
        <v>5228265</v>
      </c>
      <c r="N3929" s="148"/>
      <c r="O3929" s="149"/>
    </row>
    <row r="3930" spans="2:15" s="145" customFormat="1" ht="20.100000000000001" customHeight="1" x14ac:dyDescent="0.25">
      <c r="B3930" s="377" t="s">
        <v>329</v>
      </c>
      <c r="C3930" s="379"/>
      <c r="D3930" s="137" t="s">
        <v>322</v>
      </c>
      <c r="E3930" s="137" t="s">
        <v>330</v>
      </c>
      <c r="F3930" s="137" t="s">
        <v>331</v>
      </c>
      <c r="G3930" s="137" t="s">
        <v>332</v>
      </c>
      <c r="H3930" s="137" t="s">
        <v>313</v>
      </c>
      <c r="I3930" s="138" t="s">
        <v>314</v>
      </c>
      <c r="K3930" s="147">
        <f>+K3929-I3936</f>
        <v>0</v>
      </c>
      <c r="O3930" s="179"/>
    </row>
    <row r="3931" spans="2:15" s="151" customFormat="1" ht="9.75" customHeight="1" x14ac:dyDescent="0.25">
      <c r="B3931" s="367" t="s">
        <v>356</v>
      </c>
      <c r="C3931" s="368"/>
      <c r="D3931" s="180">
        <v>1</v>
      </c>
      <c r="E3931" s="141">
        <v>140000</v>
      </c>
      <c r="F3931" s="141">
        <f>+E3931*0.8</f>
        <v>112000</v>
      </c>
      <c r="G3931" s="178">
        <f>D3931*E3931+F3931*D3931</f>
        <v>252000</v>
      </c>
      <c r="H3931" s="184">
        <v>1</v>
      </c>
      <c r="I3931" s="143">
        <f>+G3931/H3931</f>
        <v>252000</v>
      </c>
      <c r="J3931" s="145"/>
      <c r="K3931" s="147"/>
    </row>
    <row r="3932" spans="2:15" s="151" customFormat="1" ht="11.25" customHeight="1" x14ac:dyDescent="0.25">
      <c r="B3932" s="367" t="s">
        <v>374</v>
      </c>
      <c r="C3932" s="368"/>
      <c r="D3932" s="180">
        <v>1</v>
      </c>
      <c r="E3932" s="141">
        <v>80000</v>
      </c>
      <c r="F3932" s="141">
        <f>+E3932*0.8</f>
        <v>64000</v>
      </c>
      <c r="G3932" s="178">
        <f>D3932*E3932+F3932*D3932</f>
        <v>144000</v>
      </c>
      <c r="H3932" s="184">
        <f>+H3931</f>
        <v>1</v>
      </c>
      <c r="I3932" s="143">
        <f>+G3932/H3932</f>
        <v>144000</v>
      </c>
      <c r="J3932" s="145"/>
      <c r="K3932" s="147"/>
      <c r="L3932" s="179"/>
      <c r="M3932" s="179"/>
    </row>
    <row r="3933" spans="2:15" s="145" customFormat="1" ht="10.5" customHeight="1" x14ac:dyDescent="0.25">
      <c r="B3933" s="367" t="s">
        <v>333</v>
      </c>
      <c r="C3933" s="368"/>
      <c r="D3933" s="180">
        <v>2</v>
      </c>
      <c r="E3933" s="141">
        <v>55000</v>
      </c>
      <c r="F3933" s="141">
        <f>+E3933*0.8</f>
        <v>44000</v>
      </c>
      <c r="G3933" s="178">
        <f>D3933*E3933+F3933*D3933</f>
        <v>198000</v>
      </c>
      <c r="H3933" s="184">
        <f>+H3932</f>
        <v>1</v>
      </c>
      <c r="I3933" s="143">
        <f>+G3933/H3933</f>
        <v>198000</v>
      </c>
      <c r="K3933" s="147"/>
    </row>
    <row r="3934" spans="2:15" ht="10.5" customHeight="1" thickBot="1" x14ac:dyDescent="0.3">
      <c r="B3934" s="371" t="s">
        <v>318</v>
      </c>
      <c r="C3934" s="372"/>
      <c r="D3934" s="372"/>
      <c r="E3934" s="372"/>
      <c r="F3934" s="372"/>
      <c r="G3934" s="372"/>
      <c r="H3934" s="372"/>
      <c r="I3934" s="144">
        <f>SUM(I3931:I3933)</f>
        <v>594000</v>
      </c>
      <c r="K3934" s="281"/>
      <c r="N3934" s="150"/>
    </row>
    <row r="3935" spans="2:15" ht="6" customHeight="1" thickBot="1" x14ac:dyDescent="0.3">
      <c r="B3935" s="373"/>
      <c r="C3935" s="373"/>
      <c r="D3935" s="373"/>
      <c r="E3935" s="373"/>
      <c r="F3935" s="373"/>
      <c r="G3935" s="373"/>
      <c r="H3935" s="373"/>
      <c r="I3935" s="373"/>
    </row>
    <row r="3936" spans="2:15" ht="10.5" customHeight="1" thickBot="1" x14ac:dyDescent="0.3">
      <c r="B3936" s="374" t="s">
        <v>334</v>
      </c>
      <c r="C3936" s="375"/>
      <c r="D3936" s="375"/>
      <c r="E3936" s="375"/>
      <c r="F3936" s="375"/>
      <c r="G3936" s="375"/>
      <c r="H3936" s="376"/>
      <c r="I3936" s="152">
        <f>ROUND(+I3917+I3922+I3927+I3934,0)</f>
        <v>5228265</v>
      </c>
      <c r="J3936" s="281"/>
      <c r="K3936" s="169"/>
      <c r="L3936" s="181"/>
      <c r="M3936" s="181"/>
      <c r="N3936" s="153"/>
    </row>
    <row r="3937" spans="2:14" ht="6" customHeight="1" thickBot="1" x14ac:dyDescent="0.3">
      <c r="B3937" s="373"/>
      <c r="C3937" s="373"/>
      <c r="D3937" s="373"/>
      <c r="E3937" s="373"/>
      <c r="F3937" s="373"/>
      <c r="G3937" s="373"/>
      <c r="H3937" s="373"/>
      <c r="I3937" s="373"/>
    </row>
    <row r="3938" spans="2:14" ht="8.25" customHeight="1" x14ac:dyDescent="0.25">
      <c r="B3938" s="433" t="s">
        <v>335</v>
      </c>
      <c r="C3938" s="417"/>
      <c r="D3938" s="418"/>
      <c r="E3938" s="418"/>
      <c r="F3938" s="419"/>
      <c r="G3938" s="369" t="s">
        <v>336</v>
      </c>
      <c r="H3938" s="370"/>
      <c r="I3938" s="370"/>
    </row>
    <row r="3939" spans="2:14" ht="33.75" customHeight="1" x14ac:dyDescent="0.25">
      <c r="B3939" s="434"/>
      <c r="C3939" s="420"/>
      <c r="D3939" s="421"/>
      <c r="E3939" s="421"/>
      <c r="F3939" s="422"/>
      <c r="G3939" s="430" t="s">
        <v>337</v>
      </c>
      <c r="H3939" s="431"/>
      <c r="I3939" s="431"/>
      <c r="L3939" s="181"/>
      <c r="M3939" s="181"/>
      <c r="N3939" s="179"/>
    </row>
    <row r="3940" spans="2:14" ht="13.5" customHeight="1" x14ac:dyDescent="0.25">
      <c r="B3940" s="434"/>
      <c r="C3940" s="420"/>
      <c r="D3940" s="421"/>
      <c r="E3940" s="421"/>
      <c r="F3940" s="422"/>
      <c r="G3940" s="154" t="s">
        <v>92</v>
      </c>
      <c r="H3940" s="432" t="s">
        <v>93</v>
      </c>
      <c r="I3940" s="432"/>
    </row>
    <row r="3941" spans="2:14" ht="16.5" customHeight="1" x14ac:dyDescent="0.25">
      <c r="B3941" s="435"/>
      <c r="C3941" s="420"/>
      <c r="D3941" s="421"/>
      <c r="E3941" s="421"/>
      <c r="F3941" s="422"/>
      <c r="G3941" s="155" t="s">
        <v>94</v>
      </c>
      <c r="H3941" s="156" t="s">
        <v>95</v>
      </c>
      <c r="I3941" s="157" t="s">
        <v>96</v>
      </c>
    </row>
    <row r="3942" spans="2:14" x14ac:dyDescent="0.25">
      <c r="B3942" s="268" t="s">
        <v>18</v>
      </c>
      <c r="C3942" s="427"/>
      <c r="D3942" s="428"/>
      <c r="E3942" s="428"/>
      <c r="F3942" s="429"/>
      <c r="G3942" s="155" t="s">
        <v>98</v>
      </c>
      <c r="H3942" s="157" t="s">
        <v>99</v>
      </c>
      <c r="I3942" s="157" t="s">
        <v>100</v>
      </c>
    </row>
    <row r="3943" spans="2:14" x14ac:dyDescent="0.25">
      <c r="B3943" s="269" t="s">
        <v>97</v>
      </c>
      <c r="C3943" s="427"/>
      <c r="D3943" s="428"/>
      <c r="E3943" s="428"/>
      <c r="F3943" s="429"/>
      <c r="G3943" s="154" t="s">
        <v>338</v>
      </c>
      <c r="H3943" s="426"/>
      <c r="I3943" s="426"/>
    </row>
    <row r="3944" spans="2:14" ht="15.75" thickBot="1" x14ac:dyDescent="0.3">
      <c r="B3944" s="270" t="s">
        <v>101</v>
      </c>
      <c r="C3944" s="423"/>
      <c r="D3944" s="424"/>
      <c r="E3944" s="424"/>
      <c r="F3944" s="425"/>
      <c r="G3944" s="154" t="s">
        <v>102</v>
      </c>
      <c r="H3944" s="426" t="s">
        <v>103</v>
      </c>
      <c r="I3944" s="426"/>
    </row>
    <row r="3945" spans="2:14" ht="45" customHeight="1" thickBot="1" x14ac:dyDescent="0.3">
      <c r="B3945" s="401"/>
      <c r="C3945" s="402"/>
      <c r="D3945" s="402"/>
      <c r="E3945" s="402"/>
      <c r="F3945" s="403" t="s">
        <v>0</v>
      </c>
      <c r="G3945" s="403"/>
      <c r="H3945" s="403"/>
      <c r="I3945" s="404"/>
    </row>
    <row r="3946" spans="2:14" ht="6" customHeight="1" thickBot="1" x14ac:dyDescent="0.3">
      <c r="B3946" s="373"/>
      <c r="C3946" s="373"/>
      <c r="D3946" s="373"/>
      <c r="E3946" s="373"/>
      <c r="F3946" s="373"/>
      <c r="G3946" s="373"/>
      <c r="H3946" s="373"/>
      <c r="I3946" s="373"/>
    </row>
    <row r="3947" spans="2:14" ht="10.5" customHeight="1" x14ac:dyDescent="0.25">
      <c r="B3947" s="405" t="s">
        <v>294</v>
      </c>
      <c r="C3947" s="406"/>
      <c r="D3947" s="407" t="s">
        <v>295</v>
      </c>
      <c r="E3947" s="409" t="s">
        <v>296</v>
      </c>
      <c r="F3947" s="410"/>
      <c r="G3947" s="410"/>
      <c r="H3947" s="410"/>
      <c r="I3947" s="411"/>
    </row>
    <row r="3948" spans="2:14" ht="9" customHeight="1" thickBot="1" x14ac:dyDescent="0.3">
      <c r="B3948" s="415"/>
      <c r="C3948" s="416"/>
      <c r="D3948" s="408"/>
      <c r="E3948" s="412"/>
      <c r="F3948" s="413"/>
      <c r="G3948" s="413"/>
      <c r="H3948" s="413"/>
      <c r="I3948" s="414"/>
    </row>
    <row r="3949" spans="2:14" ht="6" customHeight="1" thickBot="1" x14ac:dyDescent="0.3">
      <c r="B3949" s="373"/>
      <c r="C3949" s="373"/>
      <c r="D3949" s="373"/>
      <c r="E3949" s="373"/>
      <c r="F3949" s="373"/>
      <c r="G3949" s="373"/>
      <c r="H3949" s="373"/>
      <c r="I3949" s="373"/>
    </row>
    <row r="3950" spans="2:14" ht="17.25" customHeight="1" thickBot="1" x14ac:dyDescent="0.3">
      <c r="B3950" s="390" t="s">
        <v>297</v>
      </c>
      <c r="C3950" s="391"/>
      <c r="D3950" s="392"/>
      <c r="E3950" s="393"/>
      <c r="F3950" s="393"/>
      <c r="G3950" s="394"/>
      <c r="H3950" s="127" t="s">
        <v>298</v>
      </c>
      <c r="I3950" s="128"/>
    </row>
    <row r="3951" spans="2:14" ht="6" customHeight="1" thickBot="1" x14ac:dyDescent="0.3">
      <c r="B3951" s="373"/>
      <c r="C3951" s="373"/>
      <c r="D3951" s="373"/>
      <c r="E3951" s="373"/>
      <c r="F3951" s="373"/>
      <c r="G3951" s="373"/>
      <c r="H3951" s="373"/>
      <c r="I3951" s="373"/>
    </row>
    <row r="3952" spans="2:14" ht="19.5" customHeight="1" x14ac:dyDescent="0.25">
      <c r="B3952" s="261" t="s">
        <v>299</v>
      </c>
      <c r="C3952" s="129" t="s">
        <v>300</v>
      </c>
      <c r="D3952" s="130" t="s">
        <v>301</v>
      </c>
      <c r="E3952" s="130" t="s">
        <v>302</v>
      </c>
      <c r="F3952" s="398" t="s">
        <v>303</v>
      </c>
      <c r="G3952" s="399"/>
      <c r="H3952" s="400"/>
      <c r="I3952" s="131" t="s">
        <v>304</v>
      </c>
    </row>
    <row r="3953" spans="2:14" ht="11.25" customHeight="1" x14ac:dyDescent="0.25">
      <c r="B3953" s="262"/>
      <c r="C3953" s="132"/>
      <c r="D3953" s="132" t="s">
        <v>305</v>
      </c>
      <c r="E3953" s="132" t="s">
        <v>306</v>
      </c>
      <c r="F3953" s="395" t="s">
        <v>339</v>
      </c>
      <c r="G3953" s="396"/>
      <c r="H3953" s="397"/>
      <c r="I3953" s="133"/>
    </row>
    <row r="3954" spans="2:14" ht="28.5" customHeight="1" x14ac:dyDescent="0.25">
      <c r="B3954" s="263" t="s">
        <v>307</v>
      </c>
      <c r="C3954" s="383" t="s">
        <v>414</v>
      </c>
      <c r="D3954" s="384"/>
      <c r="E3954" s="384"/>
      <c r="F3954" s="384"/>
      <c r="G3954" s="384"/>
      <c r="H3954" s="384"/>
      <c r="I3954" s="385"/>
    </row>
    <row r="3955" spans="2:14" ht="10.5" customHeight="1" x14ac:dyDescent="0.25">
      <c r="B3955" s="264" t="s">
        <v>129</v>
      </c>
      <c r="C3955" s="388" t="s">
        <v>308</v>
      </c>
      <c r="D3955" s="389"/>
      <c r="E3955" s="389"/>
      <c r="F3955" s="389"/>
      <c r="G3955" s="389"/>
      <c r="H3955" s="389"/>
      <c r="I3955" s="134" t="s">
        <v>130</v>
      </c>
    </row>
    <row r="3956" spans="2:14" ht="50.25" customHeight="1" thickBot="1" x14ac:dyDescent="0.3">
      <c r="B3956" s="265">
        <v>9.2299999999999951</v>
      </c>
      <c r="C3956" s="386" t="s">
        <v>631</v>
      </c>
      <c r="D3956" s="387"/>
      <c r="E3956" s="387"/>
      <c r="F3956" s="387"/>
      <c r="G3956" s="387"/>
      <c r="H3956" s="387"/>
      <c r="I3956" s="135" t="s">
        <v>27</v>
      </c>
    </row>
    <row r="3957" spans="2:14" ht="6" customHeight="1" thickBot="1" x14ac:dyDescent="0.3">
      <c r="B3957" s="373"/>
      <c r="C3957" s="373"/>
      <c r="D3957" s="373"/>
      <c r="E3957" s="373"/>
      <c r="F3957" s="373"/>
      <c r="G3957" s="373"/>
      <c r="H3957" s="373"/>
      <c r="I3957" s="373"/>
    </row>
    <row r="3958" spans="2:14" x14ac:dyDescent="0.25">
      <c r="B3958" s="380" t="s">
        <v>309</v>
      </c>
      <c r="C3958" s="381"/>
      <c r="D3958" s="381"/>
      <c r="E3958" s="381"/>
      <c r="F3958" s="381"/>
      <c r="G3958" s="381"/>
      <c r="H3958" s="381"/>
      <c r="I3958" s="382"/>
      <c r="K3958" s="182"/>
    </row>
    <row r="3959" spans="2:14" ht="11.25" customHeight="1" x14ac:dyDescent="0.25">
      <c r="B3959" s="377" t="s">
        <v>310</v>
      </c>
      <c r="C3959" s="378"/>
      <c r="D3959" s="379"/>
      <c r="E3959" s="136"/>
      <c r="F3959" s="137" t="s">
        <v>311</v>
      </c>
      <c r="G3959" s="137" t="s">
        <v>312</v>
      </c>
      <c r="H3959" s="137" t="s">
        <v>313</v>
      </c>
      <c r="I3959" s="138" t="s">
        <v>314</v>
      </c>
      <c r="L3959" s="139"/>
      <c r="M3959" s="139"/>
    </row>
    <row r="3960" spans="2:14" ht="11.25" customHeight="1" x14ac:dyDescent="0.25">
      <c r="B3960" s="362" t="s">
        <v>315</v>
      </c>
      <c r="C3960" s="363"/>
      <c r="D3960" s="363"/>
      <c r="E3960" s="160"/>
      <c r="F3960" s="161" t="s">
        <v>316</v>
      </c>
      <c r="G3960" s="160">
        <v>5000</v>
      </c>
      <c r="H3960" s="142">
        <v>1.4</v>
      </c>
      <c r="I3960" s="143">
        <f>G3960*H3960</f>
        <v>7000</v>
      </c>
    </row>
    <row r="3961" spans="2:14" ht="16.5" customHeight="1" x14ac:dyDescent="0.25">
      <c r="B3961" s="362" t="s">
        <v>355</v>
      </c>
      <c r="C3961" s="363"/>
      <c r="D3961" s="363"/>
      <c r="E3961" s="160"/>
      <c r="F3961" s="161" t="s">
        <v>317</v>
      </c>
      <c r="G3961" s="160">
        <v>90000</v>
      </c>
      <c r="H3961" s="142">
        <f>+H3960</f>
        <v>1.4</v>
      </c>
      <c r="I3961" s="143">
        <f>G3961*H3961</f>
        <v>125999.99999999999</v>
      </c>
    </row>
    <row r="3962" spans="2:14" ht="10.5" customHeight="1" thickBot="1" x14ac:dyDescent="0.3">
      <c r="B3962" s="371" t="s">
        <v>318</v>
      </c>
      <c r="C3962" s="372"/>
      <c r="D3962" s="372"/>
      <c r="E3962" s="372"/>
      <c r="F3962" s="372"/>
      <c r="G3962" s="372"/>
      <c r="H3962" s="372"/>
      <c r="I3962" s="144">
        <f>SUM(I3960:I3961)</f>
        <v>133000</v>
      </c>
      <c r="N3962" s="150"/>
    </row>
    <row r="3963" spans="2:14" ht="6" customHeight="1" thickBot="1" x14ac:dyDescent="0.3">
      <c r="B3963" s="373"/>
      <c r="C3963" s="373"/>
      <c r="D3963" s="373"/>
      <c r="E3963" s="373"/>
      <c r="F3963" s="373"/>
      <c r="G3963" s="373"/>
      <c r="H3963" s="373"/>
      <c r="I3963" s="373"/>
    </row>
    <row r="3964" spans="2:14" s="145" customFormat="1" x14ac:dyDescent="0.25">
      <c r="B3964" s="380" t="s">
        <v>319</v>
      </c>
      <c r="C3964" s="381"/>
      <c r="D3964" s="381"/>
      <c r="E3964" s="381"/>
      <c r="F3964" s="381"/>
      <c r="G3964" s="381"/>
      <c r="H3964" s="381"/>
      <c r="I3964" s="382"/>
    </row>
    <row r="3965" spans="2:14" s="145" customFormat="1" ht="15.75" customHeight="1" x14ac:dyDescent="0.25">
      <c r="B3965" s="377" t="s">
        <v>310</v>
      </c>
      <c r="C3965" s="378"/>
      <c r="D3965" s="379"/>
      <c r="E3965" s="137"/>
      <c r="F3965" s="137" t="s">
        <v>320</v>
      </c>
      <c r="G3965" s="137" t="s">
        <v>321</v>
      </c>
      <c r="H3965" s="137" t="s">
        <v>322</v>
      </c>
      <c r="I3965" s="138" t="s">
        <v>314</v>
      </c>
    </row>
    <row r="3966" spans="2:14" ht="72.75" customHeight="1" x14ac:dyDescent="0.25">
      <c r="B3966" s="436" t="s">
        <v>631</v>
      </c>
      <c r="C3966" s="437"/>
      <c r="D3966" s="438"/>
      <c r="E3966" s="163"/>
      <c r="F3966" s="161" t="s">
        <v>27</v>
      </c>
      <c r="G3966" s="160">
        <f>1189923+3062272+1673635-5059078+1+1165487+180285+1281173+1815635-1196781+1+1101637</f>
        <v>5214190</v>
      </c>
      <c r="H3966" s="142">
        <v>1</v>
      </c>
      <c r="I3966" s="143">
        <f>G3966*H3966</f>
        <v>5214190</v>
      </c>
      <c r="M3966">
        <v>4608265</v>
      </c>
    </row>
    <row r="3967" spans="2:14" ht="18" customHeight="1" thickBot="1" x14ac:dyDescent="0.3">
      <c r="B3967" s="371" t="s">
        <v>318</v>
      </c>
      <c r="C3967" s="372"/>
      <c r="D3967" s="372"/>
      <c r="E3967" s="372"/>
      <c r="F3967" s="372"/>
      <c r="G3967" s="372"/>
      <c r="H3967" s="372"/>
      <c r="I3967" s="144">
        <f>SUM(I3966:I3966)</f>
        <v>5214190</v>
      </c>
      <c r="N3967" s="150"/>
    </row>
    <row r="3968" spans="2:14" ht="6" customHeight="1" thickBot="1" x14ac:dyDescent="0.3">
      <c r="B3968" s="373"/>
      <c r="C3968" s="373"/>
      <c r="D3968" s="373"/>
      <c r="E3968" s="373"/>
      <c r="F3968" s="373"/>
      <c r="G3968" s="373"/>
      <c r="H3968" s="373"/>
      <c r="I3968" s="373"/>
    </row>
    <row r="3969" spans="2:15" s="145" customFormat="1" x14ac:dyDescent="0.25">
      <c r="B3969" s="380" t="s">
        <v>323</v>
      </c>
      <c r="C3969" s="381"/>
      <c r="D3969" s="381"/>
      <c r="E3969" s="381"/>
      <c r="F3969" s="381"/>
      <c r="G3969" s="381"/>
      <c r="H3969" s="381"/>
      <c r="I3969" s="382"/>
      <c r="L3969" s="146"/>
      <c r="M3969" s="146"/>
    </row>
    <row r="3970" spans="2:15" s="145" customFormat="1" x14ac:dyDescent="0.25">
      <c r="B3970" s="377" t="s">
        <v>324</v>
      </c>
      <c r="C3970" s="378"/>
      <c r="D3970" s="379"/>
      <c r="E3970" s="137" t="s">
        <v>325</v>
      </c>
      <c r="F3970" s="137" t="s">
        <v>326</v>
      </c>
      <c r="G3970" s="137" t="s">
        <v>130</v>
      </c>
      <c r="H3970" s="137" t="s">
        <v>327</v>
      </c>
      <c r="I3970" s="138" t="s">
        <v>314</v>
      </c>
      <c r="K3970" s="260"/>
      <c r="N3970" s="183"/>
      <c r="O3970" s="148"/>
    </row>
    <row r="3971" spans="2:15" ht="11.25" customHeight="1" x14ac:dyDescent="0.25">
      <c r="B3971" s="362" t="s">
        <v>711</v>
      </c>
      <c r="C3971" s="363"/>
      <c r="D3971" s="363"/>
      <c r="E3971" s="170">
        <v>1</v>
      </c>
      <c r="F3971" s="164"/>
      <c r="G3971" s="161"/>
      <c r="H3971" s="162">
        <v>40000</v>
      </c>
      <c r="I3971" s="143">
        <f>H3971*E3971</f>
        <v>40000</v>
      </c>
      <c r="K3971" s="281"/>
    </row>
    <row r="3972" spans="2:15" ht="10.5" customHeight="1" thickBot="1" x14ac:dyDescent="0.3">
      <c r="B3972" s="371" t="s">
        <v>318</v>
      </c>
      <c r="C3972" s="372"/>
      <c r="D3972" s="372"/>
      <c r="E3972" s="372"/>
      <c r="F3972" s="372"/>
      <c r="G3972" s="372"/>
      <c r="H3972" s="372"/>
      <c r="I3972" s="144">
        <f>SUM(I3971:I3971)</f>
        <v>40000</v>
      </c>
      <c r="K3972" s="281"/>
      <c r="N3972" s="150"/>
    </row>
    <row r="3973" spans="2:15" ht="6" customHeight="1" thickBot="1" x14ac:dyDescent="0.3">
      <c r="B3973" s="373"/>
      <c r="C3973" s="373"/>
      <c r="D3973" s="373"/>
      <c r="E3973" s="373"/>
      <c r="F3973" s="373"/>
      <c r="G3973" s="373"/>
      <c r="H3973" s="373"/>
      <c r="I3973" s="373"/>
    </row>
    <row r="3974" spans="2:15" s="145" customFormat="1" ht="20.100000000000001" customHeight="1" x14ac:dyDescent="0.25">
      <c r="B3974" s="380" t="s">
        <v>328</v>
      </c>
      <c r="C3974" s="381"/>
      <c r="D3974" s="381"/>
      <c r="E3974" s="381"/>
      <c r="F3974" s="381"/>
      <c r="G3974" s="381"/>
      <c r="H3974" s="381"/>
      <c r="I3974" s="382"/>
      <c r="K3974" s="147">
        <v>6129690</v>
      </c>
      <c r="N3974" s="148"/>
      <c r="O3974" s="149"/>
    </row>
    <row r="3975" spans="2:15" s="145" customFormat="1" ht="20.100000000000001" customHeight="1" x14ac:dyDescent="0.25">
      <c r="B3975" s="377" t="s">
        <v>329</v>
      </c>
      <c r="C3975" s="379"/>
      <c r="D3975" s="137" t="s">
        <v>322</v>
      </c>
      <c r="E3975" s="137" t="s">
        <v>330</v>
      </c>
      <c r="F3975" s="137" t="s">
        <v>331</v>
      </c>
      <c r="G3975" s="137" t="s">
        <v>332</v>
      </c>
      <c r="H3975" s="137" t="s">
        <v>313</v>
      </c>
      <c r="I3975" s="138" t="s">
        <v>314</v>
      </c>
      <c r="K3975" s="147">
        <f>+K3974-I3981</f>
        <v>0</v>
      </c>
      <c r="O3975" s="179"/>
    </row>
    <row r="3976" spans="2:15" s="151" customFormat="1" ht="9.75" customHeight="1" x14ac:dyDescent="0.25">
      <c r="B3976" s="367" t="s">
        <v>356</v>
      </c>
      <c r="C3976" s="368"/>
      <c r="D3976" s="180">
        <v>1</v>
      </c>
      <c r="E3976" s="141">
        <v>140000</v>
      </c>
      <c r="F3976" s="141">
        <f>+E3976*0.8</f>
        <v>112000</v>
      </c>
      <c r="G3976" s="178">
        <f>D3976*E3976+F3976*D3976</f>
        <v>252000</v>
      </c>
      <c r="H3976" s="184">
        <v>0.8</v>
      </c>
      <c r="I3976" s="143">
        <f>+G3976/H3976</f>
        <v>315000</v>
      </c>
      <c r="J3976" s="145"/>
      <c r="K3976" s="147"/>
    </row>
    <row r="3977" spans="2:15" s="151" customFormat="1" ht="11.25" customHeight="1" x14ac:dyDescent="0.25">
      <c r="B3977" s="367" t="s">
        <v>374</v>
      </c>
      <c r="C3977" s="368"/>
      <c r="D3977" s="180">
        <v>1</v>
      </c>
      <c r="E3977" s="141">
        <v>80000</v>
      </c>
      <c r="F3977" s="141">
        <f>+E3977*0.8</f>
        <v>64000</v>
      </c>
      <c r="G3977" s="178">
        <f>D3977*E3977+F3977*D3977</f>
        <v>144000</v>
      </c>
      <c r="H3977" s="184">
        <f>+H3976</f>
        <v>0.8</v>
      </c>
      <c r="I3977" s="143">
        <f>+G3977/H3977</f>
        <v>180000</v>
      </c>
      <c r="J3977" s="145"/>
      <c r="K3977" s="147"/>
      <c r="L3977" s="179"/>
      <c r="M3977" s="179"/>
    </row>
    <row r="3978" spans="2:15" s="145" customFormat="1" ht="10.5" customHeight="1" x14ac:dyDescent="0.25">
      <c r="B3978" s="367" t="s">
        <v>333</v>
      </c>
      <c r="C3978" s="368"/>
      <c r="D3978" s="180">
        <v>2</v>
      </c>
      <c r="E3978" s="141">
        <v>55000</v>
      </c>
      <c r="F3978" s="141">
        <f>+E3978*0.8</f>
        <v>44000</v>
      </c>
      <c r="G3978" s="178">
        <f>D3978*E3978+F3978*D3978</f>
        <v>198000</v>
      </c>
      <c r="H3978" s="184">
        <f>+H3977</f>
        <v>0.8</v>
      </c>
      <c r="I3978" s="143">
        <f>+G3978/H3978</f>
        <v>247500</v>
      </c>
      <c r="K3978" s="147"/>
    </row>
    <row r="3979" spans="2:15" ht="10.5" customHeight="1" thickBot="1" x14ac:dyDescent="0.3">
      <c r="B3979" s="371" t="s">
        <v>318</v>
      </c>
      <c r="C3979" s="372"/>
      <c r="D3979" s="372"/>
      <c r="E3979" s="372"/>
      <c r="F3979" s="372"/>
      <c r="G3979" s="372"/>
      <c r="H3979" s="372"/>
      <c r="I3979" s="144">
        <f>SUM(I3976:I3978)</f>
        <v>742500</v>
      </c>
      <c r="K3979" s="281"/>
      <c r="N3979" s="150"/>
    </row>
    <row r="3980" spans="2:15" ht="6" customHeight="1" thickBot="1" x14ac:dyDescent="0.3">
      <c r="B3980" s="373"/>
      <c r="C3980" s="373"/>
      <c r="D3980" s="373"/>
      <c r="E3980" s="373"/>
      <c r="F3980" s="373"/>
      <c r="G3980" s="373"/>
      <c r="H3980" s="373"/>
      <c r="I3980" s="373"/>
    </row>
    <row r="3981" spans="2:15" ht="10.5" customHeight="1" thickBot="1" x14ac:dyDescent="0.3">
      <c r="B3981" s="374" t="s">
        <v>334</v>
      </c>
      <c r="C3981" s="375"/>
      <c r="D3981" s="375"/>
      <c r="E3981" s="375"/>
      <c r="F3981" s="375"/>
      <c r="G3981" s="375"/>
      <c r="H3981" s="376"/>
      <c r="I3981" s="152">
        <f>ROUND(+I3962+I3967+I3972+I3979,0)</f>
        <v>6129690</v>
      </c>
      <c r="J3981" s="281"/>
      <c r="K3981" s="169"/>
      <c r="L3981" s="181"/>
      <c r="M3981" s="181"/>
      <c r="N3981" s="153"/>
    </row>
    <row r="3982" spans="2:15" ht="6" customHeight="1" thickBot="1" x14ac:dyDescent="0.3">
      <c r="B3982" s="373"/>
      <c r="C3982" s="373"/>
      <c r="D3982" s="373"/>
      <c r="E3982" s="373"/>
      <c r="F3982" s="373"/>
      <c r="G3982" s="373"/>
      <c r="H3982" s="373"/>
      <c r="I3982" s="373"/>
    </row>
    <row r="3983" spans="2:15" ht="8.25" customHeight="1" x14ac:dyDescent="0.25">
      <c r="B3983" s="433" t="s">
        <v>335</v>
      </c>
      <c r="C3983" s="417"/>
      <c r="D3983" s="418"/>
      <c r="E3983" s="418"/>
      <c r="F3983" s="419"/>
      <c r="G3983" s="369" t="s">
        <v>336</v>
      </c>
      <c r="H3983" s="370"/>
      <c r="I3983" s="370"/>
    </row>
    <row r="3984" spans="2:15" ht="33.75" customHeight="1" x14ac:dyDescent="0.25">
      <c r="B3984" s="434"/>
      <c r="C3984" s="420"/>
      <c r="D3984" s="421"/>
      <c r="E3984" s="421"/>
      <c r="F3984" s="422"/>
      <c r="G3984" s="430" t="s">
        <v>337</v>
      </c>
      <c r="H3984" s="431"/>
      <c r="I3984" s="431"/>
      <c r="L3984" s="181"/>
      <c r="M3984" s="181"/>
      <c r="N3984" s="179"/>
    </row>
    <row r="3985" spans="2:9" ht="13.5" customHeight="1" x14ac:dyDescent="0.25">
      <c r="B3985" s="434"/>
      <c r="C3985" s="420"/>
      <c r="D3985" s="421"/>
      <c r="E3985" s="421"/>
      <c r="F3985" s="422"/>
      <c r="G3985" s="154" t="s">
        <v>92</v>
      </c>
      <c r="H3985" s="432" t="s">
        <v>93</v>
      </c>
      <c r="I3985" s="432"/>
    </row>
    <row r="3986" spans="2:9" ht="16.5" customHeight="1" x14ac:dyDescent="0.25">
      <c r="B3986" s="435"/>
      <c r="C3986" s="420"/>
      <c r="D3986" s="421"/>
      <c r="E3986" s="421"/>
      <c r="F3986" s="422"/>
      <c r="G3986" s="155" t="s">
        <v>94</v>
      </c>
      <c r="H3986" s="156" t="s">
        <v>95</v>
      </c>
      <c r="I3986" s="157" t="s">
        <v>96</v>
      </c>
    </row>
    <row r="3987" spans="2:9" x14ac:dyDescent="0.25">
      <c r="B3987" s="268" t="s">
        <v>18</v>
      </c>
      <c r="C3987" s="427"/>
      <c r="D3987" s="428"/>
      <c r="E3987" s="428"/>
      <c r="F3987" s="429"/>
      <c r="G3987" s="155" t="s">
        <v>98</v>
      </c>
      <c r="H3987" s="157" t="s">
        <v>99</v>
      </c>
      <c r="I3987" s="157" t="s">
        <v>100</v>
      </c>
    </row>
    <row r="3988" spans="2:9" x14ac:dyDescent="0.25">
      <c r="B3988" s="269" t="s">
        <v>97</v>
      </c>
      <c r="C3988" s="427"/>
      <c r="D3988" s="428"/>
      <c r="E3988" s="428"/>
      <c r="F3988" s="429"/>
      <c r="G3988" s="154" t="s">
        <v>338</v>
      </c>
      <c r="H3988" s="426"/>
      <c r="I3988" s="426"/>
    </row>
    <row r="3989" spans="2:9" ht="15.75" thickBot="1" x14ac:dyDescent="0.3">
      <c r="B3989" s="270" t="s">
        <v>101</v>
      </c>
      <c r="C3989" s="423"/>
      <c r="D3989" s="424"/>
      <c r="E3989" s="424"/>
      <c r="F3989" s="425"/>
      <c r="G3989" s="154" t="s">
        <v>102</v>
      </c>
      <c r="H3989" s="426" t="s">
        <v>103</v>
      </c>
      <c r="I3989" s="426"/>
    </row>
    <row r="3990" spans="2:9" ht="45" customHeight="1" thickBot="1" x14ac:dyDescent="0.3">
      <c r="B3990" s="401"/>
      <c r="C3990" s="402"/>
      <c r="D3990" s="402"/>
      <c r="E3990" s="402"/>
      <c r="F3990" s="403" t="s">
        <v>0</v>
      </c>
      <c r="G3990" s="403"/>
      <c r="H3990" s="403"/>
      <c r="I3990" s="404"/>
    </row>
    <row r="3991" spans="2:9" ht="6" customHeight="1" thickBot="1" x14ac:dyDescent="0.3">
      <c r="B3991" s="373"/>
      <c r="C3991" s="373"/>
      <c r="D3991" s="373"/>
      <c r="E3991" s="373"/>
      <c r="F3991" s="373"/>
      <c r="G3991" s="373"/>
      <c r="H3991" s="373"/>
      <c r="I3991" s="373"/>
    </row>
    <row r="3992" spans="2:9" ht="10.5" customHeight="1" x14ac:dyDescent="0.25">
      <c r="B3992" s="405" t="s">
        <v>294</v>
      </c>
      <c r="C3992" s="406"/>
      <c r="D3992" s="407" t="s">
        <v>295</v>
      </c>
      <c r="E3992" s="409" t="s">
        <v>296</v>
      </c>
      <c r="F3992" s="410"/>
      <c r="G3992" s="410"/>
      <c r="H3992" s="410"/>
      <c r="I3992" s="411"/>
    </row>
    <row r="3993" spans="2:9" ht="9" customHeight="1" thickBot="1" x14ac:dyDescent="0.3">
      <c r="B3993" s="415"/>
      <c r="C3993" s="416"/>
      <c r="D3993" s="408"/>
      <c r="E3993" s="412"/>
      <c r="F3993" s="413"/>
      <c r="G3993" s="413"/>
      <c r="H3993" s="413"/>
      <c r="I3993" s="414"/>
    </row>
    <row r="3994" spans="2:9" ht="6" customHeight="1" thickBot="1" x14ac:dyDescent="0.3">
      <c r="B3994" s="373"/>
      <c r="C3994" s="373"/>
      <c r="D3994" s="373"/>
      <c r="E3994" s="373"/>
      <c r="F3994" s="373"/>
      <c r="G3994" s="373"/>
      <c r="H3994" s="373"/>
      <c r="I3994" s="373"/>
    </row>
    <row r="3995" spans="2:9" ht="17.25" customHeight="1" thickBot="1" x14ac:dyDescent="0.3">
      <c r="B3995" s="390" t="s">
        <v>297</v>
      </c>
      <c r="C3995" s="391"/>
      <c r="D3995" s="392"/>
      <c r="E3995" s="393"/>
      <c r="F3995" s="393"/>
      <c r="G3995" s="394"/>
      <c r="H3995" s="127" t="s">
        <v>298</v>
      </c>
      <c r="I3995" s="128"/>
    </row>
    <row r="3996" spans="2:9" ht="6" customHeight="1" thickBot="1" x14ac:dyDescent="0.3">
      <c r="B3996" s="373"/>
      <c r="C3996" s="373"/>
      <c r="D3996" s="373"/>
      <c r="E3996" s="373"/>
      <c r="F3996" s="373"/>
      <c r="G3996" s="373"/>
      <c r="H3996" s="373"/>
      <c r="I3996" s="373"/>
    </row>
    <row r="3997" spans="2:9" ht="19.5" customHeight="1" x14ac:dyDescent="0.25">
      <c r="B3997" s="261" t="s">
        <v>299</v>
      </c>
      <c r="C3997" s="129" t="s">
        <v>300</v>
      </c>
      <c r="D3997" s="130" t="s">
        <v>301</v>
      </c>
      <c r="E3997" s="130" t="s">
        <v>302</v>
      </c>
      <c r="F3997" s="398" t="s">
        <v>303</v>
      </c>
      <c r="G3997" s="399"/>
      <c r="H3997" s="400"/>
      <c r="I3997" s="131" t="s">
        <v>304</v>
      </c>
    </row>
    <row r="3998" spans="2:9" ht="11.25" customHeight="1" x14ac:dyDescent="0.25">
      <c r="B3998" s="262"/>
      <c r="C3998" s="132"/>
      <c r="D3998" s="132" t="s">
        <v>305</v>
      </c>
      <c r="E3998" s="132" t="s">
        <v>306</v>
      </c>
      <c r="F3998" s="395" t="s">
        <v>339</v>
      </c>
      <c r="G3998" s="396"/>
      <c r="H3998" s="397"/>
      <c r="I3998" s="133"/>
    </row>
    <row r="3999" spans="2:9" ht="28.5" customHeight="1" x14ac:dyDescent="0.25">
      <c r="B3999" s="263" t="s">
        <v>307</v>
      </c>
      <c r="C3999" s="383" t="s">
        <v>414</v>
      </c>
      <c r="D3999" s="384"/>
      <c r="E3999" s="384"/>
      <c r="F3999" s="384"/>
      <c r="G3999" s="384"/>
      <c r="H3999" s="384"/>
      <c r="I3999" s="385"/>
    </row>
    <row r="4000" spans="2:9" ht="10.5" customHeight="1" x14ac:dyDescent="0.25">
      <c r="B4000" s="264" t="s">
        <v>129</v>
      </c>
      <c r="C4000" s="388" t="s">
        <v>308</v>
      </c>
      <c r="D4000" s="389"/>
      <c r="E4000" s="389"/>
      <c r="F4000" s="389"/>
      <c r="G4000" s="389"/>
      <c r="H4000" s="389"/>
      <c r="I4000" s="134" t="s">
        <v>130</v>
      </c>
    </row>
    <row r="4001" spans="2:15" ht="50.25" customHeight="1" thickBot="1" x14ac:dyDescent="0.3">
      <c r="B4001" s="265">
        <v>9.2399999999999949</v>
      </c>
      <c r="C4001" s="386" t="s">
        <v>632</v>
      </c>
      <c r="D4001" s="387"/>
      <c r="E4001" s="387"/>
      <c r="F4001" s="387"/>
      <c r="G4001" s="387"/>
      <c r="H4001" s="387"/>
      <c r="I4001" s="135" t="s">
        <v>27</v>
      </c>
    </row>
    <row r="4002" spans="2:15" ht="6" customHeight="1" thickBot="1" x14ac:dyDescent="0.3">
      <c r="B4002" s="373"/>
      <c r="C4002" s="373"/>
      <c r="D4002" s="373"/>
      <c r="E4002" s="373"/>
      <c r="F4002" s="373"/>
      <c r="G4002" s="373"/>
      <c r="H4002" s="373"/>
      <c r="I4002" s="373"/>
    </row>
    <row r="4003" spans="2:15" x14ac:dyDescent="0.25">
      <c r="B4003" s="380" t="s">
        <v>309</v>
      </c>
      <c r="C4003" s="381"/>
      <c r="D4003" s="381"/>
      <c r="E4003" s="381"/>
      <c r="F4003" s="381"/>
      <c r="G4003" s="381"/>
      <c r="H4003" s="381"/>
      <c r="I4003" s="382"/>
      <c r="K4003" s="182"/>
    </row>
    <row r="4004" spans="2:15" ht="11.25" customHeight="1" x14ac:dyDescent="0.25">
      <c r="B4004" s="377" t="s">
        <v>310</v>
      </c>
      <c r="C4004" s="378"/>
      <c r="D4004" s="379"/>
      <c r="E4004" s="136"/>
      <c r="F4004" s="137" t="s">
        <v>311</v>
      </c>
      <c r="G4004" s="137" t="s">
        <v>312</v>
      </c>
      <c r="H4004" s="137" t="s">
        <v>313</v>
      </c>
      <c r="I4004" s="138" t="s">
        <v>314</v>
      </c>
      <c r="L4004" s="139"/>
      <c r="M4004" s="139"/>
    </row>
    <row r="4005" spans="2:15" ht="11.25" customHeight="1" x14ac:dyDescent="0.25">
      <c r="B4005" s="362" t="s">
        <v>315</v>
      </c>
      <c r="C4005" s="363"/>
      <c r="D4005" s="363"/>
      <c r="E4005" s="160"/>
      <c r="F4005" s="161" t="s">
        <v>316</v>
      </c>
      <c r="G4005" s="160">
        <v>5000</v>
      </c>
      <c r="H4005" s="142">
        <v>0.5</v>
      </c>
      <c r="I4005" s="143">
        <f>G4005*H4005</f>
        <v>2500</v>
      </c>
    </row>
    <row r="4006" spans="2:15" ht="16.5" customHeight="1" x14ac:dyDescent="0.25">
      <c r="B4006" s="362" t="s">
        <v>355</v>
      </c>
      <c r="C4006" s="363"/>
      <c r="D4006" s="363"/>
      <c r="E4006" s="160"/>
      <c r="F4006" s="161" t="s">
        <v>317</v>
      </c>
      <c r="G4006" s="160">
        <v>90000</v>
      </c>
      <c r="H4006" s="142">
        <f>+H4005</f>
        <v>0.5</v>
      </c>
      <c r="I4006" s="143">
        <f>G4006*H4006</f>
        <v>45000</v>
      </c>
    </row>
    <row r="4007" spans="2:15" ht="10.5" customHeight="1" thickBot="1" x14ac:dyDescent="0.3">
      <c r="B4007" s="371" t="s">
        <v>318</v>
      </c>
      <c r="C4007" s="372"/>
      <c r="D4007" s="372"/>
      <c r="E4007" s="372"/>
      <c r="F4007" s="372"/>
      <c r="G4007" s="372"/>
      <c r="H4007" s="372"/>
      <c r="I4007" s="144">
        <f>SUM(I4005:I4006)</f>
        <v>47500</v>
      </c>
      <c r="N4007" s="150"/>
    </row>
    <row r="4008" spans="2:15" ht="6" customHeight="1" thickBot="1" x14ac:dyDescent="0.3">
      <c r="B4008" s="373"/>
      <c r="C4008" s="373"/>
      <c r="D4008" s="373"/>
      <c r="E4008" s="373"/>
      <c r="F4008" s="373"/>
      <c r="G4008" s="373"/>
      <c r="H4008" s="373"/>
      <c r="I4008" s="373"/>
    </row>
    <row r="4009" spans="2:15" s="145" customFormat="1" x14ac:dyDescent="0.25">
      <c r="B4009" s="380" t="s">
        <v>319</v>
      </c>
      <c r="C4009" s="381"/>
      <c r="D4009" s="381"/>
      <c r="E4009" s="381"/>
      <c r="F4009" s="381"/>
      <c r="G4009" s="381"/>
      <c r="H4009" s="381"/>
      <c r="I4009" s="382"/>
    </row>
    <row r="4010" spans="2:15" s="145" customFormat="1" ht="15.75" customHeight="1" x14ac:dyDescent="0.25">
      <c r="B4010" s="377" t="s">
        <v>310</v>
      </c>
      <c r="C4010" s="378"/>
      <c r="D4010" s="379"/>
      <c r="E4010" s="137"/>
      <c r="F4010" s="137" t="s">
        <v>320</v>
      </c>
      <c r="G4010" s="137" t="s">
        <v>321</v>
      </c>
      <c r="H4010" s="137" t="s">
        <v>322</v>
      </c>
      <c r="I4010" s="138" t="s">
        <v>314</v>
      </c>
    </row>
    <row r="4011" spans="2:15" ht="72.75" customHeight="1" x14ac:dyDescent="0.25">
      <c r="B4011" s="436" t="s">
        <v>632</v>
      </c>
      <c r="C4011" s="437"/>
      <c r="D4011" s="438"/>
      <c r="E4011" s="163"/>
      <c r="F4011" s="161" t="s">
        <v>27</v>
      </c>
      <c r="G4011" s="160">
        <f>1189923+3062272+1673635-5059078+1+1165487+180285+1281173+1815635-1196781+1-3206201+1</f>
        <v>906353</v>
      </c>
      <c r="H4011" s="142">
        <v>1</v>
      </c>
      <c r="I4011" s="143">
        <f>G4011*H4011</f>
        <v>906353</v>
      </c>
      <c r="M4011">
        <v>4608265</v>
      </c>
    </row>
    <row r="4012" spans="2:15" ht="18" customHeight="1" thickBot="1" x14ac:dyDescent="0.3">
      <c r="B4012" s="371" t="s">
        <v>318</v>
      </c>
      <c r="C4012" s="372"/>
      <c r="D4012" s="372"/>
      <c r="E4012" s="372"/>
      <c r="F4012" s="372"/>
      <c r="G4012" s="372"/>
      <c r="H4012" s="372"/>
      <c r="I4012" s="144">
        <f>SUM(I4011:I4011)</f>
        <v>906353</v>
      </c>
      <c r="N4012" s="150"/>
    </row>
    <row r="4013" spans="2:15" ht="6" customHeight="1" thickBot="1" x14ac:dyDescent="0.3">
      <c r="B4013" s="373"/>
      <c r="C4013" s="373"/>
      <c r="D4013" s="373"/>
      <c r="E4013" s="373"/>
      <c r="F4013" s="373"/>
      <c r="G4013" s="373"/>
      <c r="H4013" s="373"/>
      <c r="I4013" s="373"/>
    </row>
    <row r="4014" spans="2:15" s="145" customFormat="1" x14ac:dyDescent="0.25">
      <c r="B4014" s="380" t="s">
        <v>323</v>
      </c>
      <c r="C4014" s="381"/>
      <c r="D4014" s="381"/>
      <c r="E4014" s="381"/>
      <c r="F4014" s="381"/>
      <c r="G4014" s="381"/>
      <c r="H4014" s="381"/>
      <c r="I4014" s="382"/>
      <c r="L4014" s="146"/>
      <c r="M4014" s="146"/>
    </row>
    <row r="4015" spans="2:15" s="145" customFormat="1" x14ac:dyDescent="0.25">
      <c r="B4015" s="377" t="s">
        <v>324</v>
      </c>
      <c r="C4015" s="378"/>
      <c r="D4015" s="379"/>
      <c r="E4015" s="137" t="s">
        <v>325</v>
      </c>
      <c r="F4015" s="137" t="s">
        <v>326</v>
      </c>
      <c r="G4015" s="137" t="s">
        <v>130</v>
      </c>
      <c r="H4015" s="137" t="s">
        <v>327</v>
      </c>
      <c r="I4015" s="138" t="s">
        <v>314</v>
      </c>
      <c r="K4015" s="260"/>
      <c r="N4015" s="183"/>
      <c r="O4015" s="148"/>
    </row>
    <row r="4016" spans="2:15" ht="11.25" customHeight="1" x14ac:dyDescent="0.25">
      <c r="B4016" s="362" t="s">
        <v>711</v>
      </c>
      <c r="C4016" s="363"/>
      <c r="D4016" s="363"/>
      <c r="E4016" s="170">
        <v>1</v>
      </c>
      <c r="F4016" s="164"/>
      <c r="G4016" s="161"/>
      <c r="H4016" s="162">
        <v>20000</v>
      </c>
      <c r="I4016" s="143">
        <f>H4016*E4016</f>
        <v>20000</v>
      </c>
      <c r="K4016" s="281"/>
    </row>
    <row r="4017" spans="2:15" ht="10.5" customHeight="1" thickBot="1" x14ac:dyDescent="0.3">
      <c r="B4017" s="371" t="s">
        <v>318</v>
      </c>
      <c r="C4017" s="372"/>
      <c r="D4017" s="372"/>
      <c r="E4017" s="372"/>
      <c r="F4017" s="372"/>
      <c r="G4017" s="372"/>
      <c r="H4017" s="372"/>
      <c r="I4017" s="144">
        <f>SUM(I4016:I4016)</f>
        <v>20000</v>
      </c>
      <c r="K4017" s="281"/>
      <c r="N4017" s="150"/>
    </row>
    <row r="4018" spans="2:15" ht="6" customHeight="1" thickBot="1" x14ac:dyDescent="0.3">
      <c r="B4018" s="373"/>
      <c r="C4018" s="373"/>
      <c r="D4018" s="373"/>
      <c r="E4018" s="373"/>
      <c r="F4018" s="373"/>
      <c r="G4018" s="373"/>
      <c r="H4018" s="373"/>
      <c r="I4018" s="373"/>
    </row>
    <row r="4019" spans="2:15" s="145" customFormat="1" ht="20.100000000000001" customHeight="1" x14ac:dyDescent="0.25">
      <c r="B4019" s="380" t="s">
        <v>328</v>
      </c>
      <c r="C4019" s="381"/>
      <c r="D4019" s="381"/>
      <c r="E4019" s="381"/>
      <c r="F4019" s="381"/>
      <c r="G4019" s="381"/>
      <c r="H4019" s="381"/>
      <c r="I4019" s="382"/>
      <c r="K4019" s="147">
        <v>1171852.5</v>
      </c>
      <c r="N4019" s="148"/>
      <c r="O4019" s="149"/>
    </row>
    <row r="4020" spans="2:15" s="145" customFormat="1" ht="20.100000000000001" customHeight="1" x14ac:dyDescent="0.25">
      <c r="B4020" s="377" t="s">
        <v>329</v>
      </c>
      <c r="C4020" s="379"/>
      <c r="D4020" s="137" t="s">
        <v>322</v>
      </c>
      <c r="E4020" s="137" t="s">
        <v>330</v>
      </c>
      <c r="F4020" s="137" t="s">
        <v>331</v>
      </c>
      <c r="G4020" s="137" t="s">
        <v>332</v>
      </c>
      <c r="H4020" s="137" t="s">
        <v>313</v>
      </c>
      <c r="I4020" s="138" t="s">
        <v>314</v>
      </c>
      <c r="K4020" s="147">
        <f>+K4019-I4026</f>
        <v>-0.5</v>
      </c>
      <c r="O4020" s="179"/>
    </row>
    <row r="4021" spans="2:15" s="151" customFormat="1" ht="9.75" customHeight="1" x14ac:dyDescent="0.25">
      <c r="B4021" s="367" t="s">
        <v>356</v>
      </c>
      <c r="C4021" s="368"/>
      <c r="D4021" s="180">
        <v>1</v>
      </c>
      <c r="E4021" s="141">
        <v>140000</v>
      </c>
      <c r="F4021" s="141">
        <f>+E4021*0.8</f>
        <v>112000</v>
      </c>
      <c r="G4021" s="178">
        <f>D4021*E4021+F4021*D4021</f>
        <v>252000</v>
      </c>
      <c r="H4021" s="184">
        <v>3</v>
      </c>
      <c r="I4021" s="143">
        <f>+G4021/H4021</f>
        <v>84000</v>
      </c>
      <c r="J4021" s="145"/>
      <c r="K4021" s="147"/>
    </row>
    <row r="4022" spans="2:15" s="151" customFormat="1" ht="11.25" customHeight="1" x14ac:dyDescent="0.25">
      <c r="B4022" s="367" t="s">
        <v>374</v>
      </c>
      <c r="C4022" s="368"/>
      <c r="D4022" s="180">
        <v>1</v>
      </c>
      <c r="E4022" s="141">
        <v>80000</v>
      </c>
      <c r="F4022" s="141">
        <f>+E4022*0.8</f>
        <v>64000</v>
      </c>
      <c r="G4022" s="178">
        <f>D4022*E4022+F4022*D4022</f>
        <v>144000</v>
      </c>
      <c r="H4022" s="184">
        <f>+H4021</f>
        <v>3</v>
      </c>
      <c r="I4022" s="143">
        <f>+G4022/H4022</f>
        <v>48000</v>
      </c>
      <c r="J4022" s="145"/>
      <c r="K4022" s="147"/>
      <c r="L4022" s="179"/>
      <c r="M4022" s="179"/>
    </row>
    <row r="4023" spans="2:15" s="145" customFormat="1" ht="10.5" customHeight="1" x14ac:dyDescent="0.25">
      <c r="B4023" s="367" t="s">
        <v>333</v>
      </c>
      <c r="C4023" s="368"/>
      <c r="D4023" s="180">
        <v>2</v>
      </c>
      <c r="E4023" s="141">
        <v>55000</v>
      </c>
      <c r="F4023" s="141">
        <f>+E4023*0.8</f>
        <v>44000</v>
      </c>
      <c r="G4023" s="178">
        <f>D4023*E4023+F4023*D4023</f>
        <v>198000</v>
      </c>
      <c r="H4023" s="184">
        <f>+H4022</f>
        <v>3</v>
      </c>
      <c r="I4023" s="143">
        <f>+G4023/H4023</f>
        <v>66000</v>
      </c>
      <c r="K4023" s="147"/>
    </row>
    <row r="4024" spans="2:15" ht="10.5" customHeight="1" thickBot="1" x14ac:dyDescent="0.3">
      <c r="B4024" s="371" t="s">
        <v>318</v>
      </c>
      <c r="C4024" s="372"/>
      <c r="D4024" s="372"/>
      <c r="E4024" s="372"/>
      <c r="F4024" s="372"/>
      <c r="G4024" s="372"/>
      <c r="H4024" s="372"/>
      <c r="I4024" s="144">
        <f>SUM(I4021:I4023)</f>
        <v>198000</v>
      </c>
      <c r="K4024" s="281"/>
      <c r="N4024" s="150"/>
    </row>
    <row r="4025" spans="2:15" ht="6" customHeight="1" thickBot="1" x14ac:dyDescent="0.3">
      <c r="B4025" s="373"/>
      <c r="C4025" s="373"/>
      <c r="D4025" s="373"/>
      <c r="E4025" s="373"/>
      <c r="F4025" s="373"/>
      <c r="G4025" s="373"/>
      <c r="H4025" s="373"/>
      <c r="I4025" s="373"/>
    </row>
    <row r="4026" spans="2:15" ht="10.5" customHeight="1" thickBot="1" x14ac:dyDescent="0.3">
      <c r="B4026" s="374" t="s">
        <v>334</v>
      </c>
      <c r="C4026" s="375"/>
      <c r="D4026" s="375"/>
      <c r="E4026" s="375"/>
      <c r="F4026" s="375"/>
      <c r="G4026" s="375"/>
      <c r="H4026" s="376"/>
      <c r="I4026" s="152">
        <f>ROUND(+I4007+I4012+I4017+I4024,0)</f>
        <v>1171853</v>
      </c>
      <c r="J4026" s="281"/>
      <c r="K4026" s="169"/>
      <c r="L4026" s="181"/>
      <c r="M4026" s="181"/>
      <c r="N4026" s="153"/>
    </row>
    <row r="4027" spans="2:15" ht="6" customHeight="1" thickBot="1" x14ac:dyDescent="0.3">
      <c r="B4027" s="373"/>
      <c r="C4027" s="373"/>
      <c r="D4027" s="373"/>
      <c r="E4027" s="373"/>
      <c r="F4027" s="373"/>
      <c r="G4027" s="373"/>
      <c r="H4027" s="373"/>
      <c r="I4027" s="373"/>
    </row>
    <row r="4028" spans="2:15" ht="8.25" customHeight="1" x14ac:dyDescent="0.25">
      <c r="B4028" s="433" t="s">
        <v>335</v>
      </c>
      <c r="C4028" s="417"/>
      <c r="D4028" s="418"/>
      <c r="E4028" s="418"/>
      <c r="F4028" s="419"/>
      <c r="G4028" s="369" t="s">
        <v>336</v>
      </c>
      <c r="H4028" s="370"/>
      <c r="I4028" s="370"/>
    </row>
    <row r="4029" spans="2:15" ht="33.75" customHeight="1" x14ac:dyDescent="0.25">
      <c r="B4029" s="434"/>
      <c r="C4029" s="420"/>
      <c r="D4029" s="421"/>
      <c r="E4029" s="421"/>
      <c r="F4029" s="422"/>
      <c r="G4029" s="430" t="s">
        <v>337</v>
      </c>
      <c r="H4029" s="431"/>
      <c r="I4029" s="431"/>
      <c r="L4029" s="181"/>
      <c r="M4029" s="181"/>
      <c r="N4029" s="179"/>
    </row>
    <row r="4030" spans="2:15" ht="13.5" customHeight="1" x14ac:dyDescent="0.25">
      <c r="B4030" s="434"/>
      <c r="C4030" s="420"/>
      <c r="D4030" s="421"/>
      <c r="E4030" s="421"/>
      <c r="F4030" s="422"/>
      <c r="G4030" s="154" t="s">
        <v>92</v>
      </c>
      <c r="H4030" s="432" t="s">
        <v>93</v>
      </c>
      <c r="I4030" s="432"/>
    </row>
    <row r="4031" spans="2:15" ht="16.5" customHeight="1" x14ac:dyDescent="0.25">
      <c r="B4031" s="435"/>
      <c r="C4031" s="420"/>
      <c r="D4031" s="421"/>
      <c r="E4031" s="421"/>
      <c r="F4031" s="422"/>
      <c r="G4031" s="155" t="s">
        <v>94</v>
      </c>
      <c r="H4031" s="156" t="s">
        <v>95</v>
      </c>
      <c r="I4031" s="157" t="s">
        <v>96</v>
      </c>
    </row>
    <row r="4032" spans="2:15" x14ac:dyDescent="0.25">
      <c r="B4032" s="268" t="s">
        <v>18</v>
      </c>
      <c r="C4032" s="427"/>
      <c r="D4032" s="428"/>
      <c r="E4032" s="428"/>
      <c r="F4032" s="429"/>
      <c r="G4032" s="155" t="s">
        <v>98</v>
      </c>
      <c r="H4032" s="157" t="s">
        <v>99</v>
      </c>
      <c r="I4032" s="157" t="s">
        <v>100</v>
      </c>
    </row>
    <row r="4033" spans="2:9" x14ac:dyDescent="0.25">
      <c r="B4033" s="269" t="s">
        <v>97</v>
      </c>
      <c r="C4033" s="427"/>
      <c r="D4033" s="428"/>
      <c r="E4033" s="428"/>
      <c r="F4033" s="429"/>
      <c r="G4033" s="154" t="s">
        <v>338</v>
      </c>
      <c r="H4033" s="426"/>
      <c r="I4033" s="426"/>
    </row>
    <row r="4034" spans="2:9" ht="15.75" thickBot="1" x14ac:dyDescent="0.3">
      <c r="B4034" s="270" t="s">
        <v>101</v>
      </c>
      <c r="C4034" s="423"/>
      <c r="D4034" s="424"/>
      <c r="E4034" s="424"/>
      <c r="F4034" s="425"/>
      <c r="G4034" s="154" t="s">
        <v>102</v>
      </c>
      <c r="H4034" s="426" t="s">
        <v>103</v>
      </c>
      <c r="I4034" s="426"/>
    </row>
    <row r="4035" spans="2:9" ht="6" customHeight="1" x14ac:dyDescent="0.25"/>
  </sheetData>
  <mergeCells count="4646">
    <mergeCell ref="C11:I11"/>
    <mergeCell ref="C12:H12"/>
    <mergeCell ref="C13:H13"/>
    <mergeCell ref="B14:I14"/>
    <mergeCell ref="B15:I15"/>
    <mergeCell ref="B16:D16"/>
    <mergeCell ref="B6:I6"/>
    <mergeCell ref="B7:C7"/>
    <mergeCell ref="D7:G7"/>
    <mergeCell ref="B8:I8"/>
    <mergeCell ref="F9:H9"/>
    <mergeCell ref="F10:H10"/>
    <mergeCell ref="B2:E2"/>
    <mergeCell ref="F2:I2"/>
    <mergeCell ref="B3:I3"/>
    <mergeCell ref="B4:C4"/>
    <mergeCell ref="D4:D5"/>
    <mergeCell ref="E4:I5"/>
    <mergeCell ref="B5:C5"/>
    <mergeCell ref="B30:D30"/>
    <mergeCell ref="B31:H31"/>
    <mergeCell ref="B32:I32"/>
    <mergeCell ref="B33:I33"/>
    <mergeCell ref="B34:C34"/>
    <mergeCell ref="B35:C35"/>
    <mergeCell ref="B23:D23"/>
    <mergeCell ref="B24:D24"/>
    <mergeCell ref="B26:H26"/>
    <mergeCell ref="B27:I27"/>
    <mergeCell ref="B28:I28"/>
    <mergeCell ref="B29:D29"/>
    <mergeCell ref="B17:D17"/>
    <mergeCell ref="B18:D18"/>
    <mergeCell ref="B19:D19"/>
    <mergeCell ref="B20:H20"/>
    <mergeCell ref="B21:I21"/>
    <mergeCell ref="B22:I22"/>
    <mergeCell ref="C47:F47"/>
    <mergeCell ref="C48:F48"/>
    <mergeCell ref="H48:I48"/>
    <mergeCell ref="C49:F49"/>
    <mergeCell ref="H49:I49"/>
    <mergeCell ref="B51:E51"/>
    <mergeCell ref="F51:I51"/>
    <mergeCell ref="B42:I42"/>
    <mergeCell ref="B43:B46"/>
    <mergeCell ref="C43:F46"/>
    <mergeCell ref="G43:I43"/>
    <mergeCell ref="G44:I44"/>
    <mergeCell ref="H45:I45"/>
    <mergeCell ref="B36:C36"/>
    <mergeCell ref="B37:C37"/>
    <mergeCell ref="B38:C38"/>
    <mergeCell ref="B39:H39"/>
    <mergeCell ref="B40:I40"/>
    <mergeCell ref="B41:H41"/>
    <mergeCell ref="C61:H61"/>
    <mergeCell ref="C62:H62"/>
    <mergeCell ref="B63:I63"/>
    <mergeCell ref="B64:I64"/>
    <mergeCell ref="B65:D65"/>
    <mergeCell ref="B66:D66"/>
    <mergeCell ref="B56:C56"/>
    <mergeCell ref="D56:G56"/>
    <mergeCell ref="B57:I57"/>
    <mergeCell ref="F58:H58"/>
    <mergeCell ref="F59:H59"/>
    <mergeCell ref="C60:I60"/>
    <mergeCell ref="B52:I52"/>
    <mergeCell ref="B53:C53"/>
    <mergeCell ref="D53:D54"/>
    <mergeCell ref="E53:I54"/>
    <mergeCell ref="B54:C54"/>
    <mergeCell ref="B55:I55"/>
    <mergeCell ref="B80:H80"/>
    <mergeCell ref="B81:I81"/>
    <mergeCell ref="B82:I82"/>
    <mergeCell ref="B83:C83"/>
    <mergeCell ref="B84:C84"/>
    <mergeCell ref="B85:C85"/>
    <mergeCell ref="B73:D73"/>
    <mergeCell ref="B75:H75"/>
    <mergeCell ref="B76:I76"/>
    <mergeCell ref="B77:I77"/>
    <mergeCell ref="B78:D78"/>
    <mergeCell ref="B79:D79"/>
    <mergeCell ref="B67:D67"/>
    <mergeCell ref="B68:D68"/>
    <mergeCell ref="B69:H69"/>
    <mergeCell ref="B70:I70"/>
    <mergeCell ref="B71:I71"/>
    <mergeCell ref="B72:D72"/>
    <mergeCell ref="C97:F97"/>
    <mergeCell ref="H97:I97"/>
    <mergeCell ref="C98:F98"/>
    <mergeCell ref="H98:I98"/>
    <mergeCell ref="B100:E100"/>
    <mergeCell ref="F100:I100"/>
    <mergeCell ref="B92:B95"/>
    <mergeCell ref="C92:F95"/>
    <mergeCell ref="G92:I92"/>
    <mergeCell ref="G93:I93"/>
    <mergeCell ref="H94:I94"/>
    <mergeCell ref="C96:F96"/>
    <mergeCell ref="B86:C86"/>
    <mergeCell ref="B87:C87"/>
    <mergeCell ref="B88:H88"/>
    <mergeCell ref="B89:I89"/>
    <mergeCell ref="B90:H90"/>
    <mergeCell ref="B91:I91"/>
    <mergeCell ref="C110:H110"/>
    <mergeCell ref="C111:H111"/>
    <mergeCell ref="B112:I112"/>
    <mergeCell ref="B113:I113"/>
    <mergeCell ref="B114:D114"/>
    <mergeCell ref="B115:D115"/>
    <mergeCell ref="B105:C105"/>
    <mergeCell ref="D105:G105"/>
    <mergeCell ref="B106:I106"/>
    <mergeCell ref="F107:H107"/>
    <mergeCell ref="F108:H108"/>
    <mergeCell ref="C109:I109"/>
    <mergeCell ref="B101:I101"/>
    <mergeCell ref="B102:C102"/>
    <mergeCell ref="D102:D103"/>
    <mergeCell ref="E102:I103"/>
    <mergeCell ref="B103:C103"/>
    <mergeCell ref="B104:I104"/>
    <mergeCell ref="B129:H129"/>
    <mergeCell ref="B130:I130"/>
    <mergeCell ref="B131:I131"/>
    <mergeCell ref="B132:C132"/>
    <mergeCell ref="B133:C133"/>
    <mergeCell ref="B134:C134"/>
    <mergeCell ref="B122:D122"/>
    <mergeCell ref="B124:H124"/>
    <mergeCell ref="B125:I125"/>
    <mergeCell ref="B126:I126"/>
    <mergeCell ref="B127:D127"/>
    <mergeCell ref="B128:D128"/>
    <mergeCell ref="B116:D116"/>
    <mergeCell ref="B117:D117"/>
    <mergeCell ref="B118:H118"/>
    <mergeCell ref="B119:I119"/>
    <mergeCell ref="B120:I120"/>
    <mergeCell ref="B121:D121"/>
    <mergeCell ref="C146:F146"/>
    <mergeCell ref="H146:I146"/>
    <mergeCell ref="C147:F147"/>
    <mergeCell ref="H147:I147"/>
    <mergeCell ref="B148:E148"/>
    <mergeCell ref="F148:I148"/>
    <mergeCell ref="B141:B144"/>
    <mergeCell ref="C141:F144"/>
    <mergeCell ref="G141:I141"/>
    <mergeCell ref="G142:I142"/>
    <mergeCell ref="H143:I143"/>
    <mergeCell ref="C145:F145"/>
    <mergeCell ref="B135:C135"/>
    <mergeCell ref="B136:C136"/>
    <mergeCell ref="B137:H137"/>
    <mergeCell ref="B138:I138"/>
    <mergeCell ref="B139:H139"/>
    <mergeCell ref="B140:I140"/>
    <mergeCell ref="C158:H158"/>
    <mergeCell ref="C159:H159"/>
    <mergeCell ref="B160:I160"/>
    <mergeCell ref="B161:I161"/>
    <mergeCell ref="B162:D162"/>
    <mergeCell ref="B163:D163"/>
    <mergeCell ref="B153:C153"/>
    <mergeCell ref="D153:G153"/>
    <mergeCell ref="B154:I154"/>
    <mergeCell ref="F155:H155"/>
    <mergeCell ref="F156:H156"/>
    <mergeCell ref="C157:I157"/>
    <mergeCell ref="B149:I149"/>
    <mergeCell ref="B150:C150"/>
    <mergeCell ref="D150:D151"/>
    <mergeCell ref="E150:I151"/>
    <mergeCell ref="B151:C151"/>
    <mergeCell ref="B152:I152"/>
    <mergeCell ref="B177:H177"/>
    <mergeCell ref="B178:I178"/>
    <mergeCell ref="B179:I179"/>
    <mergeCell ref="B180:C180"/>
    <mergeCell ref="B181:C181"/>
    <mergeCell ref="B182:C182"/>
    <mergeCell ref="B170:D170"/>
    <mergeCell ref="B172:H172"/>
    <mergeCell ref="B173:I173"/>
    <mergeCell ref="B174:I174"/>
    <mergeCell ref="B175:D175"/>
    <mergeCell ref="B176:D176"/>
    <mergeCell ref="B164:D164"/>
    <mergeCell ref="B165:D165"/>
    <mergeCell ref="B166:H166"/>
    <mergeCell ref="B167:I167"/>
    <mergeCell ref="B168:I168"/>
    <mergeCell ref="B169:D169"/>
    <mergeCell ref="C194:F194"/>
    <mergeCell ref="H194:I194"/>
    <mergeCell ref="C195:F195"/>
    <mergeCell ref="H195:I195"/>
    <mergeCell ref="B196:E196"/>
    <mergeCell ref="F196:I196"/>
    <mergeCell ref="B189:B192"/>
    <mergeCell ref="C189:F192"/>
    <mergeCell ref="G189:I189"/>
    <mergeCell ref="G190:I190"/>
    <mergeCell ref="H191:I191"/>
    <mergeCell ref="C193:F193"/>
    <mergeCell ref="B183:C183"/>
    <mergeCell ref="B184:C184"/>
    <mergeCell ref="B185:H185"/>
    <mergeCell ref="B186:I186"/>
    <mergeCell ref="B187:H187"/>
    <mergeCell ref="B188:I188"/>
    <mergeCell ref="C206:H206"/>
    <mergeCell ref="C207:H207"/>
    <mergeCell ref="B208:I208"/>
    <mergeCell ref="B209:I209"/>
    <mergeCell ref="B210:D210"/>
    <mergeCell ref="B211:D211"/>
    <mergeCell ref="B201:C201"/>
    <mergeCell ref="D201:G201"/>
    <mergeCell ref="B202:I202"/>
    <mergeCell ref="F203:H203"/>
    <mergeCell ref="F204:H204"/>
    <mergeCell ref="C205:I205"/>
    <mergeCell ref="B197:I197"/>
    <mergeCell ref="B198:C198"/>
    <mergeCell ref="D198:D199"/>
    <mergeCell ref="E198:I199"/>
    <mergeCell ref="B199:C199"/>
    <mergeCell ref="B200:I200"/>
    <mergeCell ref="B225:H225"/>
    <mergeCell ref="B226:I226"/>
    <mergeCell ref="B227:I227"/>
    <mergeCell ref="B228:C228"/>
    <mergeCell ref="B229:C229"/>
    <mergeCell ref="B230:C230"/>
    <mergeCell ref="B218:D218"/>
    <mergeCell ref="B220:H220"/>
    <mergeCell ref="B221:I221"/>
    <mergeCell ref="B222:I222"/>
    <mergeCell ref="B223:D223"/>
    <mergeCell ref="B224:D224"/>
    <mergeCell ref="B212:D212"/>
    <mergeCell ref="B213:D213"/>
    <mergeCell ref="B214:H214"/>
    <mergeCell ref="B215:I215"/>
    <mergeCell ref="B216:I216"/>
    <mergeCell ref="B217:D217"/>
    <mergeCell ref="C242:F242"/>
    <mergeCell ref="H242:I242"/>
    <mergeCell ref="C243:F243"/>
    <mergeCell ref="H243:I243"/>
    <mergeCell ref="B244:E244"/>
    <mergeCell ref="F244:I244"/>
    <mergeCell ref="B237:B240"/>
    <mergeCell ref="C237:F240"/>
    <mergeCell ref="G237:I237"/>
    <mergeCell ref="G238:I238"/>
    <mergeCell ref="H239:I239"/>
    <mergeCell ref="C241:F241"/>
    <mergeCell ref="B231:C231"/>
    <mergeCell ref="B232:C232"/>
    <mergeCell ref="B233:H233"/>
    <mergeCell ref="B234:I234"/>
    <mergeCell ref="B235:H235"/>
    <mergeCell ref="B236:I236"/>
    <mergeCell ref="C254:H254"/>
    <mergeCell ref="C255:H255"/>
    <mergeCell ref="B256:I256"/>
    <mergeCell ref="B257:I257"/>
    <mergeCell ref="B258:D258"/>
    <mergeCell ref="B259:D259"/>
    <mergeCell ref="B249:C249"/>
    <mergeCell ref="D249:G249"/>
    <mergeCell ref="B250:I250"/>
    <mergeCell ref="F251:H251"/>
    <mergeCell ref="F252:H252"/>
    <mergeCell ref="C253:I253"/>
    <mergeCell ref="B245:I245"/>
    <mergeCell ref="B246:C246"/>
    <mergeCell ref="D246:D247"/>
    <mergeCell ref="E246:I247"/>
    <mergeCell ref="B247:C247"/>
    <mergeCell ref="B248:I248"/>
    <mergeCell ref="B273:H273"/>
    <mergeCell ref="B274:I274"/>
    <mergeCell ref="B275:I275"/>
    <mergeCell ref="B276:C276"/>
    <mergeCell ref="B277:C277"/>
    <mergeCell ref="B278:C278"/>
    <mergeCell ref="B266:D266"/>
    <mergeCell ref="B268:H268"/>
    <mergeCell ref="B269:I269"/>
    <mergeCell ref="B270:I270"/>
    <mergeCell ref="B271:D271"/>
    <mergeCell ref="B272:D272"/>
    <mergeCell ref="B260:D260"/>
    <mergeCell ref="B261:D261"/>
    <mergeCell ref="B262:H262"/>
    <mergeCell ref="B263:I263"/>
    <mergeCell ref="B264:I264"/>
    <mergeCell ref="B265:D265"/>
    <mergeCell ref="C290:F290"/>
    <mergeCell ref="H290:I290"/>
    <mergeCell ref="C291:F291"/>
    <mergeCell ref="H291:I291"/>
    <mergeCell ref="B292:E292"/>
    <mergeCell ref="F292:I292"/>
    <mergeCell ref="B285:B288"/>
    <mergeCell ref="C285:F288"/>
    <mergeCell ref="G285:I285"/>
    <mergeCell ref="G286:I286"/>
    <mergeCell ref="H287:I287"/>
    <mergeCell ref="C289:F289"/>
    <mergeCell ref="B279:C279"/>
    <mergeCell ref="B280:C280"/>
    <mergeCell ref="B281:H281"/>
    <mergeCell ref="B282:I282"/>
    <mergeCell ref="B283:H283"/>
    <mergeCell ref="B284:I284"/>
    <mergeCell ref="C302:H302"/>
    <mergeCell ref="C303:H303"/>
    <mergeCell ref="B304:I304"/>
    <mergeCell ref="B305:I305"/>
    <mergeCell ref="B306:D306"/>
    <mergeCell ref="B307:D307"/>
    <mergeCell ref="B297:C297"/>
    <mergeCell ref="D297:G297"/>
    <mergeCell ref="B298:I298"/>
    <mergeCell ref="F299:H299"/>
    <mergeCell ref="F300:H300"/>
    <mergeCell ref="C301:I301"/>
    <mergeCell ref="B293:I293"/>
    <mergeCell ref="B294:C294"/>
    <mergeCell ref="D294:D295"/>
    <mergeCell ref="E294:I295"/>
    <mergeCell ref="B295:C295"/>
    <mergeCell ref="B296:I296"/>
    <mergeCell ref="B320:I320"/>
    <mergeCell ref="B321:I321"/>
    <mergeCell ref="B322:C322"/>
    <mergeCell ref="B323:C323"/>
    <mergeCell ref="B324:C324"/>
    <mergeCell ref="B325:C325"/>
    <mergeCell ref="B314:H314"/>
    <mergeCell ref="B315:I315"/>
    <mergeCell ref="B316:I316"/>
    <mergeCell ref="B317:D317"/>
    <mergeCell ref="B318:D318"/>
    <mergeCell ref="B319:H319"/>
    <mergeCell ref="B308:D308"/>
    <mergeCell ref="B309:H309"/>
    <mergeCell ref="B310:I310"/>
    <mergeCell ref="B311:I311"/>
    <mergeCell ref="B312:D312"/>
    <mergeCell ref="B313:D313"/>
    <mergeCell ref="C335:F335"/>
    <mergeCell ref="C336:F336"/>
    <mergeCell ref="H336:I336"/>
    <mergeCell ref="C337:F337"/>
    <mergeCell ref="H337:I337"/>
    <mergeCell ref="B338:E338"/>
    <mergeCell ref="F338:I338"/>
    <mergeCell ref="B326:C326"/>
    <mergeCell ref="B327:H327"/>
    <mergeCell ref="B328:I328"/>
    <mergeCell ref="B329:H329"/>
    <mergeCell ref="B330:I330"/>
    <mergeCell ref="B331:B334"/>
    <mergeCell ref="C331:F334"/>
    <mergeCell ref="G331:I331"/>
    <mergeCell ref="G332:I332"/>
    <mergeCell ref="H333:I333"/>
    <mergeCell ref="C348:H348"/>
    <mergeCell ref="C349:H349"/>
    <mergeCell ref="B350:I350"/>
    <mergeCell ref="B351:I351"/>
    <mergeCell ref="B352:D352"/>
    <mergeCell ref="B353:D353"/>
    <mergeCell ref="B343:C343"/>
    <mergeCell ref="D343:G343"/>
    <mergeCell ref="B344:I344"/>
    <mergeCell ref="F345:H345"/>
    <mergeCell ref="F346:H346"/>
    <mergeCell ref="C347:I347"/>
    <mergeCell ref="B339:I339"/>
    <mergeCell ref="B340:C340"/>
    <mergeCell ref="D340:D341"/>
    <mergeCell ref="E340:I341"/>
    <mergeCell ref="B341:C341"/>
    <mergeCell ref="B342:I342"/>
    <mergeCell ref="B366:I366"/>
    <mergeCell ref="B367:I367"/>
    <mergeCell ref="B368:C368"/>
    <mergeCell ref="B369:C369"/>
    <mergeCell ref="B370:C370"/>
    <mergeCell ref="B371:C371"/>
    <mergeCell ref="B360:H360"/>
    <mergeCell ref="B361:I361"/>
    <mergeCell ref="B362:I362"/>
    <mergeCell ref="B363:D363"/>
    <mergeCell ref="B364:D364"/>
    <mergeCell ref="B365:H365"/>
    <mergeCell ref="B354:D354"/>
    <mergeCell ref="B355:H355"/>
    <mergeCell ref="B356:I356"/>
    <mergeCell ref="B357:I357"/>
    <mergeCell ref="B358:D358"/>
    <mergeCell ref="B359:D359"/>
    <mergeCell ref="C381:F381"/>
    <mergeCell ref="C382:F382"/>
    <mergeCell ref="H382:I382"/>
    <mergeCell ref="C383:F383"/>
    <mergeCell ref="H383:I383"/>
    <mergeCell ref="B384:E384"/>
    <mergeCell ref="F384:I384"/>
    <mergeCell ref="B372:C372"/>
    <mergeCell ref="B373:H373"/>
    <mergeCell ref="B374:I374"/>
    <mergeCell ref="B375:H375"/>
    <mergeCell ref="B376:I376"/>
    <mergeCell ref="B377:B380"/>
    <mergeCell ref="C377:F380"/>
    <mergeCell ref="G377:I377"/>
    <mergeCell ref="G378:I378"/>
    <mergeCell ref="H379:I379"/>
    <mergeCell ref="C394:H394"/>
    <mergeCell ref="C395:H395"/>
    <mergeCell ref="B396:I396"/>
    <mergeCell ref="B397:I397"/>
    <mergeCell ref="B398:D398"/>
    <mergeCell ref="B399:D399"/>
    <mergeCell ref="B389:C389"/>
    <mergeCell ref="D389:G389"/>
    <mergeCell ref="B390:I390"/>
    <mergeCell ref="F391:H391"/>
    <mergeCell ref="F392:H392"/>
    <mergeCell ref="C393:I393"/>
    <mergeCell ref="B385:I385"/>
    <mergeCell ref="B386:C386"/>
    <mergeCell ref="D386:D387"/>
    <mergeCell ref="E386:I387"/>
    <mergeCell ref="B387:C387"/>
    <mergeCell ref="B388:I388"/>
    <mergeCell ref="B412:I412"/>
    <mergeCell ref="B413:I413"/>
    <mergeCell ref="B414:C414"/>
    <mergeCell ref="B415:C415"/>
    <mergeCell ref="B416:C416"/>
    <mergeCell ref="B417:C417"/>
    <mergeCell ref="B406:H406"/>
    <mergeCell ref="B407:I407"/>
    <mergeCell ref="B408:I408"/>
    <mergeCell ref="B409:D409"/>
    <mergeCell ref="B410:D410"/>
    <mergeCell ref="B411:H411"/>
    <mergeCell ref="B400:D400"/>
    <mergeCell ref="B401:H401"/>
    <mergeCell ref="B402:I402"/>
    <mergeCell ref="B403:I403"/>
    <mergeCell ref="B404:D404"/>
    <mergeCell ref="B405:D405"/>
    <mergeCell ref="B431:I431"/>
    <mergeCell ref="B432:C432"/>
    <mergeCell ref="D432:D433"/>
    <mergeCell ref="E432:I433"/>
    <mergeCell ref="B433:C433"/>
    <mergeCell ref="B434:I434"/>
    <mergeCell ref="C427:F427"/>
    <mergeCell ref="C428:F428"/>
    <mergeCell ref="H428:I428"/>
    <mergeCell ref="C429:F429"/>
    <mergeCell ref="H429:I429"/>
    <mergeCell ref="B430:E430"/>
    <mergeCell ref="F430:I430"/>
    <mergeCell ref="B418:C418"/>
    <mergeCell ref="B419:H419"/>
    <mergeCell ref="B420:I420"/>
    <mergeCell ref="B421:H421"/>
    <mergeCell ref="B422:I422"/>
    <mergeCell ref="B423:B426"/>
    <mergeCell ref="C423:F426"/>
    <mergeCell ref="G423:I423"/>
    <mergeCell ref="G424:I424"/>
    <mergeCell ref="H425:I425"/>
    <mergeCell ref="B446:D446"/>
    <mergeCell ref="B447:H447"/>
    <mergeCell ref="B448:I448"/>
    <mergeCell ref="B449:I449"/>
    <mergeCell ref="B450:D450"/>
    <mergeCell ref="B451:D451"/>
    <mergeCell ref="C440:H440"/>
    <mergeCell ref="C441:H441"/>
    <mergeCell ref="B442:I442"/>
    <mergeCell ref="B443:I443"/>
    <mergeCell ref="B444:D444"/>
    <mergeCell ref="B445:D445"/>
    <mergeCell ref="B435:C435"/>
    <mergeCell ref="D435:G435"/>
    <mergeCell ref="B436:I436"/>
    <mergeCell ref="F437:H437"/>
    <mergeCell ref="F438:H438"/>
    <mergeCell ref="C439:I439"/>
    <mergeCell ref="B464:C464"/>
    <mergeCell ref="B465:H465"/>
    <mergeCell ref="B466:I466"/>
    <mergeCell ref="B467:H467"/>
    <mergeCell ref="B468:I468"/>
    <mergeCell ref="B469:B472"/>
    <mergeCell ref="C469:F472"/>
    <mergeCell ref="G469:I469"/>
    <mergeCell ref="G470:I470"/>
    <mergeCell ref="H471:I471"/>
    <mergeCell ref="B458:I458"/>
    <mergeCell ref="B459:I459"/>
    <mergeCell ref="B460:C460"/>
    <mergeCell ref="B461:C461"/>
    <mergeCell ref="B462:C462"/>
    <mergeCell ref="B463:C463"/>
    <mergeCell ref="B452:H452"/>
    <mergeCell ref="B453:I453"/>
    <mergeCell ref="B454:I454"/>
    <mergeCell ref="B455:D455"/>
    <mergeCell ref="B456:D456"/>
    <mergeCell ref="B457:H457"/>
    <mergeCell ref="B481:C481"/>
    <mergeCell ref="D481:G481"/>
    <mergeCell ref="B482:I482"/>
    <mergeCell ref="F483:H483"/>
    <mergeCell ref="F484:H484"/>
    <mergeCell ref="C485:I485"/>
    <mergeCell ref="B477:I477"/>
    <mergeCell ref="B478:C478"/>
    <mergeCell ref="D478:D479"/>
    <mergeCell ref="E478:I479"/>
    <mergeCell ref="B479:C479"/>
    <mergeCell ref="B480:I480"/>
    <mergeCell ref="C473:F473"/>
    <mergeCell ref="C474:F474"/>
    <mergeCell ref="H474:I474"/>
    <mergeCell ref="C475:F475"/>
    <mergeCell ref="H475:I475"/>
    <mergeCell ref="B476:E476"/>
    <mergeCell ref="F476:I476"/>
    <mergeCell ref="B498:H498"/>
    <mergeCell ref="B499:I499"/>
    <mergeCell ref="B500:I500"/>
    <mergeCell ref="B501:D501"/>
    <mergeCell ref="B502:D502"/>
    <mergeCell ref="B503:H503"/>
    <mergeCell ref="B492:D492"/>
    <mergeCell ref="B493:H493"/>
    <mergeCell ref="B494:I494"/>
    <mergeCell ref="B495:I495"/>
    <mergeCell ref="B496:D496"/>
    <mergeCell ref="B497:D497"/>
    <mergeCell ref="C486:H486"/>
    <mergeCell ref="C487:H487"/>
    <mergeCell ref="B488:I488"/>
    <mergeCell ref="B489:I489"/>
    <mergeCell ref="B490:D490"/>
    <mergeCell ref="B491:D491"/>
    <mergeCell ref="C518:F518"/>
    <mergeCell ref="C519:F519"/>
    <mergeCell ref="H519:I519"/>
    <mergeCell ref="C520:F520"/>
    <mergeCell ref="H520:I520"/>
    <mergeCell ref="B521:E521"/>
    <mergeCell ref="F521:I521"/>
    <mergeCell ref="B510:H510"/>
    <mergeCell ref="B511:I511"/>
    <mergeCell ref="B512:H512"/>
    <mergeCell ref="B513:I513"/>
    <mergeCell ref="B514:B517"/>
    <mergeCell ref="C514:F517"/>
    <mergeCell ref="G514:I514"/>
    <mergeCell ref="G515:I515"/>
    <mergeCell ref="H516:I516"/>
    <mergeCell ref="B504:I504"/>
    <mergeCell ref="B505:I505"/>
    <mergeCell ref="B506:C506"/>
    <mergeCell ref="B507:C507"/>
    <mergeCell ref="B508:C508"/>
    <mergeCell ref="B509:C509"/>
    <mergeCell ref="C531:H531"/>
    <mergeCell ref="C532:H532"/>
    <mergeCell ref="B533:I533"/>
    <mergeCell ref="B534:I534"/>
    <mergeCell ref="B535:D535"/>
    <mergeCell ref="B536:D536"/>
    <mergeCell ref="B526:C526"/>
    <mergeCell ref="D526:G526"/>
    <mergeCell ref="B527:I527"/>
    <mergeCell ref="F528:H528"/>
    <mergeCell ref="F529:H529"/>
    <mergeCell ref="C530:I530"/>
    <mergeCell ref="B522:I522"/>
    <mergeCell ref="B523:C523"/>
    <mergeCell ref="D523:D524"/>
    <mergeCell ref="E523:I524"/>
    <mergeCell ref="B524:C524"/>
    <mergeCell ref="B525:I525"/>
    <mergeCell ref="B549:I549"/>
    <mergeCell ref="B550:I550"/>
    <mergeCell ref="B551:C551"/>
    <mergeCell ref="B552:C552"/>
    <mergeCell ref="B553:C553"/>
    <mergeCell ref="B554:C554"/>
    <mergeCell ref="B543:H543"/>
    <mergeCell ref="B544:I544"/>
    <mergeCell ref="B545:I545"/>
    <mergeCell ref="B546:D546"/>
    <mergeCell ref="B547:D547"/>
    <mergeCell ref="B548:H548"/>
    <mergeCell ref="B537:D537"/>
    <mergeCell ref="B538:H538"/>
    <mergeCell ref="B539:I539"/>
    <mergeCell ref="B540:I540"/>
    <mergeCell ref="B541:D541"/>
    <mergeCell ref="B542:D542"/>
    <mergeCell ref="B567:I567"/>
    <mergeCell ref="B568:C568"/>
    <mergeCell ref="D568:D569"/>
    <mergeCell ref="E568:I569"/>
    <mergeCell ref="B569:C569"/>
    <mergeCell ref="B570:I570"/>
    <mergeCell ref="C563:F563"/>
    <mergeCell ref="C564:F564"/>
    <mergeCell ref="H564:I564"/>
    <mergeCell ref="C565:F565"/>
    <mergeCell ref="H565:I565"/>
    <mergeCell ref="B566:E566"/>
    <mergeCell ref="F566:I566"/>
    <mergeCell ref="B555:H555"/>
    <mergeCell ref="B556:I556"/>
    <mergeCell ref="B557:H557"/>
    <mergeCell ref="B558:I558"/>
    <mergeCell ref="B559:B562"/>
    <mergeCell ref="C559:F562"/>
    <mergeCell ref="G559:I559"/>
    <mergeCell ref="G560:I560"/>
    <mergeCell ref="H561:I561"/>
    <mergeCell ref="B582:D582"/>
    <mergeCell ref="B583:H583"/>
    <mergeCell ref="B584:I584"/>
    <mergeCell ref="B585:I585"/>
    <mergeCell ref="B586:D586"/>
    <mergeCell ref="B587:D587"/>
    <mergeCell ref="C576:H576"/>
    <mergeCell ref="C577:H577"/>
    <mergeCell ref="B578:I578"/>
    <mergeCell ref="B579:I579"/>
    <mergeCell ref="B580:D580"/>
    <mergeCell ref="B581:D581"/>
    <mergeCell ref="B571:C571"/>
    <mergeCell ref="D571:G571"/>
    <mergeCell ref="B572:I572"/>
    <mergeCell ref="F573:H573"/>
    <mergeCell ref="F574:H574"/>
    <mergeCell ref="C575:I575"/>
    <mergeCell ref="B600:H600"/>
    <mergeCell ref="B601:I601"/>
    <mergeCell ref="B602:H602"/>
    <mergeCell ref="B603:I603"/>
    <mergeCell ref="B604:B607"/>
    <mergeCell ref="C604:F607"/>
    <mergeCell ref="G604:I604"/>
    <mergeCell ref="G605:I605"/>
    <mergeCell ref="H606:I606"/>
    <mergeCell ref="B594:I594"/>
    <mergeCell ref="B595:I595"/>
    <mergeCell ref="B596:C596"/>
    <mergeCell ref="B597:C597"/>
    <mergeCell ref="B598:C598"/>
    <mergeCell ref="B599:C599"/>
    <mergeCell ref="B588:H588"/>
    <mergeCell ref="B589:I589"/>
    <mergeCell ref="B590:I590"/>
    <mergeCell ref="B591:D591"/>
    <mergeCell ref="B592:D592"/>
    <mergeCell ref="B593:H593"/>
    <mergeCell ref="B616:C616"/>
    <mergeCell ref="D616:G616"/>
    <mergeCell ref="B617:I617"/>
    <mergeCell ref="F618:H618"/>
    <mergeCell ref="F619:H619"/>
    <mergeCell ref="C620:I620"/>
    <mergeCell ref="B612:I612"/>
    <mergeCell ref="B613:C613"/>
    <mergeCell ref="D613:D614"/>
    <mergeCell ref="E613:I614"/>
    <mergeCell ref="B614:C614"/>
    <mergeCell ref="B615:I615"/>
    <mergeCell ref="C608:F608"/>
    <mergeCell ref="C609:F609"/>
    <mergeCell ref="H609:I609"/>
    <mergeCell ref="C610:F610"/>
    <mergeCell ref="H610:I610"/>
    <mergeCell ref="B611:E611"/>
    <mergeCell ref="F611:I611"/>
    <mergeCell ref="B633:H633"/>
    <mergeCell ref="B634:I634"/>
    <mergeCell ref="B635:I635"/>
    <mergeCell ref="B636:D636"/>
    <mergeCell ref="B637:D637"/>
    <mergeCell ref="B638:H638"/>
    <mergeCell ref="B627:D627"/>
    <mergeCell ref="B628:H628"/>
    <mergeCell ref="B629:I629"/>
    <mergeCell ref="B630:I630"/>
    <mergeCell ref="B631:D631"/>
    <mergeCell ref="B632:D632"/>
    <mergeCell ref="C621:H621"/>
    <mergeCell ref="C622:H622"/>
    <mergeCell ref="B623:I623"/>
    <mergeCell ref="B624:I624"/>
    <mergeCell ref="B625:D625"/>
    <mergeCell ref="B626:D626"/>
    <mergeCell ref="C653:F653"/>
    <mergeCell ref="C654:F654"/>
    <mergeCell ref="H654:I654"/>
    <mergeCell ref="C655:F655"/>
    <mergeCell ref="H655:I655"/>
    <mergeCell ref="B656:E656"/>
    <mergeCell ref="F656:I656"/>
    <mergeCell ref="B645:H645"/>
    <mergeCell ref="B646:I646"/>
    <mergeCell ref="B647:H647"/>
    <mergeCell ref="B648:I648"/>
    <mergeCell ref="B649:B652"/>
    <mergeCell ref="C649:F652"/>
    <mergeCell ref="G649:I649"/>
    <mergeCell ref="G650:I650"/>
    <mergeCell ref="H651:I651"/>
    <mergeCell ref="B639:I639"/>
    <mergeCell ref="B640:I640"/>
    <mergeCell ref="B641:C641"/>
    <mergeCell ref="B642:C642"/>
    <mergeCell ref="B643:C643"/>
    <mergeCell ref="B644:C644"/>
    <mergeCell ref="C666:H666"/>
    <mergeCell ref="C667:H667"/>
    <mergeCell ref="B668:I668"/>
    <mergeCell ref="B669:I669"/>
    <mergeCell ref="B670:D670"/>
    <mergeCell ref="B671:D671"/>
    <mergeCell ref="B661:C661"/>
    <mergeCell ref="D661:G661"/>
    <mergeCell ref="B662:I662"/>
    <mergeCell ref="F663:H663"/>
    <mergeCell ref="F664:H664"/>
    <mergeCell ref="C665:I665"/>
    <mergeCell ref="B657:I657"/>
    <mergeCell ref="B658:C658"/>
    <mergeCell ref="D658:D659"/>
    <mergeCell ref="E658:I659"/>
    <mergeCell ref="B659:C659"/>
    <mergeCell ref="B660:I660"/>
    <mergeCell ref="B684:I684"/>
    <mergeCell ref="B685:I685"/>
    <mergeCell ref="B686:C686"/>
    <mergeCell ref="B687:C687"/>
    <mergeCell ref="B688:C688"/>
    <mergeCell ref="B689:C689"/>
    <mergeCell ref="B678:H678"/>
    <mergeCell ref="B679:I679"/>
    <mergeCell ref="B680:I680"/>
    <mergeCell ref="B681:D681"/>
    <mergeCell ref="B682:D682"/>
    <mergeCell ref="B683:H683"/>
    <mergeCell ref="B672:D672"/>
    <mergeCell ref="B673:H673"/>
    <mergeCell ref="B674:I674"/>
    <mergeCell ref="B675:I675"/>
    <mergeCell ref="B676:D676"/>
    <mergeCell ref="B677:D677"/>
    <mergeCell ref="B702:I702"/>
    <mergeCell ref="B703:C703"/>
    <mergeCell ref="D703:D704"/>
    <mergeCell ref="E703:I704"/>
    <mergeCell ref="B704:C704"/>
    <mergeCell ref="B705:I705"/>
    <mergeCell ref="C698:F698"/>
    <mergeCell ref="C699:F699"/>
    <mergeCell ref="H699:I699"/>
    <mergeCell ref="C700:F700"/>
    <mergeCell ref="H700:I700"/>
    <mergeCell ref="B701:E701"/>
    <mergeCell ref="F701:I701"/>
    <mergeCell ref="B690:H690"/>
    <mergeCell ref="B691:I691"/>
    <mergeCell ref="B692:H692"/>
    <mergeCell ref="B693:I693"/>
    <mergeCell ref="B694:B697"/>
    <mergeCell ref="C694:F697"/>
    <mergeCell ref="G694:I694"/>
    <mergeCell ref="G695:I695"/>
    <mergeCell ref="H696:I696"/>
    <mergeCell ref="B717:D717"/>
    <mergeCell ref="B718:H718"/>
    <mergeCell ref="B719:I719"/>
    <mergeCell ref="B720:I720"/>
    <mergeCell ref="B721:D721"/>
    <mergeCell ref="B722:D722"/>
    <mergeCell ref="C711:H711"/>
    <mergeCell ref="C712:H712"/>
    <mergeCell ref="B713:I713"/>
    <mergeCell ref="B714:I714"/>
    <mergeCell ref="B715:D715"/>
    <mergeCell ref="B716:D716"/>
    <mergeCell ref="B706:C706"/>
    <mergeCell ref="D706:G706"/>
    <mergeCell ref="B707:I707"/>
    <mergeCell ref="F708:H708"/>
    <mergeCell ref="F709:H709"/>
    <mergeCell ref="C710:I710"/>
    <mergeCell ref="B735:H735"/>
    <mergeCell ref="B736:I736"/>
    <mergeCell ref="B737:H737"/>
    <mergeCell ref="B738:I738"/>
    <mergeCell ref="B739:B742"/>
    <mergeCell ref="C739:F742"/>
    <mergeCell ref="G739:I739"/>
    <mergeCell ref="G740:I740"/>
    <mergeCell ref="H741:I741"/>
    <mergeCell ref="B729:I729"/>
    <mergeCell ref="B730:I730"/>
    <mergeCell ref="B731:C731"/>
    <mergeCell ref="B732:C732"/>
    <mergeCell ref="B733:C733"/>
    <mergeCell ref="B734:C734"/>
    <mergeCell ref="B723:H723"/>
    <mergeCell ref="B724:I724"/>
    <mergeCell ref="B725:I725"/>
    <mergeCell ref="B726:D726"/>
    <mergeCell ref="B727:D727"/>
    <mergeCell ref="B728:H728"/>
    <mergeCell ref="B751:C751"/>
    <mergeCell ref="D751:G751"/>
    <mergeCell ref="B752:I752"/>
    <mergeCell ref="F753:H753"/>
    <mergeCell ref="F754:H754"/>
    <mergeCell ref="C755:I755"/>
    <mergeCell ref="B747:I747"/>
    <mergeCell ref="B748:C748"/>
    <mergeCell ref="D748:D749"/>
    <mergeCell ref="E748:I749"/>
    <mergeCell ref="B749:C749"/>
    <mergeCell ref="B750:I750"/>
    <mergeCell ref="C743:F743"/>
    <mergeCell ref="C744:F744"/>
    <mergeCell ref="H744:I744"/>
    <mergeCell ref="C745:F745"/>
    <mergeCell ref="H745:I745"/>
    <mergeCell ref="B746:E746"/>
    <mergeCell ref="F746:I746"/>
    <mergeCell ref="B768:H768"/>
    <mergeCell ref="B769:I769"/>
    <mergeCell ref="B770:I770"/>
    <mergeCell ref="B771:D771"/>
    <mergeCell ref="B772:D772"/>
    <mergeCell ref="B773:H773"/>
    <mergeCell ref="B762:D762"/>
    <mergeCell ref="B763:H763"/>
    <mergeCell ref="B764:I764"/>
    <mergeCell ref="B765:I765"/>
    <mergeCell ref="B766:D766"/>
    <mergeCell ref="B767:D767"/>
    <mergeCell ref="C756:H756"/>
    <mergeCell ref="C757:H757"/>
    <mergeCell ref="B758:I758"/>
    <mergeCell ref="B759:I759"/>
    <mergeCell ref="B760:D760"/>
    <mergeCell ref="B761:D761"/>
    <mergeCell ref="C788:F788"/>
    <mergeCell ref="C789:F789"/>
    <mergeCell ref="H789:I789"/>
    <mergeCell ref="C790:F790"/>
    <mergeCell ref="H790:I790"/>
    <mergeCell ref="B791:E791"/>
    <mergeCell ref="F791:I791"/>
    <mergeCell ref="B780:H780"/>
    <mergeCell ref="B781:I781"/>
    <mergeCell ref="B782:H782"/>
    <mergeCell ref="B783:I783"/>
    <mergeCell ref="B784:B787"/>
    <mergeCell ref="C784:F787"/>
    <mergeCell ref="G784:I784"/>
    <mergeCell ref="G785:I785"/>
    <mergeCell ref="H786:I786"/>
    <mergeCell ref="B774:I774"/>
    <mergeCell ref="B775:I775"/>
    <mergeCell ref="B776:C776"/>
    <mergeCell ref="B777:C777"/>
    <mergeCell ref="B778:C778"/>
    <mergeCell ref="B779:C779"/>
    <mergeCell ref="C801:H801"/>
    <mergeCell ref="C802:H802"/>
    <mergeCell ref="B803:I803"/>
    <mergeCell ref="B804:I804"/>
    <mergeCell ref="B805:D805"/>
    <mergeCell ref="B806:D806"/>
    <mergeCell ref="B796:C796"/>
    <mergeCell ref="D796:G796"/>
    <mergeCell ref="B797:I797"/>
    <mergeCell ref="F798:H798"/>
    <mergeCell ref="F799:H799"/>
    <mergeCell ref="C800:I800"/>
    <mergeCell ref="B792:I792"/>
    <mergeCell ref="B793:C793"/>
    <mergeCell ref="D793:D794"/>
    <mergeCell ref="E793:I794"/>
    <mergeCell ref="B794:C794"/>
    <mergeCell ref="B795:I795"/>
    <mergeCell ref="B819:I819"/>
    <mergeCell ref="B820:I820"/>
    <mergeCell ref="B821:C821"/>
    <mergeCell ref="B822:C822"/>
    <mergeCell ref="B823:C823"/>
    <mergeCell ref="B824:C824"/>
    <mergeCell ref="B813:H813"/>
    <mergeCell ref="B814:I814"/>
    <mergeCell ref="B815:I815"/>
    <mergeCell ref="B816:D816"/>
    <mergeCell ref="B817:D817"/>
    <mergeCell ref="B818:H818"/>
    <mergeCell ref="B807:D807"/>
    <mergeCell ref="B808:H808"/>
    <mergeCell ref="B809:I809"/>
    <mergeCell ref="B810:I810"/>
    <mergeCell ref="B811:D811"/>
    <mergeCell ref="B812:D812"/>
    <mergeCell ref="B837:I837"/>
    <mergeCell ref="B838:C838"/>
    <mergeCell ref="D838:D839"/>
    <mergeCell ref="E838:I839"/>
    <mergeCell ref="B839:C839"/>
    <mergeCell ref="B840:I840"/>
    <mergeCell ref="C833:F833"/>
    <mergeCell ref="C834:F834"/>
    <mergeCell ref="H834:I834"/>
    <mergeCell ref="C835:F835"/>
    <mergeCell ref="H835:I835"/>
    <mergeCell ref="B836:E836"/>
    <mergeCell ref="F836:I836"/>
    <mergeCell ref="B825:H825"/>
    <mergeCell ref="B826:I826"/>
    <mergeCell ref="B827:H827"/>
    <mergeCell ref="B828:I828"/>
    <mergeCell ref="B829:B832"/>
    <mergeCell ref="C829:F832"/>
    <mergeCell ref="G829:I829"/>
    <mergeCell ref="G830:I830"/>
    <mergeCell ref="H831:I831"/>
    <mergeCell ref="B852:D852"/>
    <mergeCell ref="B853:H853"/>
    <mergeCell ref="B854:I854"/>
    <mergeCell ref="B855:I855"/>
    <mergeCell ref="B856:D856"/>
    <mergeCell ref="B857:D857"/>
    <mergeCell ref="C846:H846"/>
    <mergeCell ref="C847:H847"/>
    <mergeCell ref="B848:I848"/>
    <mergeCell ref="B849:I849"/>
    <mergeCell ref="B850:D850"/>
    <mergeCell ref="B851:D851"/>
    <mergeCell ref="B841:C841"/>
    <mergeCell ref="D841:G841"/>
    <mergeCell ref="B842:I842"/>
    <mergeCell ref="F843:H843"/>
    <mergeCell ref="F844:H844"/>
    <mergeCell ref="C845:I845"/>
    <mergeCell ref="B870:H870"/>
    <mergeCell ref="B871:I871"/>
    <mergeCell ref="B872:H872"/>
    <mergeCell ref="B873:I873"/>
    <mergeCell ref="B874:B877"/>
    <mergeCell ref="C874:F877"/>
    <mergeCell ref="G874:I874"/>
    <mergeCell ref="G875:I875"/>
    <mergeCell ref="H876:I876"/>
    <mergeCell ref="B864:I864"/>
    <mergeCell ref="B865:I865"/>
    <mergeCell ref="B866:C866"/>
    <mergeCell ref="B867:C867"/>
    <mergeCell ref="B868:C868"/>
    <mergeCell ref="B869:C869"/>
    <mergeCell ref="B858:H858"/>
    <mergeCell ref="B859:I859"/>
    <mergeCell ref="B860:I860"/>
    <mergeCell ref="B861:D861"/>
    <mergeCell ref="B862:D862"/>
    <mergeCell ref="B863:H863"/>
    <mergeCell ref="B886:C886"/>
    <mergeCell ref="D886:G886"/>
    <mergeCell ref="B887:I887"/>
    <mergeCell ref="F888:H888"/>
    <mergeCell ref="F889:H889"/>
    <mergeCell ref="C890:I890"/>
    <mergeCell ref="B882:I882"/>
    <mergeCell ref="B883:C883"/>
    <mergeCell ref="D883:D884"/>
    <mergeCell ref="E883:I884"/>
    <mergeCell ref="B884:C884"/>
    <mergeCell ref="B885:I885"/>
    <mergeCell ref="C878:F878"/>
    <mergeCell ref="C879:F879"/>
    <mergeCell ref="H879:I879"/>
    <mergeCell ref="C880:F880"/>
    <mergeCell ref="H880:I880"/>
    <mergeCell ref="B881:E881"/>
    <mergeCell ref="F881:I881"/>
    <mergeCell ref="B903:H903"/>
    <mergeCell ref="B904:I904"/>
    <mergeCell ref="B905:I905"/>
    <mergeCell ref="B906:D906"/>
    <mergeCell ref="B907:D907"/>
    <mergeCell ref="B908:H908"/>
    <mergeCell ref="B897:D897"/>
    <mergeCell ref="B898:H898"/>
    <mergeCell ref="B899:I899"/>
    <mergeCell ref="B900:I900"/>
    <mergeCell ref="B901:D901"/>
    <mergeCell ref="B902:D902"/>
    <mergeCell ref="C891:H891"/>
    <mergeCell ref="C892:H892"/>
    <mergeCell ref="B893:I893"/>
    <mergeCell ref="B894:I894"/>
    <mergeCell ref="B895:D895"/>
    <mergeCell ref="B896:D896"/>
    <mergeCell ref="C923:F923"/>
    <mergeCell ref="C924:F924"/>
    <mergeCell ref="H924:I924"/>
    <mergeCell ref="C925:F925"/>
    <mergeCell ref="H925:I925"/>
    <mergeCell ref="B926:E926"/>
    <mergeCell ref="F926:I926"/>
    <mergeCell ref="B915:H915"/>
    <mergeCell ref="B916:I916"/>
    <mergeCell ref="B917:H917"/>
    <mergeCell ref="B918:I918"/>
    <mergeCell ref="B919:B922"/>
    <mergeCell ref="C919:F922"/>
    <mergeCell ref="G919:I919"/>
    <mergeCell ref="G920:I920"/>
    <mergeCell ref="H921:I921"/>
    <mergeCell ref="B909:I909"/>
    <mergeCell ref="B910:I910"/>
    <mergeCell ref="B911:C911"/>
    <mergeCell ref="B912:C912"/>
    <mergeCell ref="B913:C913"/>
    <mergeCell ref="B914:C914"/>
    <mergeCell ref="C936:H936"/>
    <mergeCell ref="C937:H937"/>
    <mergeCell ref="B938:I938"/>
    <mergeCell ref="B939:I939"/>
    <mergeCell ref="B940:D940"/>
    <mergeCell ref="B941:D941"/>
    <mergeCell ref="B931:C931"/>
    <mergeCell ref="D931:G931"/>
    <mergeCell ref="B932:I932"/>
    <mergeCell ref="F933:H933"/>
    <mergeCell ref="F934:H934"/>
    <mergeCell ref="C935:I935"/>
    <mergeCell ref="B927:I927"/>
    <mergeCell ref="B928:C928"/>
    <mergeCell ref="D928:D929"/>
    <mergeCell ref="E928:I929"/>
    <mergeCell ref="B929:C929"/>
    <mergeCell ref="B930:I930"/>
    <mergeCell ref="B954:I954"/>
    <mergeCell ref="B955:I955"/>
    <mergeCell ref="B956:C956"/>
    <mergeCell ref="B957:C957"/>
    <mergeCell ref="B958:C958"/>
    <mergeCell ref="B959:C959"/>
    <mergeCell ref="B948:H948"/>
    <mergeCell ref="B949:I949"/>
    <mergeCell ref="B950:I950"/>
    <mergeCell ref="B951:D951"/>
    <mergeCell ref="B952:D952"/>
    <mergeCell ref="B953:H953"/>
    <mergeCell ref="B942:D942"/>
    <mergeCell ref="B943:H943"/>
    <mergeCell ref="B944:I944"/>
    <mergeCell ref="B945:I945"/>
    <mergeCell ref="B946:D946"/>
    <mergeCell ref="B947:D947"/>
    <mergeCell ref="B972:I972"/>
    <mergeCell ref="B973:C973"/>
    <mergeCell ref="D973:D974"/>
    <mergeCell ref="E973:I974"/>
    <mergeCell ref="B974:C974"/>
    <mergeCell ref="B975:I975"/>
    <mergeCell ref="C968:F968"/>
    <mergeCell ref="C969:F969"/>
    <mergeCell ref="H969:I969"/>
    <mergeCell ref="C970:F970"/>
    <mergeCell ref="H970:I970"/>
    <mergeCell ref="B971:E971"/>
    <mergeCell ref="F971:I971"/>
    <mergeCell ref="B960:H960"/>
    <mergeCell ref="B961:I961"/>
    <mergeCell ref="B962:H962"/>
    <mergeCell ref="B963:I963"/>
    <mergeCell ref="B964:B967"/>
    <mergeCell ref="C964:F967"/>
    <mergeCell ref="G964:I964"/>
    <mergeCell ref="G965:I965"/>
    <mergeCell ref="H966:I966"/>
    <mergeCell ref="B987:D987"/>
    <mergeCell ref="B988:H988"/>
    <mergeCell ref="B989:I989"/>
    <mergeCell ref="B990:I990"/>
    <mergeCell ref="B991:D991"/>
    <mergeCell ref="B992:D992"/>
    <mergeCell ref="C981:H981"/>
    <mergeCell ref="C982:H982"/>
    <mergeCell ref="B983:I983"/>
    <mergeCell ref="B984:I984"/>
    <mergeCell ref="B985:D985"/>
    <mergeCell ref="B986:D986"/>
    <mergeCell ref="B976:C976"/>
    <mergeCell ref="D976:G976"/>
    <mergeCell ref="B977:I977"/>
    <mergeCell ref="F978:H978"/>
    <mergeCell ref="F979:H979"/>
    <mergeCell ref="C980:I980"/>
    <mergeCell ref="B1005:H1005"/>
    <mergeCell ref="B1006:I1006"/>
    <mergeCell ref="B1007:H1007"/>
    <mergeCell ref="B1008:I1008"/>
    <mergeCell ref="B1009:B1012"/>
    <mergeCell ref="C1009:F1012"/>
    <mergeCell ref="G1009:I1009"/>
    <mergeCell ref="G1010:I1010"/>
    <mergeCell ref="H1011:I1011"/>
    <mergeCell ref="B999:I999"/>
    <mergeCell ref="B1000:I1000"/>
    <mergeCell ref="B1001:C1001"/>
    <mergeCell ref="B1002:C1002"/>
    <mergeCell ref="B1003:C1003"/>
    <mergeCell ref="B1004:C1004"/>
    <mergeCell ref="B993:H993"/>
    <mergeCell ref="B994:I994"/>
    <mergeCell ref="B995:I995"/>
    <mergeCell ref="B996:D996"/>
    <mergeCell ref="B997:D997"/>
    <mergeCell ref="B998:H998"/>
    <mergeCell ref="B1021:C1021"/>
    <mergeCell ref="D1021:G1021"/>
    <mergeCell ref="B1022:I1022"/>
    <mergeCell ref="F1023:H1023"/>
    <mergeCell ref="F1024:H1024"/>
    <mergeCell ref="C1025:I1025"/>
    <mergeCell ref="B1017:I1017"/>
    <mergeCell ref="B1018:C1018"/>
    <mergeCell ref="D1018:D1019"/>
    <mergeCell ref="E1018:I1019"/>
    <mergeCell ref="B1019:C1019"/>
    <mergeCell ref="B1020:I1020"/>
    <mergeCell ref="C1013:F1013"/>
    <mergeCell ref="C1014:F1014"/>
    <mergeCell ref="H1014:I1014"/>
    <mergeCell ref="C1015:F1015"/>
    <mergeCell ref="H1015:I1015"/>
    <mergeCell ref="B1016:E1016"/>
    <mergeCell ref="F1016:I1016"/>
    <mergeCell ref="B1038:H1038"/>
    <mergeCell ref="B1039:I1039"/>
    <mergeCell ref="B1040:I1040"/>
    <mergeCell ref="B1041:D1041"/>
    <mergeCell ref="B1042:D1042"/>
    <mergeCell ref="B1043:H1043"/>
    <mergeCell ref="B1032:D1032"/>
    <mergeCell ref="B1033:H1033"/>
    <mergeCell ref="B1034:I1034"/>
    <mergeCell ref="B1035:I1035"/>
    <mergeCell ref="B1036:D1036"/>
    <mergeCell ref="B1037:D1037"/>
    <mergeCell ref="C1026:H1026"/>
    <mergeCell ref="C1027:H1027"/>
    <mergeCell ref="B1028:I1028"/>
    <mergeCell ref="B1029:I1029"/>
    <mergeCell ref="B1030:D1030"/>
    <mergeCell ref="B1031:D1031"/>
    <mergeCell ref="C1058:F1058"/>
    <mergeCell ref="C1059:F1059"/>
    <mergeCell ref="H1059:I1059"/>
    <mergeCell ref="C1060:F1060"/>
    <mergeCell ref="H1060:I1060"/>
    <mergeCell ref="B1061:E1061"/>
    <mergeCell ref="F1061:I1061"/>
    <mergeCell ref="B1050:H1050"/>
    <mergeCell ref="B1051:I1051"/>
    <mergeCell ref="B1052:H1052"/>
    <mergeCell ref="B1053:I1053"/>
    <mergeCell ref="B1054:B1057"/>
    <mergeCell ref="C1054:F1057"/>
    <mergeCell ref="G1054:I1054"/>
    <mergeCell ref="G1055:I1055"/>
    <mergeCell ref="H1056:I1056"/>
    <mergeCell ref="B1044:I1044"/>
    <mergeCell ref="B1045:I1045"/>
    <mergeCell ref="B1046:C1046"/>
    <mergeCell ref="B1047:C1047"/>
    <mergeCell ref="B1048:C1048"/>
    <mergeCell ref="B1049:C1049"/>
    <mergeCell ref="C1071:H1071"/>
    <mergeCell ref="C1072:H1072"/>
    <mergeCell ref="B1073:I1073"/>
    <mergeCell ref="B1074:I1074"/>
    <mergeCell ref="B1075:D1075"/>
    <mergeCell ref="B1076:D1076"/>
    <mergeCell ref="B1066:C1066"/>
    <mergeCell ref="D1066:G1066"/>
    <mergeCell ref="B1067:I1067"/>
    <mergeCell ref="F1068:H1068"/>
    <mergeCell ref="F1069:H1069"/>
    <mergeCell ref="C1070:I1070"/>
    <mergeCell ref="B1062:I1062"/>
    <mergeCell ref="B1063:C1063"/>
    <mergeCell ref="D1063:D1064"/>
    <mergeCell ref="E1063:I1064"/>
    <mergeCell ref="B1064:C1064"/>
    <mergeCell ref="B1065:I1065"/>
    <mergeCell ref="B1089:I1089"/>
    <mergeCell ref="B1090:I1090"/>
    <mergeCell ref="B1091:C1091"/>
    <mergeCell ref="B1092:C1092"/>
    <mergeCell ref="B1093:C1093"/>
    <mergeCell ref="B1094:C1094"/>
    <mergeCell ref="B1083:H1083"/>
    <mergeCell ref="B1084:I1084"/>
    <mergeCell ref="B1085:I1085"/>
    <mergeCell ref="B1086:D1086"/>
    <mergeCell ref="B1087:D1087"/>
    <mergeCell ref="B1088:H1088"/>
    <mergeCell ref="B1077:D1077"/>
    <mergeCell ref="B1078:H1078"/>
    <mergeCell ref="B1079:I1079"/>
    <mergeCell ref="B1080:I1080"/>
    <mergeCell ref="B1081:D1081"/>
    <mergeCell ref="B1082:D1082"/>
    <mergeCell ref="B1107:I1107"/>
    <mergeCell ref="B1108:C1108"/>
    <mergeCell ref="D1108:D1109"/>
    <mergeCell ref="E1108:I1109"/>
    <mergeCell ref="B1109:C1109"/>
    <mergeCell ref="B1110:I1110"/>
    <mergeCell ref="C1103:F1103"/>
    <mergeCell ref="C1104:F1104"/>
    <mergeCell ref="H1104:I1104"/>
    <mergeCell ref="C1105:F1105"/>
    <mergeCell ref="H1105:I1105"/>
    <mergeCell ref="B1106:E1106"/>
    <mergeCell ref="F1106:I1106"/>
    <mergeCell ref="B1095:H1095"/>
    <mergeCell ref="B1096:I1096"/>
    <mergeCell ref="B1097:H1097"/>
    <mergeCell ref="B1098:I1098"/>
    <mergeCell ref="B1099:B1102"/>
    <mergeCell ref="C1099:F1102"/>
    <mergeCell ref="G1099:I1099"/>
    <mergeCell ref="G1100:I1100"/>
    <mergeCell ref="H1101:I1101"/>
    <mergeCell ref="B1122:D1122"/>
    <mergeCell ref="B1123:H1123"/>
    <mergeCell ref="B1124:I1124"/>
    <mergeCell ref="B1125:I1125"/>
    <mergeCell ref="B1126:D1126"/>
    <mergeCell ref="B1127:D1127"/>
    <mergeCell ref="C1116:H1116"/>
    <mergeCell ref="C1117:H1117"/>
    <mergeCell ref="B1118:I1118"/>
    <mergeCell ref="B1119:I1119"/>
    <mergeCell ref="B1120:D1120"/>
    <mergeCell ref="B1121:D1121"/>
    <mergeCell ref="B1111:C1111"/>
    <mergeCell ref="D1111:G1111"/>
    <mergeCell ref="B1112:I1112"/>
    <mergeCell ref="F1113:H1113"/>
    <mergeCell ref="F1114:H1114"/>
    <mergeCell ref="C1115:I1115"/>
    <mergeCell ref="B1140:H1140"/>
    <mergeCell ref="B1141:I1141"/>
    <mergeCell ref="B1142:H1142"/>
    <mergeCell ref="B1143:I1143"/>
    <mergeCell ref="B1144:B1147"/>
    <mergeCell ref="C1144:F1147"/>
    <mergeCell ref="G1144:I1144"/>
    <mergeCell ref="G1145:I1145"/>
    <mergeCell ref="H1146:I1146"/>
    <mergeCell ref="B1134:I1134"/>
    <mergeCell ref="B1135:I1135"/>
    <mergeCell ref="B1136:C1136"/>
    <mergeCell ref="B1137:C1137"/>
    <mergeCell ref="B1138:C1138"/>
    <mergeCell ref="B1139:C1139"/>
    <mergeCell ref="B1128:H1128"/>
    <mergeCell ref="B1129:I1129"/>
    <mergeCell ref="B1130:I1130"/>
    <mergeCell ref="B1131:D1131"/>
    <mergeCell ref="B1132:D1132"/>
    <mergeCell ref="B1133:H1133"/>
    <mergeCell ref="B1156:C1156"/>
    <mergeCell ref="D1156:G1156"/>
    <mergeCell ref="B1157:I1157"/>
    <mergeCell ref="F1158:H1158"/>
    <mergeCell ref="F1159:H1159"/>
    <mergeCell ref="C1160:I1160"/>
    <mergeCell ref="B1152:I1152"/>
    <mergeCell ref="B1153:C1153"/>
    <mergeCell ref="D1153:D1154"/>
    <mergeCell ref="E1153:I1154"/>
    <mergeCell ref="B1154:C1154"/>
    <mergeCell ref="B1155:I1155"/>
    <mergeCell ref="C1148:F1148"/>
    <mergeCell ref="C1149:F1149"/>
    <mergeCell ref="H1149:I1149"/>
    <mergeCell ref="C1150:F1150"/>
    <mergeCell ref="H1150:I1150"/>
    <mergeCell ref="B1151:E1151"/>
    <mergeCell ref="F1151:I1151"/>
    <mergeCell ref="B1173:H1173"/>
    <mergeCell ref="B1174:I1174"/>
    <mergeCell ref="B1175:I1175"/>
    <mergeCell ref="B1176:D1176"/>
    <mergeCell ref="B1177:D1177"/>
    <mergeCell ref="B1178:H1178"/>
    <mergeCell ref="B1167:D1167"/>
    <mergeCell ref="B1168:H1168"/>
    <mergeCell ref="B1169:I1169"/>
    <mergeCell ref="B1170:I1170"/>
    <mergeCell ref="B1171:D1171"/>
    <mergeCell ref="B1172:D1172"/>
    <mergeCell ref="C1161:H1161"/>
    <mergeCell ref="C1162:H1162"/>
    <mergeCell ref="B1163:I1163"/>
    <mergeCell ref="B1164:I1164"/>
    <mergeCell ref="B1165:D1165"/>
    <mergeCell ref="B1166:D1166"/>
    <mergeCell ref="C1193:F1193"/>
    <mergeCell ref="C1194:F1194"/>
    <mergeCell ref="H1194:I1194"/>
    <mergeCell ref="C1195:F1195"/>
    <mergeCell ref="H1195:I1195"/>
    <mergeCell ref="B1196:E1196"/>
    <mergeCell ref="F1196:I1196"/>
    <mergeCell ref="B1185:H1185"/>
    <mergeCell ref="B1186:I1186"/>
    <mergeCell ref="B1187:H1187"/>
    <mergeCell ref="B1188:I1188"/>
    <mergeCell ref="B1189:B1192"/>
    <mergeCell ref="C1189:F1192"/>
    <mergeCell ref="G1189:I1189"/>
    <mergeCell ref="G1190:I1190"/>
    <mergeCell ref="H1191:I1191"/>
    <mergeCell ref="B1179:I1179"/>
    <mergeCell ref="B1180:I1180"/>
    <mergeCell ref="B1181:C1181"/>
    <mergeCell ref="B1182:C1182"/>
    <mergeCell ref="B1183:C1183"/>
    <mergeCell ref="B1184:C1184"/>
    <mergeCell ref="C1206:H1206"/>
    <mergeCell ref="C1207:H1207"/>
    <mergeCell ref="B1208:I1208"/>
    <mergeCell ref="B1209:I1209"/>
    <mergeCell ref="B1210:D1210"/>
    <mergeCell ref="B1211:D1211"/>
    <mergeCell ref="B1201:C1201"/>
    <mergeCell ref="D1201:G1201"/>
    <mergeCell ref="B1202:I1202"/>
    <mergeCell ref="F1203:H1203"/>
    <mergeCell ref="F1204:H1204"/>
    <mergeCell ref="C1205:I1205"/>
    <mergeCell ref="B1197:I1197"/>
    <mergeCell ref="B1198:C1198"/>
    <mergeCell ref="D1198:D1199"/>
    <mergeCell ref="E1198:I1199"/>
    <mergeCell ref="B1199:C1199"/>
    <mergeCell ref="B1200:I1200"/>
    <mergeCell ref="B1224:I1224"/>
    <mergeCell ref="B1225:I1225"/>
    <mergeCell ref="B1226:C1226"/>
    <mergeCell ref="B1227:C1227"/>
    <mergeCell ref="B1228:C1228"/>
    <mergeCell ref="B1229:C1229"/>
    <mergeCell ref="B1218:H1218"/>
    <mergeCell ref="B1219:I1219"/>
    <mergeCell ref="B1220:I1220"/>
    <mergeCell ref="B1221:D1221"/>
    <mergeCell ref="B1222:D1222"/>
    <mergeCell ref="B1223:H1223"/>
    <mergeCell ref="B1212:D1212"/>
    <mergeCell ref="B1213:H1213"/>
    <mergeCell ref="B1214:I1214"/>
    <mergeCell ref="B1215:I1215"/>
    <mergeCell ref="B1216:D1216"/>
    <mergeCell ref="B1217:D1217"/>
    <mergeCell ref="B1242:I1242"/>
    <mergeCell ref="B1243:C1243"/>
    <mergeCell ref="D1243:D1244"/>
    <mergeCell ref="E1243:I1244"/>
    <mergeCell ref="B1244:C1244"/>
    <mergeCell ref="B1245:I1245"/>
    <mergeCell ref="C1238:F1238"/>
    <mergeCell ref="C1239:F1239"/>
    <mergeCell ref="H1239:I1239"/>
    <mergeCell ref="C1240:F1240"/>
    <mergeCell ref="H1240:I1240"/>
    <mergeCell ref="B1241:E1241"/>
    <mergeCell ref="F1241:I1241"/>
    <mergeCell ref="B1230:H1230"/>
    <mergeCell ref="B1231:I1231"/>
    <mergeCell ref="B1232:H1232"/>
    <mergeCell ref="B1233:I1233"/>
    <mergeCell ref="B1234:B1237"/>
    <mergeCell ref="C1234:F1237"/>
    <mergeCell ref="G1234:I1234"/>
    <mergeCell ref="G1235:I1235"/>
    <mergeCell ref="H1236:I1236"/>
    <mergeCell ref="B1257:D1257"/>
    <mergeCell ref="B1258:H1258"/>
    <mergeCell ref="B1259:I1259"/>
    <mergeCell ref="B1260:I1260"/>
    <mergeCell ref="B1261:D1261"/>
    <mergeCell ref="B1262:D1262"/>
    <mergeCell ref="C1251:H1251"/>
    <mergeCell ref="C1252:H1252"/>
    <mergeCell ref="B1253:I1253"/>
    <mergeCell ref="B1254:I1254"/>
    <mergeCell ref="B1255:D1255"/>
    <mergeCell ref="B1256:D1256"/>
    <mergeCell ref="B1246:C1246"/>
    <mergeCell ref="D1246:G1246"/>
    <mergeCell ref="B1247:I1247"/>
    <mergeCell ref="F1248:H1248"/>
    <mergeCell ref="F1249:H1249"/>
    <mergeCell ref="C1250:I1250"/>
    <mergeCell ref="B1275:H1275"/>
    <mergeCell ref="B1276:I1276"/>
    <mergeCell ref="B1277:H1277"/>
    <mergeCell ref="B1278:I1278"/>
    <mergeCell ref="B1279:B1282"/>
    <mergeCell ref="C1279:F1282"/>
    <mergeCell ref="G1279:I1279"/>
    <mergeCell ref="G1280:I1280"/>
    <mergeCell ref="H1281:I1281"/>
    <mergeCell ref="B1269:I1269"/>
    <mergeCell ref="B1270:I1270"/>
    <mergeCell ref="B1271:C1271"/>
    <mergeCell ref="B1272:C1272"/>
    <mergeCell ref="B1273:C1273"/>
    <mergeCell ref="B1274:C1274"/>
    <mergeCell ref="B1263:H1263"/>
    <mergeCell ref="B1264:I1264"/>
    <mergeCell ref="B1265:I1265"/>
    <mergeCell ref="B1266:D1266"/>
    <mergeCell ref="B1267:D1267"/>
    <mergeCell ref="B1268:H1268"/>
    <mergeCell ref="B1291:C1291"/>
    <mergeCell ref="D1291:G1291"/>
    <mergeCell ref="B1292:I1292"/>
    <mergeCell ref="F1293:H1293"/>
    <mergeCell ref="F1294:H1294"/>
    <mergeCell ref="C1295:I1295"/>
    <mergeCell ref="B1287:I1287"/>
    <mergeCell ref="B1288:C1288"/>
    <mergeCell ref="D1288:D1289"/>
    <mergeCell ref="E1288:I1289"/>
    <mergeCell ref="B1289:C1289"/>
    <mergeCell ref="B1290:I1290"/>
    <mergeCell ref="C1283:F1283"/>
    <mergeCell ref="C1284:F1284"/>
    <mergeCell ref="H1284:I1284"/>
    <mergeCell ref="C1285:F1285"/>
    <mergeCell ref="H1285:I1285"/>
    <mergeCell ref="B1286:E1286"/>
    <mergeCell ref="F1286:I1286"/>
    <mergeCell ref="B1308:H1308"/>
    <mergeCell ref="B1309:I1309"/>
    <mergeCell ref="B1310:I1310"/>
    <mergeCell ref="B1311:D1311"/>
    <mergeCell ref="B1312:D1312"/>
    <mergeCell ref="B1313:H1313"/>
    <mergeCell ref="B1302:D1302"/>
    <mergeCell ref="B1303:H1303"/>
    <mergeCell ref="B1304:I1304"/>
    <mergeCell ref="B1305:I1305"/>
    <mergeCell ref="B1306:D1306"/>
    <mergeCell ref="B1307:D1307"/>
    <mergeCell ref="C1296:H1296"/>
    <mergeCell ref="C1297:H1297"/>
    <mergeCell ref="B1298:I1298"/>
    <mergeCell ref="B1299:I1299"/>
    <mergeCell ref="B1300:D1300"/>
    <mergeCell ref="B1301:D1301"/>
    <mergeCell ref="C1328:F1328"/>
    <mergeCell ref="C1329:F1329"/>
    <mergeCell ref="H1329:I1329"/>
    <mergeCell ref="C1330:F1330"/>
    <mergeCell ref="H1330:I1330"/>
    <mergeCell ref="B1332:E1332"/>
    <mergeCell ref="F1332:I1332"/>
    <mergeCell ref="B1320:H1320"/>
    <mergeCell ref="B1321:I1321"/>
    <mergeCell ref="B1322:H1322"/>
    <mergeCell ref="B1323:I1323"/>
    <mergeCell ref="B1324:B1327"/>
    <mergeCell ref="C1324:F1327"/>
    <mergeCell ref="G1324:I1324"/>
    <mergeCell ref="G1325:I1325"/>
    <mergeCell ref="H1326:I1326"/>
    <mergeCell ref="B1314:I1314"/>
    <mergeCell ref="B1315:I1315"/>
    <mergeCell ref="B1316:C1316"/>
    <mergeCell ref="B1317:C1317"/>
    <mergeCell ref="B1318:C1318"/>
    <mergeCell ref="B1319:C1319"/>
    <mergeCell ref="C1342:H1342"/>
    <mergeCell ref="C1343:H1343"/>
    <mergeCell ref="B1344:I1344"/>
    <mergeCell ref="B1345:I1345"/>
    <mergeCell ref="B1346:D1346"/>
    <mergeCell ref="B1347:D1347"/>
    <mergeCell ref="B1337:C1337"/>
    <mergeCell ref="D1337:G1337"/>
    <mergeCell ref="B1338:I1338"/>
    <mergeCell ref="F1339:H1339"/>
    <mergeCell ref="F1340:H1340"/>
    <mergeCell ref="C1341:I1341"/>
    <mergeCell ref="B1333:I1333"/>
    <mergeCell ref="B1334:C1334"/>
    <mergeCell ref="D1334:D1335"/>
    <mergeCell ref="E1334:I1335"/>
    <mergeCell ref="B1335:C1335"/>
    <mergeCell ref="B1336:I1336"/>
    <mergeCell ref="B1360:I1360"/>
    <mergeCell ref="B1361:I1361"/>
    <mergeCell ref="B1362:C1362"/>
    <mergeCell ref="B1363:C1363"/>
    <mergeCell ref="B1364:C1364"/>
    <mergeCell ref="B1365:C1365"/>
    <mergeCell ref="B1354:H1354"/>
    <mergeCell ref="B1355:I1355"/>
    <mergeCell ref="B1356:I1356"/>
    <mergeCell ref="B1357:D1357"/>
    <mergeCell ref="B1358:D1358"/>
    <mergeCell ref="B1359:H1359"/>
    <mergeCell ref="B1348:D1348"/>
    <mergeCell ref="B1349:H1349"/>
    <mergeCell ref="B1350:I1350"/>
    <mergeCell ref="B1351:I1351"/>
    <mergeCell ref="B1352:D1352"/>
    <mergeCell ref="B1353:D1353"/>
    <mergeCell ref="B1378:I1378"/>
    <mergeCell ref="B1379:C1379"/>
    <mergeCell ref="D1379:D1380"/>
    <mergeCell ref="E1379:I1380"/>
    <mergeCell ref="B1380:C1380"/>
    <mergeCell ref="B1381:I1381"/>
    <mergeCell ref="C1374:F1374"/>
    <mergeCell ref="C1375:F1375"/>
    <mergeCell ref="H1375:I1375"/>
    <mergeCell ref="C1376:F1376"/>
    <mergeCell ref="H1376:I1376"/>
    <mergeCell ref="B1377:E1377"/>
    <mergeCell ref="F1377:I1377"/>
    <mergeCell ref="B1366:H1366"/>
    <mergeCell ref="B1367:I1367"/>
    <mergeCell ref="B1368:H1368"/>
    <mergeCell ref="B1369:I1369"/>
    <mergeCell ref="B1370:B1373"/>
    <mergeCell ref="C1370:F1373"/>
    <mergeCell ref="G1370:I1370"/>
    <mergeCell ref="G1371:I1371"/>
    <mergeCell ref="H1372:I1372"/>
    <mergeCell ref="B1393:D1393"/>
    <mergeCell ref="B1394:H1394"/>
    <mergeCell ref="B1395:I1395"/>
    <mergeCell ref="B1396:I1396"/>
    <mergeCell ref="B1397:D1397"/>
    <mergeCell ref="B1398:D1398"/>
    <mergeCell ref="C1387:H1387"/>
    <mergeCell ref="C1388:H1388"/>
    <mergeCell ref="B1389:I1389"/>
    <mergeCell ref="B1390:I1390"/>
    <mergeCell ref="B1391:D1391"/>
    <mergeCell ref="B1392:D1392"/>
    <mergeCell ref="B1382:C1382"/>
    <mergeCell ref="D1382:G1382"/>
    <mergeCell ref="B1383:I1383"/>
    <mergeCell ref="F1384:H1384"/>
    <mergeCell ref="F1385:H1385"/>
    <mergeCell ref="C1386:I1386"/>
    <mergeCell ref="B1411:H1411"/>
    <mergeCell ref="B1412:I1412"/>
    <mergeCell ref="B1413:H1413"/>
    <mergeCell ref="B1414:I1414"/>
    <mergeCell ref="B1415:B1418"/>
    <mergeCell ref="C1415:F1418"/>
    <mergeCell ref="G1415:I1415"/>
    <mergeCell ref="G1416:I1416"/>
    <mergeCell ref="H1417:I1417"/>
    <mergeCell ref="B1405:I1405"/>
    <mergeCell ref="B1406:I1406"/>
    <mergeCell ref="B1407:C1407"/>
    <mergeCell ref="B1408:C1408"/>
    <mergeCell ref="B1409:C1409"/>
    <mergeCell ref="B1410:C1410"/>
    <mergeCell ref="B1399:H1399"/>
    <mergeCell ref="B1400:I1400"/>
    <mergeCell ref="B1401:I1401"/>
    <mergeCell ref="B1402:D1402"/>
    <mergeCell ref="B1403:D1403"/>
    <mergeCell ref="B1404:H1404"/>
    <mergeCell ref="B1427:C1427"/>
    <mergeCell ref="D1427:G1427"/>
    <mergeCell ref="B1428:I1428"/>
    <mergeCell ref="F1429:H1429"/>
    <mergeCell ref="F1430:H1430"/>
    <mergeCell ref="C1431:I1431"/>
    <mergeCell ref="B1423:I1423"/>
    <mergeCell ref="B1424:C1424"/>
    <mergeCell ref="D1424:D1425"/>
    <mergeCell ref="E1424:I1425"/>
    <mergeCell ref="B1425:C1425"/>
    <mergeCell ref="B1426:I1426"/>
    <mergeCell ref="C1419:F1419"/>
    <mergeCell ref="C1420:F1420"/>
    <mergeCell ref="H1420:I1420"/>
    <mergeCell ref="C1421:F1421"/>
    <mergeCell ref="H1421:I1421"/>
    <mergeCell ref="B1422:E1422"/>
    <mergeCell ref="F1422:I1422"/>
    <mergeCell ref="B1444:H1444"/>
    <mergeCell ref="B1445:I1445"/>
    <mergeCell ref="B1446:I1446"/>
    <mergeCell ref="B1447:D1447"/>
    <mergeCell ref="B1448:D1448"/>
    <mergeCell ref="B1449:H1449"/>
    <mergeCell ref="B1438:D1438"/>
    <mergeCell ref="B1439:H1439"/>
    <mergeCell ref="B1440:I1440"/>
    <mergeCell ref="B1441:I1441"/>
    <mergeCell ref="B1442:D1442"/>
    <mergeCell ref="B1443:D1443"/>
    <mergeCell ref="C1432:H1432"/>
    <mergeCell ref="C1433:H1433"/>
    <mergeCell ref="B1434:I1434"/>
    <mergeCell ref="B1435:I1435"/>
    <mergeCell ref="B1436:D1436"/>
    <mergeCell ref="B1437:D1437"/>
    <mergeCell ref="C1464:F1464"/>
    <mergeCell ref="C1465:F1465"/>
    <mergeCell ref="H1465:I1465"/>
    <mergeCell ref="C1466:F1466"/>
    <mergeCell ref="H1466:I1466"/>
    <mergeCell ref="B1467:E1467"/>
    <mergeCell ref="F1467:I1467"/>
    <mergeCell ref="B1456:H1456"/>
    <mergeCell ref="B1457:I1457"/>
    <mergeCell ref="B1458:H1458"/>
    <mergeCell ref="B1459:I1459"/>
    <mergeCell ref="B1460:B1463"/>
    <mergeCell ref="C1460:F1463"/>
    <mergeCell ref="G1460:I1460"/>
    <mergeCell ref="G1461:I1461"/>
    <mergeCell ref="H1462:I1462"/>
    <mergeCell ref="B1450:I1450"/>
    <mergeCell ref="B1451:I1451"/>
    <mergeCell ref="B1452:C1452"/>
    <mergeCell ref="B1453:C1453"/>
    <mergeCell ref="B1454:C1454"/>
    <mergeCell ref="B1455:C1455"/>
    <mergeCell ref="C1477:H1477"/>
    <mergeCell ref="C1478:H1478"/>
    <mergeCell ref="B1479:I1479"/>
    <mergeCell ref="B1480:I1480"/>
    <mergeCell ref="B1481:D1481"/>
    <mergeCell ref="B1482:D1482"/>
    <mergeCell ref="B1472:C1472"/>
    <mergeCell ref="D1472:G1472"/>
    <mergeCell ref="B1473:I1473"/>
    <mergeCell ref="F1474:H1474"/>
    <mergeCell ref="F1475:H1475"/>
    <mergeCell ref="C1476:I1476"/>
    <mergeCell ref="B1468:I1468"/>
    <mergeCell ref="B1469:C1469"/>
    <mergeCell ref="D1469:D1470"/>
    <mergeCell ref="E1469:I1470"/>
    <mergeCell ref="B1470:C1470"/>
    <mergeCell ref="B1471:I1471"/>
    <mergeCell ref="B1495:I1495"/>
    <mergeCell ref="B1496:I1496"/>
    <mergeCell ref="B1497:C1497"/>
    <mergeCell ref="B1498:C1498"/>
    <mergeCell ref="B1499:C1499"/>
    <mergeCell ref="B1500:C1500"/>
    <mergeCell ref="B1489:H1489"/>
    <mergeCell ref="B1490:I1490"/>
    <mergeCell ref="B1491:I1491"/>
    <mergeCell ref="B1492:D1492"/>
    <mergeCell ref="B1493:D1493"/>
    <mergeCell ref="B1494:H1494"/>
    <mergeCell ref="B1483:D1483"/>
    <mergeCell ref="B1484:H1484"/>
    <mergeCell ref="B1485:I1485"/>
    <mergeCell ref="B1486:I1486"/>
    <mergeCell ref="B1487:D1487"/>
    <mergeCell ref="B1488:D1488"/>
    <mergeCell ref="B1513:I1513"/>
    <mergeCell ref="B1514:C1514"/>
    <mergeCell ref="D1514:D1515"/>
    <mergeCell ref="E1514:I1515"/>
    <mergeCell ref="B1515:C1515"/>
    <mergeCell ref="B1516:I1516"/>
    <mergeCell ref="C1509:F1509"/>
    <mergeCell ref="C1510:F1510"/>
    <mergeCell ref="H1510:I1510"/>
    <mergeCell ref="C1511:F1511"/>
    <mergeCell ref="H1511:I1511"/>
    <mergeCell ref="B1512:E1512"/>
    <mergeCell ref="F1512:I1512"/>
    <mergeCell ref="B1501:H1501"/>
    <mergeCell ref="B1502:I1502"/>
    <mergeCell ref="B1503:H1503"/>
    <mergeCell ref="B1504:I1504"/>
    <mergeCell ref="B1505:B1508"/>
    <mergeCell ref="C1505:F1508"/>
    <mergeCell ref="G1505:I1505"/>
    <mergeCell ref="G1506:I1506"/>
    <mergeCell ref="H1507:I1507"/>
    <mergeCell ref="B1528:D1528"/>
    <mergeCell ref="B1529:H1529"/>
    <mergeCell ref="B1530:I1530"/>
    <mergeCell ref="B1531:I1531"/>
    <mergeCell ref="B1532:D1532"/>
    <mergeCell ref="B1533:D1533"/>
    <mergeCell ref="C1522:H1522"/>
    <mergeCell ref="C1523:H1523"/>
    <mergeCell ref="B1524:I1524"/>
    <mergeCell ref="B1525:I1525"/>
    <mergeCell ref="B1526:D1526"/>
    <mergeCell ref="B1527:D1527"/>
    <mergeCell ref="B1517:C1517"/>
    <mergeCell ref="D1517:G1517"/>
    <mergeCell ref="B1518:I1518"/>
    <mergeCell ref="F1519:H1519"/>
    <mergeCell ref="F1520:H1520"/>
    <mergeCell ref="C1521:I1521"/>
    <mergeCell ref="B1546:H1546"/>
    <mergeCell ref="B1547:I1547"/>
    <mergeCell ref="B1548:H1548"/>
    <mergeCell ref="B1549:I1549"/>
    <mergeCell ref="B1550:B1553"/>
    <mergeCell ref="C1550:F1553"/>
    <mergeCell ref="G1550:I1550"/>
    <mergeCell ref="G1551:I1551"/>
    <mergeCell ref="H1552:I1552"/>
    <mergeCell ref="B1540:I1540"/>
    <mergeCell ref="B1541:I1541"/>
    <mergeCell ref="B1542:C1542"/>
    <mergeCell ref="B1543:C1543"/>
    <mergeCell ref="B1544:C1544"/>
    <mergeCell ref="B1545:C1545"/>
    <mergeCell ref="B1534:H1534"/>
    <mergeCell ref="B1535:I1535"/>
    <mergeCell ref="B1536:I1536"/>
    <mergeCell ref="B1537:D1537"/>
    <mergeCell ref="B1538:D1538"/>
    <mergeCell ref="B1539:H1539"/>
    <mergeCell ref="B1562:C1562"/>
    <mergeCell ref="D1562:G1562"/>
    <mergeCell ref="B1563:I1563"/>
    <mergeCell ref="F1564:H1564"/>
    <mergeCell ref="F1565:H1565"/>
    <mergeCell ref="C1566:I1566"/>
    <mergeCell ref="B1558:I1558"/>
    <mergeCell ref="B1559:C1559"/>
    <mergeCell ref="D1559:D1560"/>
    <mergeCell ref="E1559:I1560"/>
    <mergeCell ref="B1560:C1560"/>
    <mergeCell ref="B1561:I1561"/>
    <mergeCell ref="C1554:F1554"/>
    <mergeCell ref="C1555:F1555"/>
    <mergeCell ref="H1555:I1555"/>
    <mergeCell ref="C1556:F1556"/>
    <mergeCell ref="H1556:I1556"/>
    <mergeCell ref="B1557:E1557"/>
    <mergeCell ref="F1557:I1557"/>
    <mergeCell ref="B1579:H1579"/>
    <mergeCell ref="B1580:I1580"/>
    <mergeCell ref="B1581:I1581"/>
    <mergeCell ref="B1582:D1582"/>
    <mergeCell ref="B1583:D1583"/>
    <mergeCell ref="B1584:H1584"/>
    <mergeCell ref="B1573:D1573"/>
    <mergeCell ref="B1574:H1574"/>
    <mergeCell ref="B1575:I1575"/>
    <mergeCell ref="B1576:I1576"/>
    <mergeCell ref="B1577:D1577"/>
    <mergeCell ref="B1578:D1578"/>
    <mergeCell ref="C1567:H1567"/>
    <mergeCell ref="C1568:H1568"/>
    <mergeCell ref="B1569:I1569"/>
    <mergeCell ref="B1570:I1570"/>
    <mergeCell ref="B1571:D1571"/>
    <mergeCell ref="B1572:D1572"/>
    <mergeCell ref="C1599:F1599"/>
    <mergeCell ref="C1600:F1600"/>
    <mergeCell ref="H1600:I1600"/>
    <mergeCell ref="C1601:F1601"/>
    <mergeCell ref="H1601:I1601"/>
    <mergeCell ref="B1602:E1602"/>
    <mergeCell ref="F1602:I1602"/>
    <mergeCell ref="B1591:H1591"/>
    <mergeCell ref="B1592:I1592"/>
    <mergeCell ref="B1593:H1593"/>
    <mergeCell ref="B1594:I1594"/>
    <mergeCell ref="B1595:B1598"/>
    <mergeCell ref="C1595:F1598"/>
    <mergeCell ref="G1595:I1595"/>
    <mergeCell ref="G1596:I1596"/>
    <mergeCell ref="H1597:I1597"/>
    <mergeCell ref="B1585:I1585"/>
    <mergeCell ref="B1586:I1586"/>
    <mergeCell ref="B1587:C1587"/>
    <mergeCell ref="B1588:C1588"/>
    <mergeCell ref="B1589:C1589"/>
    <mergeCell ref="B1590:C1590"/>
    <mergeCell ref="C1612:H1612"/>
    <mergeCell ref="C1613:H1613"/>
    <mergeCell ref="B1614:I1614"/>
    <mergeCell ref="B1615:I1615"/>
    <mergeCell ref="B1616:D1616"/>
    <mergeCell ref="B1617:D1617"/>
    <mergeCell ref="B1607:C1607"/>
    <mergeCell ref="D1607:G1607"/>
    <mergeCell ref="B1608:I1608"/>
    <mergeCell ref="F1609:H1609"/>
    <mergeCell ref="F1610:H1610"/>
    <mergeCell ref="C1611:I1611"/>
    <mergeCell ref="B1603:I1603"/>
    <mergeCell ref="B1604:C1604"/>
    <mergeCell ref="D1604:D1605"/>
    <mergeCell ref="E1604:I1605"/>
    <mergeCell ref="B1605:C1605"/>
    <mergeCell ref="B1606:I1606"/>
    <mergeCell ref="B1630:I1630"/>
    <mergeCell ref="B1631:I1631"/>
    <mergeCell ref="B1632:C1632"/>
    <mergeCell ref="B1633:C1633"/>
    <mergeCell ref="B1634:C1634"/>
    <mergeCell ref="B1635:C1635"/>
    <mergeCell ref="B1624:H1624"/>
    <mergeCell ref="B1625:I1625"/>
    <mergeCell ref="B1626:I1626"/>
    <mergeCell ref="B1627:D1627"/>
    <mergeCell ref="B1628:D1628"/>
    <mergeCell ref="B1629:H1629"/>
    <mergeCell ref="B1618:D1618"/>
    <mergeCell ref="B1619:H1619"/>
    <mergeCell ref="B1620:I1620"/>
    <mergeCell ref="B1621:I1621"/>
    <mergeCell ref="B1622:D1622"/>
    <mergeCell ref="B1623:D1623"/>
    <mergeCell ref="B1648:I1648"/>
    <mergeCell ref="B1649:C1649"/>
    <mergeCell ref="D1649:D1650"/>
    <mergeCell ref="E1649:I1650"/>
    <mergeCell ref="B1650:C1650"/>
    <mergeCell ref="B1651:I1651"/>
    <mergeCell ref="C1644:F1644"/>
    <mergeCell ref="C1645:F1645"/>
    <mergeCell ref="H1645:I1645"/>
    <mergeCell ref="C1646:F1646"/>
    <mergeCell ref="H1646:I1646"/>
    <mergeCell ref="B1647:E1647"/>
    <mergeCell ref="F1647:I1647"/>
    <mergeCell ref="B1636:H1636"/>
    <mergeCell ref="B1637:I1637"/>
    <mergeCell ref="B1638:H1638"/>
    <mergeCell ref="B1639:I1639"/>
    <mergeCell ref="B1640:B1643"/>
    <mergeCell ref="C1640:F1643"/>
    <mergeCell ref="G1640:I1640"/>
    <mergeCell ref="G1641:I1641"/>
    <mergeCell ref="H1642:I1642"/>
    <mergeCell ref="B1663:D1663"/>
    <mergeCell ref="B1664:H1664"/>
    <mergeCell ref="B1665:I1665"/>
    <mergeCell ref="B1666:I1666"/>
    <mergeCell ref="B1667:D1667"/>
    <mergeCell ref="B1668:D1668"/>
    <mergeCell ref="C1657:H1657"/>
    <mergeCell ref="C1658:H1658"/>
    <mergeCell ref="B1659:I1659"/>
    <mergeCell ref="B1660:I1660"/>
    <mergeCell ref="B1661:D1661"/>
    <mergeCell ref="B1662:D1662"/>
    <mergeCell ref="B1652:C1652"/>
    <mergeCell ref="D1652:G1652"/>
    <mergeCell ref="B1653:I1653"/>
    <mergeCell ref="F1654:H1654"/>
    <mergeCell ref="F1655:H1655"/>
    <mergeCell ref="C1656:I1656"/>
    <mergeCell ref="B1681:H1681"/>
    <mergeCell ref="B1682:I1682"/>
    <mergeCell ref="B1683:H1683"/>
    <mergeCell ref="B1684:I1684"/>
    <mergeCell ref="B1685:B1688"/>
    <mergeCell ref="C1685:F1688"/>
    <mergeCell ref="G1685:I1685"/>
    <mergeCell ref="G1686:I1686"/>
    <mergeCell ref="H1687:I1687"/>
    <mergeCell ref="B1675:I1675"/>
    <mergeCell ref="B1676:I1676"/>
    <mergeCell ref="B1677:C1677"/>
    <mergeCell ref="B1678:C1678"/>
    <mergeCell ref="B1679:C1679"/>
    <mergeCell ref="B1680:C1680"/>
    <mergeCell ref="B1669:H1669"/>
    <mergeCell ref="B1670:I1670"/>
    <mergeCell ref="B1671:I1671"/>
    <mergeCell ref="B1672:D1672"/>
    <mergeCell ref="B1673:D1673"/>
    <mergeCell ref="B1674:H1674"/>
    <mergeCell ref="B1697:C1697"/>
    <mergeCell ref="D1697:G1697"/>
    <mergeCell ref="B1698:I1698"/>
    <mergeCell ref="F1699:H1699"/>
    <mergeCell ref="F1700:H1700"/>
    <mergeCell ref="C1701:I1701"/>
    <mergeCell ref="B1693:I1693"/>
    <mergeCell ref="B1694:C1694"/>
    <mergeCell ref="D1694:D1695"/>
    <mergeCell ref="E1694:I1695"/>
    <mergeCell ref="B1695:C1695"/>
    <mergeCell ref="B1696:I1696"/>
    <mergeCell ref="C1689:F1689"/>
    <mergeCell ref="C1690:F1690"/>
    <mergeCell ref="H1690:I1690"/>
    <mergeCell ref="C1691:F1691"/>
    <mergeCell ref="H1691:I1691"/>
    <mergeCell ref="B1692:E1692"/>
    <mergeCell ref="F1692:I1692"/>
    <mergeCell ref="B1714:H1714"/>
    <mergeCell ref="B1715:I1715"/>
    <mergeCell ref="B1716:I1716"/>
    <mergeCell ref="B1717:D1717"/>
    <mergeCell ref="B1718:D1718"/>
    <mergeCell ref="B1719:H1719"/>
    <mergeCell ref="B1708:D1708"/>
    <mergeCell ref="B1709:H1709"/>
    <mergeCell ref="B1710:I1710"/>
    <mergeCell ref="B1711:I1711"/>
    <mergeCell ref="B1712:D1712"/>
    <mergeCell ref="B1713:D1713"/>
    <mergeCell ref="C1702:H1702"/>
    <mergeCell ref="C1703:H1703"/>
    <mergeCell ref="B1704:I1704"/>
    <mergeCell ref="B1705:I1705"/>
    <mergeCell ref="B1706:D1706"/>
    <mergeCell ref="B1707:D1707"/>
    <mergeCell ref="C1734:F1734"/>
    <mergeCell ref="C1735:F1735"/>
    <mergeCell ref="H1735:I1735"/>
    <mergeCell ref="C1736:F1736"/>
    <mergeCell ref="H1736:I1736"/>
    <mergeCell ref="B1737:E1737"/>
    <mergeCell ref="F1737:I1737"/>
    <mergeCell ref="B1726:H1726"/>
    <mergeCell ref="B1727:I1727"/>
    <mergeCell ref="B1728:H1728"/>
    <mergeCell ref="B1729:I1729"/>
    <mergeCell ref="B1730:B1733"/>
    <mergeCell ref="C1730:F1733"/>
    <mergeCell ref="G1730:I1730"/>
    <mergeCell ref="G1731:I1731"/>
    <mergeCell ref="H1732:I1732"/>
    <mergeCell ref="B1720:I1720"/>
    <mergeCell ref="B1721:I1721"/>
    <mergeCell ref="B1722:C1722"/>
    <mergeCell ref="B1723:C1723"/>
    <mergeCell ref="B1724:C1724"/>
    <mergeCell ref="B1725:C1725"/>
    <mergeCell ref="C1747:H1747"/>
    <mergeCell ref="C1748:H1748"/>
    <mergeCell ref="B1749:I1749"/>
    <mergeCell ref="B1750:I1750"/>
    <mergeCell ref="B1751:D1751"/>
    <mergeCell ref="B1752:D1752"/>
    <mergeCell ref="B1742:C1742"/>
    <mergeCell ref="D1742:G1742"/>
    <mergeCell ref="B1743:I1743"/>
    <mergeCell ref="F1744:H1744"/>
    <mergeCell ref="F1745:H1745"/>
    <mergeCell ref="C1746:I1746"/>
    <mergeCell ref="B1738:I1738"/>
    <mergeCell ref="B1739:C1739"/>
    <mergeCell ref="D1739:D1740"/>
    <mergeCell ref="E1739:I1740"/>
    <mergeCell ref="B1740:C1740"/>
    <mergeCell ref="B1741:I1741"/>
    <mergeCell ref="B1765:I1765"/>
    <mergeCell ref="B1766:I1766"/>
    <mergeCell ref="B1767:C1767"/>
    <mergeCell ref="B1768:C1768"/>
    <mergeCell ref="B1769:C1769"/>
    <mergeCell ref="B1770:C1770"/>
    <mergeCell ref="B1759:H1759"/>
    <mergeCell ref="B1760:I1760"/>
    <mergeCell ref="B1761:I1761"/>
    <mergeCell ref="B1762:D1762"/>
    <mergeCell ref="B1763:D1763"/>
    <mergeCell ref="B1764:H1764"/>
    <mergeCell ref="B1753:D1753"/>
    <mergeCell ref="B1754:H1754"/>
    <mergeCell ref="B1755:I1755"/>
    <mergeCell ref="B1756:I1756"/>
    <mergeCell ref="B1757:D1757"/>
    <mergeCell ref="B1758:D1758"/>
    <mergeCell ref="B1783:I1783"/>
    <mergeCell ref="B1784:C1784"/>
    <mergeCell ref="D1784:D1785"/>
    <mergeCell ref="E1784:I1785"/>
    <mergeCell ref="B1785:C1785"/>
    <mergeCell ref="B1786:I1786"/>
    <mergeCell ref="C1779:F1779"/>
    <mergeCell ref="C1780:F1780"/>
    <mergeCell ref="H1780:I1780"/>
    <mergeCell ref="C1781:F1781"/>
    <mergeCell ref="H1781:I1781"/>
    <mergeCell ref="B1782:E1782"/>
    <mergeCell ref="F1782:I1782"/>
    <mergeCell ref="B1771:H1771"/>
    <mergeCell ref="B1772:I1772"/>
    <mergeCell ref="B1773:H1773"/>
    <mergeCell ref="B1774:I1774"/>
    <mergeCell ref="B1775:B1778"/>
    <mergeCell ref="C1775:F1778"/>
    <mergeCell ref="G1775:I1775"/>
    <mergeCell ref="G1776:I1776"/>
    <mergeCell ref="H1777:I1777"/>
    <mergeCell ref="B1798:D1798"/>
    <mergeCell ref="B1799:H1799"/>
    <mergeCell ref="B1800:I1800"/>
    <mergeCell ref="B1801:I1801"/>
    <mergeCell ref="B1802:D1802"/>
    <mergeCell ref="B1803:D1803"/>
    <mergeCell ref="C1792:H1792"/>
    <mergeCell ref="C1793:H1793"/>
    <mergeCell ref="B1794:I1794"/>
    <mergeCell ref="B1795:I1795"/>
    <mergeCell ref="B1796:D1796"/>
    <mergeCell ref="B1797:D1797"/>
    <mergeCell ref="B1787:C1787"/>
    <mergeCell ref="D1787:G1787"/>
    <mergeCell ref="B1788:I1788"/>
    <mergeCell ref="F1789:H1789"/>
    <mergeCell ref="F1790:H1790"/>
    <mergeCell ref="C1791:I1791"/>
    <mergeCell ref="B1816:H1816"/>
    <mergeCell ref="B1817:I1817"/>
    <mergeCell ref="B1818:H1818"/>
    <mergeCell ref="B1819:I1819"/>
    <mergeCell ref="B1820:B1823"/>
    <mergeCell ref="C1820:F1823"/>
    <mergeCell ref="G1820:I1820"/>
    <mergeCell ref="G1821:I1821"/>
    <mergeCell ref="H1822:I1822"/>
    <mergeCell ref="B1810:I1810"/>
    <mergeCell ref="B1811:I1811"/>
    <mergeCell ref="B1812:C1812"/>
    <mergeCell ref="B1813:C1813"/>
    <mergeCell ref="B1814:C1814"/>
    <mergeCell ref="B1815:C1815"/>
    <mergeCell ref="B1804:H1804"/>
    <mergeCell ref="B1805:I1805"/>
    <mergeCell ref="B1806:I1806"/>
    <mergeCell ref="B1807:D1807"/>
    <mergeCell ref="B1808:D1808"/>
    <mergeCell ref="B1809:H1809"/>
    <mergeCell ref="B1832:C1832"/>
    <mergeCell ref="D1832:G1832"/>
    <mergeCell ref="B1833:I1833"/>
    <mergeCell ref="F1834:H1834"/>
    <mergeCell ref="F1835:H1835"/>
    <mergeCell ref="C1836:I1836"/>
    <mergeCell ref="B1828:I1828"/>
    <mergeCell ref="B1829:C1829"/>
    <mergeCell ref="D1829:D1830"/>
    <mergeCell ref="E1829:I1830"/>
    <mergeCell ref="B1830:C1830"/>
    <mergeCell ref="B1831:I1831"/>
    <mergeCell ref="C1824:F1824"/>
    <mergeCell ref="C1825:F1825"/>
    <mergeCell ref="H1825:I1825"/>
    <mergeCell ref="C1826:F1826"/>
    <mergeCell ref="H1826:I1826"/>
    <mergeCell ref="B1827:E1827"/>
    <mergeCell ref="F1827:I1827"/>
    <mergeCell ref="B1849:H1849"/>
    <mergeCell ref="B1850:I1850"/>
    <mergeCell ref="B1851:I1851"/>
    <mergeCell ref="B1852:D1852"/>
    <mergeCell ref="B1853:D1853"/>
    <mergeCell ref="B1854:H1854"/>
    <mergeCell ref="B1843:D1843"/>
    <mergeCell ref="B1844:H1844"/>
    <mergeCell ref="B1845:I1845"/>
    <mergeCell ref="B1846:I1846"/>
    <mergeCell ref="B1847:D1847"/>
    <mergeCell ref="B1848:D1848"/>
    <mergeCell ref="C1837:H1837"/>
    <mergeCell ref="C1838:H1838"/>
    <mergeCell ref="B1839:I1839"/>
    <mergeCell ref="B1840:I1840"/>
    <mergeCell ref="B1841:D1841"/>
    <mergeCell ref="B1842:D1842"/>
    <mergeCell ref="C1869:F1869"/>
    <mergeCell ref="C1870:F1870"/>
    <mergeCell ref="H1870:I1870"/>
    <mergeCell ref="C1871:F1871"/>
    <mergeCell ref="H1871:I1871"/>
    <mergeCell ref="B1872:E1872"/>
    <mergeCell ref="F1872:I1872"/>
    <mergeCell ref="B1861:H1861"/>
    <mergeCell ref="B1862:I1862"/>
    <mergeCell ref="B1863:H1863"/>
    <mergeCell ref="B1864:I1864"/>
    <mergeCell ref="B1865:B1868"/>
    <mergeCell ref="C1865:F1868"/>
    <mergeCell ref="G1865:I1865"/>
    <mergeCell ref="G1866:I1866"/>
    <mergeCell ref="H1867:I1867"/>
    <mergeCell ref="B1855:I1855"/>
    <mergeCell ref="B1856:I1856"/>
    <mergeCell ref="B1857:C1857"/>
    <mergeCell ref="B1858:C1858"/>
    <mergeCell ref="B1859:C1859"/>
    <mergeCell ref="B1860:C1860"/>
    <mergeCell ref="C1882:H1882"/>
    <mergeCell ref="C1883:H1883"/>
    <mergeCell ref="B1884:I1884"/>
    <mergeCell ref="B1885:I1885"/>
    <mergeCell ref="B1886:D1886"/>
    <mergeCell ref="B1887:D1887"/>
    <mergeCell ref="B1877:C1877"/>
    <mergeCell ref="D1877:G1877"/>
    <mergeCell ref="B1878:I1878"/>
    <mergeCell ref="F1879:H1879"/>
    <mergeCell ref="F1880:H1880"/>
    <mergeCell ref="C1881:I1881"/>
    <mergeCell ref="B1873:I1873"/>
    <mergeCell ref="B1874:C1874"/>
    <mergeCell ref="D1874:D1875"/>
    <mergeCell ref="E1874:I1875"/>
    <mergeCell ref="B1875:C1875"/>
    <mergeCell ref="B1876:I1876"/>
    <mergeCell ref="B1900:I1900"/>
    <mergeCell ref="B1901:I1901"/>
    <mergeCell ref="B1902:C1902"/>
    <mergeCell ref="B1903:C1903"/>
    <mergeCell ref="B1904:C1904"/>
    <mergeCell ref="B1905:C1905"/>
    <mergeCell ref="B1894:H1894"/>
    <mergeCell ref="B1895:I1895"/>
    <mergeCell ref="B1896:I1896"/>
    <mergeCell ref="B1897:D1897"/>
    <mergeCell ref="B1898:D1898"/>
    <mergeCell ref="B1899:H1899"/>
    <mergeCell ref="B1888:D1888"/>
    <mergeCell ref="B1889:H1889"/>
    <mergeCell ref="B1890:I1890"/>
    <mergeCell ref="B1891:I1891"/>
    <mergeCell ref="B1892:D1892"/>
    <mergeCell ref="B1893:D1893"/>
    <mergeCell ref="B1918:I1918"/>
    <mergeCell ref="B1919:C1919"/>
    <mergeCell ref="D1919:D1920"/>
    <mergeCell ref="E1919:I1920"/>
    <mergeCell ref="B1920:C1920"/>
    <mergeCell ref="B1921:I1921"/>
    <mergeCell ref="C1914:F1914"/>
    <mergeCell ref="C1915:F1915"/>
    <mergeCell ref="H1915:I1915"/>
    <mergeCell ref="C1916:F1916"/>
    <mergeCell ref="H1916:I1916"/>
    <mergeCell ref="B1917:E1917"/>
    <mergeCell ref="F1917:I1917"/>
    <mergeCell ref="B1906:H1906"/>
    <mergeCell ref="B1907:I1907"/>
    <mergeCell ref="B1908:H1908"/>
    <mergeCell ref="B1909:I1909"/>
    <mergeCell ref="B1910:B1913"/>
    <mergeCell ref="C1910:F1913"/>
    <mergeCell ref="G1910:I1910"/>
    <mergeCell ref="G1911:I1911"/>
    <mergeCell ref="H1912:I1912"/>
    <mergeCell ref="B1933:D1933"/>
    <mergeCell ref="B1934:H1934"/>
    <mergeCell ref="B1935:I1935"/>
    <mergeCell ref="B1936:I1936"/>
    <mergeCell ref="B1937:D1937"/>
    <mergeCell ref="B1938:D1938"/>
    <mergeCell ref="C1927:H1927"/>
    <mergeCell ref="C1928:H1928"/>
    <mergeCell ref="B1929:I1929"/>
    <mergeCell ref="B1930:I1930"/>
    <mergeCell ref="B1931:D1931"/>
    <mergeCell ref="B1932:D1932"/>
    <mergeCell ref="B1922:C1922"/>
    <mergeCell ref="D1922:G1922"/>
    <mergeCell ref="B1923:I1923"/>
    <mergeCell ref="F1924:H1924"/>
    <mergeCell ref="F1925:H1925"/>
    <mergeCell ref="C1926:I1926"/>
    <mergeCell ref="B1951:H1951"/>
    <mergeCell ref="B1952:I1952"/>
    <mergeCell ref="B1953:H1953"/>
    <mergeCell ref="B1954:I1954"/>
    <mergeCell ref="B1955:B1958"/>
    <mergeCell ref="C1955:F1958"/>
    <mergeCell ref="G1955:I1955"/>
    <mergeCell ref="G1956:I1956"/>
    <mergeCell ref="H1957:I1957"/>
    <mergeCell ref="B1945:I1945"/>
    <mergeCell ref="B1946:I1946"/>
    <mergeCell ref="B1947:C1947"/>
    <mergeCell ref="B1948:C1948"/>
    <mergeCell ref="B1949:C1949"/>
    <mergeCell ref="B1950:C1950"/>
    <mergeCell ref="B1939:H1939"/>
    <mergeCell ref="B1940:I1940"/>
    <mergeCell ref="B1941:I1941"/>
    <mergeCell ref="B1942:D1942"/>
    <mergeCell ref="B1943:D1943"/>
    <mergeCell ref="B1944:H1944"/>
    <mergeCell ref="B1967:C1967"/>
    <mergeCell ref="D1967:G1967"/>
    <mergeCell ref="B1968:I1968"/>
    <mergeCell ref="F1969:H1969"/>
    <mergeCell ref="F1970:H1970"/>
    <mergeCell ref="C1971:I1971"/>
    <mergeCell ref="B1963:I1963"/>
    <mergeCell ref="B1964:C1964"/>
    <mergeCell ref="D1964:D1965"/>
    <mergeCell ref="E1964:I1965"/>
    <mergeCell ref="B1965:C1965"/>
    <mergeCell ref="B1966:I1966"/>
    <mergeCell ref="C1959:F1959"/>
    <mergeCell ref="C1960:F1960"/>
    <mergeCell ref="H1960:I1960"/>
    <mergeCell ref="C1961:F1961"/>
    <mergeCell ref="H1961:I1961"/>
    <mergeCell ref="B1962:E1962"/>
    <mergeCell ref="F1962:I1962"/>
    <mergeCell ref="B1984:H1984"/>
    <mergeCell ref="B1985:I1985"/>
    <mergeCell ref="B1986:I1986"/>
    <mergeCell ref="B1987:D1987"/>
    <mergeCell ref="B1988:D1988"/>
    <mergeCell ref="B1989:H1989"/>
    <mergeCell ref="B1978:D1978"/>
    <mergeCell ref="B1979:H1979"/>
    <mergeCell ref="B1980:I1980"/>
    <mergeCell ref="B1981:I1981"/>
    <mergeCell ref="B1982:D1982"/>
    <mergeCell ref="B1983:D1983"/>
    <mergeCell ref="C1972:H1972"/>
    <mergeCell ref="C1973:H1973"/>
    <mergeCell ref="B1974:I1974"/>
    <mergeCell ref="B1975:I1975"/>
    <mergeCell ref="B1976:D1976"/>
    <mergeCell ref="B1977:D1977"/>
    <mergeCell ref="C2004:F2004"/>
    <mergeCell ref="C2005:F2005"/>
    <mergeCell ref="H2005:I2005"/>
    <mergeCell ref="C2006:F2006"/>
    <mergeCell ref="H2006:I2006"/>
    <mergeCell ref="B2007:E2007"/>
    <mergeCell ref="F2007:I2007"/>
    <mergeCell ref="B1996:H1996"/>
    <mergeCell ref="B1997:I1997"/>
    <mergeCell ref="B1998:H1998"/>
    <mergeCell ref="B1999:I1999"/>
    <mergeCell ref="B2000:B2003"/>
    <mergeCell ref="C2000:F2003"/>
    <mergeCell ref="G2000:I2000"/>
    <mergeCell ref="G2001:I2001"/>
    <mergeCell ref="H2002:I2002"/>
    <mergeCell ref="B1990:I1990"/>
    <mergeCell ref="B1991:I1991"/>
    <mergeCell ref="B1992:C1992"/>
    <mergeCell ref="B1993:C1993"/>
    <mergeCell ref="B1994:C1994"/>
    <mergeCell ref="B1995:C1995"/>
    <mergeCell ref="C2017:H2017"/>
    <mergeCell ref="C2018:H2018"/>
    <mergeCell ref="B2019:I2019"/>
    <mergeCell ref="B2020:I2020"/>
    <mergeCell ref="B2021:D2021"/>
    <mergeCell ref="B2022:D2022"/>
    <mergeCell ref="B2012:C2012"/>
    <mergeCell ref="D2012:G2012"/>
    <mergeCell ref="B2013:I2013"/>
    <mergeCell ref="F2014:H2014"/>
    <mergeCell ref="F2015:H2015"/>
    <mergeCell ref="C2016:I2016"/>
    <mergeCell ref="B2008:I2008"/>
    <mergeCell ref="B2009:C2009"/>
    <mergeCell ref="D2009:D2010"/>
    <mergeCell ref="E2009:I2010"/>
    <mergeCell ref="B2010:C2010"/>
    <mergeCell ref="B2011:I2011"/>
    <mergeCell ref="B2035:I2035"/>
    <mergeCell ref="B2036:I2036"/>
    <mergeCell ref="B2037:C2037"/>
    <mergeCell ref="B2038:C2038"/>
    <mergeCell ref="B2039:C2039"/>
    <mergeCell ref="B2040:C2040"/>
    <mergeCell ref="B2029:H2029"/>
    <mergeCell ref="B2030:I2030"/>
    <mergeCell ref="B2031:I2031"/>
    <mergeCell ref="B2032:D2032"/>
    <mergeCell ref="B2033:D2033"/>
    <mergeCell ref="B2034:H2034"/>
    <mergeCell ref="B2023:D2023"/>
    <mergeCell ref="B2024:H2024"/>
    <mergeCell ref="B2025:I2025"/>
    <mergeCell ref="B2026:I2026"/>
    <mergeCell ref="B2027:D2027"/>
    <mergeCell ref="B2028:D2028"/>
    <mergeCell ref="B2054:I2054"/>
    <mergeCell ref="B2055:C2055"/>
    <mergeCell ref="D2055:D2056"/>
    <mergeCell ref="E2055:I2056"/>
    <mergeCell ref="B2056:C2056"/>
    <mergeCell ref="B2057:I2057"/>
    <mergeCell ref="C2049:F2049"/>
    <mergeCell ref="C2050:F2050"/>
    <mergeCell ref="H2050:I2050"/>
    <mergeCell ref="C2051:F2051"/>
    <mergeCell ref="H2051:I2051"/>
    <mergeCell ref="B2053:E2053"/>
    <mergeCell ref="F2053:I2053"/>
    <mergeCell ref="B2041:H2041"/>
    <mergeCell ref="B2042:I2042"/>
    <mergeCell ref="B2043:H2043"/>
    <mergeCell ref="B2044:I2044"/>
    <mergeCell ref="B2045:B2048"/>
    <mergeCell ref="C2045:F2048"/>
    <mergeCell ref="G2045:I2045"/>
    <mergeCell ref="G2046:I2046"/>
    <mergeCell ref="H2047:I2047"/>
    <mergeCell ref="B2069:D2069"/>
    <mergeCell ref="B2070:H2070"/>
    <mergeCell ref="B2071:I2071"/>
    <mergeCell ref="B2072:I2072"/>
    <mergeCell ref="B2073:D2073"/>
    <mergeCell ref="B2074:D2074"/>
    <mergeCell ref="C2063:H2063"/>
    <mergeCell ref="C2064:H2064"/>
    <mergeCell ref="B2065:I2065"/>
    <mergeCell ref="B2066:I2066"/>
    <mergeCell ref="B2067:D2067"/>
    <mergeCell ref="B2068:D2068"/>
    <mergeCell ref="B2058:C2058"/>
    <mergeCell ref="D2058:G2058"/>
    <mergeCell ref="B2059:I2059"/>
    <mergeCell ref="F2060:H2060"/>
    <mergeCell ref="F2061:H2061"/>
    <mergeCell ref="C2062:I2062"/>
    <mergeCell ref="B2087:H2087"/>
    <mergeCell ref="B2088:I2088"/>
    <mergeCell ref="B2089:H2089"/>
    <mergeCell ref="B2090:I2090"/>
    <mergeCell ref="B2091:B2094"/>
    <mergeCell ref="C2091:F2094"/>
    <mergeCell ref="G2091:I2091"/>
    <mergeCell ref="G2092:I2092"/>
    <mergeCell ref="H2093:I2093"/>
    <mergeCell ref="B2081:I2081"/>
    <mergeCell ref="B2082:I2082"/>
    <mergeCell ref="B2083:C2083"/>
    <mergeCell ref="B2084:C2084"/>
    <mergeCell ref="B2085:C2085"/>
    <mergeCell ref="B2086:C2086"/>
    <mergeCell ref="B2075:H2075"/>
    <mergeCell ref="B2076:I2076"/>
    <mergeCell ref="B2077:I2077"/>
    <mergeCell ref="B2078:D2078"/>
    <mergeCell ref="B2079:D2079"/>
    <mergeCell ref="B2080:H2080"/>
    <mergeCell ref="B2103:C2103"/>
    <mergeCell ref="D2103:G2103"/>
    <mergeCell ref="B2104:I2104"/>
    <mergeCell ref="F2105:H2105"/>
    <mergeCell ref="F2106:H2106"/>
    <mergeCell ref="C2107:I2107"/>
    <mergeCell ref="B2099:I2099"/>
    <mergeCell ref="B2100:C2100"/>
    <mergeCell ref="D2100:D2101"/>
    <mergeCell ref="E2100:I2101"/>
    <mergeCell ref="B2101:C2101"/>
    <mergeCell ref="B2102:I2102"/>
    <mergeCell ref="C2095:F2095"/>
    <mergeCell ref="C2096:F2096"/>
    <mergeCell ref="H2096:I2096"/>
    <mergeCell ref="C2097:F2097"/>
    <mergeCell ref="H2097:I2097"/>
    <mergeCell ref="B2098:E2098"/>
    <mergeCell ref="F2098:I2098"/>
    <mergeCell ref="B2120:H2120"/>
    <mergeCell ref="B2121:I2121"/>
    <mergeCell ref="B2122:I2122"/>
    <mergeCell ref="B2123:D2123"/>
    <mergeCell ref="B2124:D2124"/>
    <mergeCell ref="B2125:H2125"/>
    <mergeCell ref="B2114:D2114"/>
    <mergeCell ref="B2115:H2115"/>
    <mergeCell ref="B2116:I2116"/>
    <mergeCell ref="B2117:I2117"/>
    <mergeCell ref="B2118:D2118"/>
    <mergeCell ref="B2119:D2119"/>
    <mergeCell ref="C2108:H2108"/>
    <mergeCell ref="C2109:H2109"/>
    <mergeCell ref="B2110:I2110"/>
    <mergeCell ref="B2111:I2111"/>
    <mergeCell ref="B2112:D2112"/>
    <mergeCell ref="B2113:D2113"/>
    <mergeCell ref="C2140:F2140"/>
    <mergeCell ref="C2141:F2141"/>
    <mergeCell ref="H2141:I2141"/>
    <mergeCell ref="C2142:F2142"/>
    <mergeCell ref="H2142:I2142"/>
    <mergeCell ref="B2143:I2143"/>
    <mergeCell ref="B2132:H2132"/>
    <mergeCell ref="B2133:I2133"/>
    <mergeCell ref="B2134:H2134"/>
    <mergeCell ref="B2135:I2135"/>
    <mergeCell ref="B2136:B2139"/>
    <mergeCell ref="C2136:F2139"/>
    <mergeCell ref="G2136:I2136"/>
    <mergeCell ref="G2137:I2137"/>
    <mergeCell ref="H2138:I2138"/>
    <mergeCell ref="B2126:I2126"/>
    <mergeCell ref="B2127:I2127"/>
    <mergeCell ref="B2128:C2128"/>
    <mergeCell ref="B2129:C2129"/>
    <mergeCell ref="B2130:C2130"/>
    <mergeCell ref="B2131:C2131"/>
    <mergeCell ref="C2153:I2153"/>
    <mergeCell ref="C2154:H2154"/>
    <mergeCell ref="C2155:H2155"/>
    <mergeCell ref="B2156:I2156"/>
    <mergeCell ref="B2157:I2157"/>
    <mergeCell ref="B2158:D2158"/>
    <mergeCell ref="B2148:I2148"/>
    <mergeCell ref="B2149:C2149"/>
    <mergeCell ref="D2149:G2149"/>
    <mergeCell ref="B2150:I2150"/>
    <mergeCell ref="F2151:H2151"/>
    <mergeCell ref="F2152:H2152"/>
    <mergeCell ref="B2144:E2144"/>
    <mergeCell ref="F2144:I2144"/>
    <mergeCell ref="B2145:I2145"/>
    <mergeCell ref="B2146:C2146"/>
    <mergeCell ref="D2146:D2147"/>
    <mergeCell ref="E2146:I2147"/>
    <mergeCell ref="B2147:C2147"/>
    <mergeCell ref="B2171:H2171"/>
    <mergeCell ref="B2172:I2172"/>
    <mergeCell ref="B2173:I2173"/>
    <mergeCell ref="B2174:C2174"/>
    <mergeCell ref="B2175:C2175"/>
    <mergeCell ref="B2176:C2176"/>
    <mergeCell ref="B2165:D2165"/>
    <mergeCell ref="B2166:H2166"/>
    <mergeCell ref="B2167:I2167"/>
    <mergeCell ref="B2168:I2168"/>
    <mergeCell ref="B2169:D2169"/>
    <mergeCell ref="B2170:D2170"/>
    <mergeCell ref="B2159:D2159"/>
    <mergeCell ref="B2160:D2160"/>
    <mergeCell ref="B2161:H2161"/>
    <mergeCell ref="B2162:I2162"/>
    <mergeCell ref="B2163:I2163"/>
    <mergeCell ref="B2164:D2164"/>
    <mergeCell ref="B2190:I2190"/>
    <mergeCell ref="B2191:C2191"/>
    <mergeCell ref="D2191:D2192"/>
    <mergeCell ref="E2191:I2192"/>
    <mergeCell ref="B2192:C2192"/>
    <mergeCell ref="B2193:I2193"/>
    <mergeCell ref="C2186:F2186"/>
    <mergeCell ref="C2187:F2187"/>
    <mergeCell ref="H2187:I2187"/>
    <mergeCell ref="C2188:F2188"/>
    <mergeCell ref="H2188:I2188"/>
    <mergeCell ref="B2189:E2189"/>
    <mergeCell ref="F2189:I2189"/>
    <mergeCell ref="B2177:C2177"/>
    <mergeCell ref="B2178:H2178"/>
    <mergeCell ref="B2179:I2179"/>
    <mergeCell ref="B2180:H2180"/>
    <mergeCell ref="B2181:I2181"/>
    <mergeCell ref="B2182:B2185"/>
    <mergeCell ref="C2182:F2185"/>
    <mergeCell ref="G2182:I2182"/>
    <mergeCell ref="G2183:I2183"/>
    <mergeCell ref="H2184:I2184"/>
    <mergeCell ref="B2205:D2205"/>
    <mergeCell ref="B2206:H2206"/>
    <mergeCell ref="B2207:I2207"/>
    <mergeCell ref="B2208:I2208"/>
    <mergeCell ref="B2209:D2209"/>
    <mergeCell ref="B2210:D2210"/>
    <mergeCell ref="C2199:H2199"/>
    <mergeCell ref="C2200:H2200"/>
    <mergeCell ref="B2201:I2201"/>
    <mergeCell ref="B2202:I2202"/>
    <mergeCell ref="B2203:D2203"/>
    <mergeCell ref="B2204:D2204"/>
    <mergeCell ref="B2194:C2194"/>
    <mergeCell ref="D2194:G2194"/>
    <mergeCell ref="B2195:I2195"/>
    <mergeCell ref="F2196:H2196"/>
    <mergeCell ref="F2197:H2197"/>
    <mergeCell ref="C2198:I2198"/>
    <mergeCell ref="B2223:H2223"/>
    <mergeCell ref="B2224:I2224"/>
    <mergeCell ref="B2225:H2225"/>
    <mergeCell ref="B2226:I2226"/>
    <mergeCell ref="B2227:B2230"/>
    <mergeCell ref="C2227:F2230"/>
    <mergeCell ref="G2227:I2227"/>
    <mergeCell ref="G2228:I2228"/>
    <mergeCell ref="H2229:I2229"/>
    <mergeCell ref="B2217:I2217"/>
    <mergeCell ref="B2218:I2218"/>
    <mergeCell ref="B2219:C2219"/>
    <mergeCell ref="B2220:C2220"/>
    <mergeCell ref="B2221:C2221"/>
    <mergeCell ref="B2222:C2222"/>
    <mergeCell ref="B2211:H2211"/>
    <mergeCell ref="B2212:I2212"/>
    <mergeCell ref="B2213:I2213"/>
    <mergeCell ref="B2214:D2214"/>
    <mergeCell ref="B2215:D2215"/>
    <mergeCell ref="B2216:H2216"/>
    <mergeCell ref="B2239:C2239"/>
    <mergeCell ref="D2239:G2239"/>
    <mergeCell ref="B2240:I2240"/>
    <mergeCell ref="F2241:H2241"/>
    <mergeCell ref="F2242:H2242"/>
    <mergeCell ref="C2243:I2243"/>
    <mergeCell ref="B2235:I2235"/>
    <mergeCell ref="B2236:C2236"/>
    <mergeCell ref="D2236:D2237"/>
    <mergeCell ref="E2236:I2237"/>
    <mergeCell ref="B2237:C2237"/>
    <mergeCell ref="B2238:I2238"/>
    <mergeCell ref="C2231:F2231"/>
    <mergeCell ref="C2232:F2232"/>
    <mergeCell ref="H2232:I2232"/>
    <mergeCell ref="C2233:F2233"/>
    <mergeCell ref="H2233:I2233"/>
    <mergeCell ref="B2234:E2234"/>
    <mergeCell ref="F2234:I2234"/>
    <mergeCell ref="B2256:H2256"/>
    <mergeCell ref="B2257:I2257"/>
    <mergeCell ref="B2258:I2258"/>
    <mergeCell ref="B2259:D2259"/>
    <mergeCell ref="B2260:D2260"/>
    <mergeCell ref="B2261:H2261"/>
    <mergeCell ref="B2250:D2250"/>
    <mergeCell ref="B2251:H2251"/>
    <mergeCell ref="B2252:I2252"/>
    <mergeCell ref="B2253:I2253"/>
    <mergeCell ref="B2254:D2254"/>
    <mergeCell ref="B2255:D2255"/>
    <mergeCell ref="C2244:H2244"/>
    <mergeCell ref="C2245:H2245"/>
    <mergeCell ref="B2246:I2246"/>
    <mergeCell ref="B2247:I2247"/>
    <mergeCell ref="B2248:D2248"/>
    <mergeCell ref="B2249:D2249"/>
    <mergeCell ref="C2276:F2276"/>
    <mergeCell ref="C2277:F2277"/>
    <mergeCell ref="H2277:I2277"/>
    <mergeCell ref="C2278:F2278"/>
    <mergeCell ref="H2278:I2278"/>
    <mergeCell ref="B2279:E2279"/>
    <mergeCell ref="F2279:I2279"/>
    <mergeCell ref="B2268:H2268"/>
    <mergeCell ref="B2269:I2269"/>
    <mergeCell ref="B2270:H2270"/>
    <mergeCell ref="B2271:I2271"/>
    <mergeCell ref="B2272:B2275"/>
    <mergeCell ref="C2272:F2275"/>
    <mergeCell ref="G2272:I2272"/>
    <mergeCell ref="G2273:I2273"/>
    <mergeCell ref="H2274:I2274"/>
    <mergeCell ref="B2262:I2262"/>
    <mergeCell ref="B2263:I2263"/>
    <mergeCell ref="B2264:C2264"/>
    <mergeCell ref="B2265:C2265"/>
    <mergeCell ref="B2266:C2266"/>
    <mergeCell ref="B2267:C2267"/>
    <mergeCell ref="C2289:H2289"/>
    <mergeCell ref="C2290:H2290"/>
    <mergeCell ref="B2291:I2291"/>
    <mergeCell ref="B2292:I2292"/>
    <mergeCell ref="B2293:D2293"/>
    <mergeCell ref="B2294:D2294"/>
    <mergeCell ref="B2284:C2284"/>
    <mergeCell ref="D2284:G2284"/>
    <mergeCell ref="B2285:I2285"/>
    <mergeCell ref="F2286:H2286"/>
    <mergeCell ref="F2287:H2287"/>
    <mergeCell ref="C2288:I2288"/>
    <mergeCell ref="B2280:I2280"/>
    <mergeCell ref="B2281:C2281"/>
    <mergeCell ref="D2281:D2282"/>
    <mergeCell ref="E2281:I2282"/>
    <mergeCell ref="B2282:C2282"/>
    <mergeCell ref="B2283:I2283"/>
    <mergeCell ref="B2307:I2307"/>
    <mergeCell ref="B2308:I2308"/>
    <mergeCell ref="B2309:C2309"/>
    <mergeCell ref="B2310:C2310"/>
    <mergeCell ref="B2311:C2311"/>
    <mergeCell ref="B2312:C2312"/>
    <mergeCell ref="B2301:H2301"/>
    <mergeCell ref="B2302:I2302"/>
    <mergeCell ref="B2303:I2303"/>
    <mergeCell ref="B2304:D2304"/>
    <mergeCell ref="B2305:D2305"/>
    <mergeCell ref="B2306:H2306"/>
    <mergeCell ref="B2295:D2295"/>
    <mergeCell ref="B2296:H2296"/>
    <mergeCell ref="B2297:I2297"/>
    <mergeCell ref="B2298:I2298"/>
    <mergeCell ref="B2299:D2299"/>
    <mergeCell ref="B2300:D2300"/>
    <mergeCell ref="B2325:I2325"/>
    <mergeCell ref="B2326:C2326"/>
    <mergeCell ref="D2326:D2327"/>
    <mergeCell ref="E2326:I2327"/>
    <mergeCell ref="B2327:C2327"/>
    <mergeCell ref="B2328:I2328"/>
    <mergeCell ref="C2321:F2321"/>
    <mergeCell ref="C2322:F2322"/>
    <mergeCell ref="H2322:I2322"/>
    <mergeCell ref="C2323:F2323"/>
    <mergeCell ref="H2323:I2323"/>
    <mergeCell ref="B2324:E2324"/>
    <mergeCell ref="F2324:I2324"/>
    <mergeCell ref="B2313:H2313"/>
    <mergeCell ref="B2314:I2314"/>
    <mergeCell ref="B2315:H2315"/>
    <mergeCell ref="B2316:I2316"/>
    <mergeCell ref="B2317:B2320"/>
    <mergeCell ref="C2317:F2320"/>
    <mergeCell ref="G2317:I2317"/>
    <mergeCell ref="G2318:I2318"/>
    <mergeCell ref="H2319:I2319"/>
    <mergeCell ref="B2340:D2340"/>
    <mergeCell ref="B2341:H2341"/>
    <mergeCell ref="B2342:I2342"/>
    <mergeCell ref="B2343:I2343"/>
    <mergeCell ref="B2344:D2344"/>
    <mergeCell ref="B2345:D2345"/>
    <mergeCell ref="C2334:H2334"/>
    <mergeCell ref="C2335:H2335"/>
    <mergeCell ref="B2336:I2336"/>
    <mergeCell ref="B2337:I2337"/>
    <mergeCell ref="B2338:D2338"/>
    <mergeCell ref="B2339:D2339"/>
    <mergeCell ref="B2329:C2329"/>
    <mergeCell ref="D2329:G2329"/>
    <mergeCell ref="B2330:I2330"/>
    <mergeCell ref="F2331:H2331"/>
    <mergeCell ref="F2332:H2332"/>
    <mergeCell ref="C2333:I2333"/>
    <mergeCell ref="B2358:H2358"/>
    <mergeCell ref="B2359:I2359"/>
    <mergeCell ref="B2360:H2360"/>
    <mergeCell ref="B2361:I2361"/>
    <mergeCell ref="B2362:B2365"/>
    <mergeCell ref="C2362:F2365"/>
    <mergeCell ref="G2362:I2362"/>
    <mergeCell ref="G2363:I2363"/>
    <mergeCell ref="H2364:I2364"/>
    <mergeCell ref="B2352:I2352"/>
    <mergeCell ref="B2353:I2353"/>
    <mergeCell ref="B2354:C2354"/>
    <mergeCell ref="B2355:C2355"/>
    <mergeCell ref="B2356:C2356"/>
    <mergeCell ref="B2357:C2357"/>
    <mergeCell ref="B2346:H2346"/>
    <mergeCell ref="B2347:I2347"/>
    <mergeCell ref="B2348:I2348"/>
    <mergeCell ref="B2349:D2349"/>
    <mergeCell ref="B2350:D2350"/>
    <mergeCell ref="B2351:H2351"/>
    <mergeCell ref="B2374:C2374"/>
    <mergeCell ref="D2374:G2374"/>
    <mergeCell ref="B2375:I2375"/>
    <mergeCell ref="F2376:H2376"/>
    <mergeCell ref="F2377:H2377"/>
    <mergeCell ref="C2378:I2378"/>
    <mergeCell ref="B2370:I2370"/>
    <mergeCell ref="B2371:C2371"/>
    <mergeCell ref="D2371:D2372"/>
    <mergeCell ref="E2371:I2372"/>
    <mergeCell ref="B2372:C2372"/>
    <mergeCell ref="B2373:I2373"/>
    <mergeCell ref="C2366:F2366"/>
    <mergeCell ref="C2367:F2367"/>
    <mergeCell ref="H2367:I2367"/>
    <mergeCell ref="C2368:F2368"/>
    <mergeCell ref="H2368:I2368"/>
    <mergeCell ref="B2369:E2369"/>
    <mergeCell ref="F2369:I2369"/>
    <mergeCell ref="B2391:H2391"/>
    <mergeCell ref="B2392:I2392"/>
    <mergeCell ref="B2393:I2393"/>
    <mergeCell ref="B2394:D2394"/>
    <mergeCell ref="B2395:D2395"/>
    <mergeCell ref="B2396:H2396"/>
    <mergeCell ref="B2385:D2385"/>
    <mergeCell ref="B2386:H2386"/>
    <mergeCell ref="B2387:I2387"/>
    <mergeCell ref="B2388:I2388"/>
    <mergeCell ref="B2389:D2389"/>
    <mergeCell ref="B2390:D2390"/>
    <mergeCell ref="C2379:H2379"/>
    <mergeCell ref="C2380:H2380"/>
    <mergeCell ref="B2381:I2381"/>
    <mergeCell ref="B2382:I2382"/>
    <mergeCell ref="B2383:D2383"/>
    <mergeCell ref="B2384:D2384"/>
    <mergeCell ref="C2411:F2411"/>
    <mergeCell ref="C2412:F2412"/>
    <mergeCell ref="H2412:I2412"/>
    <mergeCell ref="C2413:F2413"/>
    <mergeCell ref="H2413:I2413"/>
    <mergeCell ref="B2414:E2414"/>
    <mergeCell ref="F2414:I2414"/>
    <mergeCell ref="B2403:H2403"/>
    <mergeCell ref="B2404:I2404"/>
    <mergeCell ref="B2405:H2405"/>
    <mergeCell ref="B2406:I2406"/>
    <mergeCell ref="B2407:B2410"/>
    <mergeCell ref="C2407:F2410"/>
    <mergeCell ref="G2407:I2407"/>
    <mergeCell ref="G2408:I2408"/>
    <mergeCell ref="H2409:I2409"/>
    <mergeCell ref="B2397:I2397"/>
    <mergeCell ref="B2398:I2398"/>
    <mergeCell ref="B2399:C2399"/>
    <mergeCell ref="B2400:C2400"/>
    <mergeCell ref="B2401:C2401"/>
    <mergeCell ref="B2402:C2402"/>
    <mergeCell ref="C2424:H2424"/>
    <mergeCell ref="C2425:H2425"/>
    <mergeCell ref="B2426:I2426"/>
    <mergeCell ref="B2427:I2427"/>
    <mergeCell ref="B2428:D2428"/>
    <mergeCell ref="B2429:D2429"/>
    <mergeCell ref="B2419:C2419"/>
    <mergeCell ref="D2419:G2419"/>
    <mergeCell ref="B2420:I2420"/>
    <mergeCell ref="F2421:H2421"/>
    <mergeCell ref="F2422:H2422"/>
    <mergeCell ref="C2423:I2423"/>
    <mergeCell ref="B2415:I2415"/>
    <mergeCell ref="B2416:C2416"/>
    <mergeCell ref="D2416:D2417"/>
    <mergeCell ref="E2416:I2417"/>
    <mergeCell ref="B2417:C2417"/>
    <mergeCell ref="B2418:I2418"/>
    <mergeCell ref="B2442:I2442"/>
    <mergeCell ref="B2443:I2443"/>
    <mergeCell ref="B2444:C2444"/>
    <mergeCell ref="B2445:C2445"/>
    <mergeCell ref="B2446:C2446"/>
    <mergeCell ref="B2447:C2447"/>
    <mergeCell ref="B2436:H2436"/>
    <mergeCell ref="B2437:I2437"/>
    <mergeCell ref="B2438:I2438"/>
    <mergeCell ref="B2439:D2439"/>
    <mergeCell ref="B2440:D2440"/>
    <mergeCell ref="B2441:H2441"/>
    <mergeCell ref="B2430:D2430"/>
    <mergeCell ref="B2431:H2431"/>
    <mergeCell ref="B2432:I2432"/>
    <mergeCell ref="B2433:I2433"/>
    <mergeCell ref="B2434:D2434"/>
    <mergeCell ref="B2435:D2435"/>
    <mergeCell ref="B2460:I2460"/>
    <mergeCell ref="B2461:C2461"/>
    <mergeCell ref="D2461:D2462"/>
    <mergeCell ref="E2461:I2462"/>
    <mergeCell ref="B2462:C2462"/>
    <mergeCell ref="B2463:I2463"/>
    <mergeCell ref="C2456:F2456"/>
    <mergeCell ref="C2457:F2457"/>
    <mergeCell ref="H2457:I2457"/>
    <mergeCell ref="C2458:F2458"/>
    <mergeCell ref="H2458:I2458"/>
    <mergeCell ref="B2459:E2459"/>
    <mergeCell ref="F2459:I2459"/>
    <mergeCell ref="B2448:H2448"/>
    <mergeCell ref="B2449:I2449"/>
    <mergeCell ref="B2450:H2450"/>
    <mergeCell ref="B2451:I2451"/>
    <mergeCell ref="B2452:B2455"/>
    <mergeCell ref="C2452:F2455"/>
    <mergeCell ref="G2452:I2452"/>
    <mergeCell ref="G2453:I2453"/>
    <mergeCell ref="H2454:I2454"/>
    <mergeCell ref="B2475:D2475"/>
    <mergeCell ref="B2476:H2476"/>
    <mergeCell ref="B2477:I2477"/>
    <mergeCell ref="B2478:I2478"/>
    <mergeCell ref="B2479:D2479"/>
    <mergeCell ref="B2480:D2480"/>
    <mergeCell ref="C2469:H2469"/>
    <mergeCell ref="C2470:H2470"/>
    <mergeCell ref="B2471:I2471"/>
    <mergeCell ref="B2472:I2472"/>
    <mergeCell ref="B2473:D2473"/>
    <mergeCell ref="B2474:D2474"/>
    <mergeCell ref="B2464:C2464"/>
    <mergeCell ref="D2464:G2464"/>
    <mergeCell ref="B2465:I2465"/>
    <mergeCell ref="F2466:H2466"/>
    <mergeCell ref="F2467:H2467"/>
    <mergeCell ref="C2468:I2468"/>
    <mergeCell ref="B2493:H2493"/>
    <mergeCell ref="B2494:I2494"/>
    <mergeCell ref="B2495:H2495"/>
    <mergeCell ref="B2496:I2496"/>
    <mergeCell ref="B2497:B2500"/>
    <mergeCell ref="C2497:F2500"/>
    <mergeCell ref="G2497:I2497"/>
    <mergeCell ref="G2498:I2498"/>
    <mergeCell ref="H2499:I2499"/>
    <mergeCell ref="B2487:I2487"/>
    <mergeCell ref="B2488:I2488"/>
    <mergeCell ref="B2489:C2489"/>
    <mergeCell ref="B2490:C2490"/>
    <mergeCell ref="B2491:C2491"/>
    <mergeCell ref="B2492:C2492"/>
    <mergeCell ref="B2481:H2481"/>
    <mergeCell ref="B2482:I2482"/>
    <mergeCell ref="B2483:I2483"/>
    <mergeCell ref="B2484:D2484"/>
    <mergeCell ref="B2485:D2485"/>
    <mergeCell ref="B2486:H2486"/>
    <mergeCell ref="B2509:C2509"/>
    <mergeCell ref="D2509:G2509"/>
    <mergeCell ref="B2510:I2510"/>
    <mergeCell ref="F2511:H2511"/>
    <mergeCell ref="F2512:H2512"/>
    <mergeCell ref="C2513:I2513"/>
    <mergeCell ref="B2505:I2505"/>
    <mergeCell ref="B2506:C2506"/>
    <mergeCell ref="D2506:D2507"/>
    <mergeCell ref="E2506:I2507"/>
    <mergeCell ref="B2507:C2507"/>
    <mergeCell ref="B2508:I2508"/>
    <mergeCell ref="C2501:F2501"/>
    <mergeCell ref="C2502:F2502"/>
    <mergeCell ref="H2502:I2502"/>
    <mergeCell ref="C2503:F2503"/>
    <mergeCell ref="H2503:I2503"/>
    <mergeCell ref="B2504:E2504"/>
    <mergeCell ref="F2504:I2504"/>
    <mergeCell ref="B2526:H2526"/>
    <mergeCell ref="B2527:I2527"/>
    <mergeCell ref="B2528:I2528"/>
    <mergeCell ref="B2529:D2529"/>
    <mergeCell ref="B2530:D2530"/>
    <mergeCell ref="B2531:H2531"/>
    <mergeCell ref="B2520:D2520"/>
    <mergeCell ref="B2521:H2521"/>
    <mergeCell ref="B2522:I2522"/>
    <mergeCell ref="B2523:I2523"/>
    <mergeCell ref="B2524:D2524"/>
    <mergeCell ref="B2525:D2525"/>
    <mergeCell ref="C2514:H2514"/>
    <mergeCell ref="C2515:H2515"/>
    <mergeCell ref="B2516:I2516"/>
    <mergeCell ref="B2517:I2517"/>
    <mergeCell ref="B2518:D2518"/>
    <mergeCell ref="B2519:D2519"/>
    <mergeCell ref="C2546:F2546"/>
    <mergeCell ref="C2547:F2547"/>
    <mergeCell ref="H2547:I2547"/>
    <mergeCell ref="C2548:F2548"/>
    <mergeCell ref="H2548:I2548"/>
    <mergeCell ref="B2549:E2549"/>
    <mergeCell ref="F2549:I2549"/>
    <mergeCell ref="B2538:H2538"/>
    <mergeCell ref="B2539:I2539"/>
    <mergeCell ref="B2540:H2540"/>
    <mergeCell ref="B2541:I2541"/>
    <mergeCell ref="B2542:B2545"/>
    <mergeCell ref="C2542:F2545"/>
    <mergeCell ref="G2542:I2542"/>
    <mergeCell ref="G2543:I2543"/>
    <mergeCell ref="H2544:I2544"/>
    <mergeCell ref="B2532:I2532"/>
    <mergeCell ref="B2533:I2533"/>
    <mergeCell ref="B2534:C2534"/>
    <mergeCell ref="B2535:C2535"/>
    <mergeCell ref="B2536:C2536"/>
    <mergeCell ref="B2537:C2537"/>
    <mergeCell ref="C2559:H2559"/>
    <mergeCell ref="C2560:H2560"/>
    <mergeCell ref="B2561:I2561"/>
    <mergeCell ref="B2562:I2562"/>
    <mergeCell ref="B2563:D2563"/>
    <mergeCell ref="B2564:D2564"/>
    <mergeCell ref="B2554:C2554"/>
    <mergeCell ref="D2554:G2554"/>
    <mergeCell ref="B2555:I2555"/>
    <mergeCell ref="F2556:H2556"/>
    <mergeCell ref="F2557:H2557"/>
    <mergeCell ref="C2558:I2558"/>
    <mergeCell ref="B2550:I2550"/>
    <mergeCell ref="B2551:C2551"/>
    <mergeCell ref="D2551:D2552"/>
    <mergeCell ref="E2551:I2552"/>
    <mergeCell ref="B2552:C2552"/>
    <mergeCell ref="B2553:I2553"/>
    <mergeCell ref="B2577:I2577"/>
    <mergeCell ref="B2578:I2578"/>
    <mergeCell ref="B2579:C2579"/>
    <mergeCell ref="B2580:C2580"/>
    <mergeCell ref="B2581:C2581"/>
    <mergeCell ref="B2582:C2582"/>
    <mergeCell ref="B2571:H2571"/>
    <mergeCell ref="B2572:I2572"/>
    <mergeCell ref="B2573:I2573"/>
    <mergeCell ref="B2574:D2574"/>
    <mergeCell ref="B2575:D2575"/>
    <mergeCell ref="B2576:H2576"/>
    <mergeCell ref="B2565:D2565"/>
    <mergeCell ref="B2566:H2566"/>
    <mergeCell ref="B2567:I2567"/>
    <mergeCell ref="B2568:I2568"/>
    <mergeCell ref="B2569:D2569"/>
    <mergeCell ref="B2570:D2570"/>
    <mergeCell ref="B2595:I2595"/>
    <mergeCell ref="B2596:C2596"/>
    <mergeCell ref="D2596:D2597"/>
    <mergeCell ref="E2596:I2597"/>
    <mergeCell ref="B2597:C2597"/>
    <mergeCell ref="B2598:I2598"/>
    <mergeCell ref="C2591:F2591"/>
    <mergeCell ref="C2592:F2592"/>
    <mergeCell ref="H2592:I2592"/>
    <mergeCell ref="C2593:F2593"/>
    <mergeCell ref="H2593:I2593"/>
    <mergeCell ref="B2594:E2594"/>
    <mergeCell ref="F2594:I2594"/>
    <mergeCell ref="B2583:H2583"/>
    <mergeCell ref="B2584:I2584"/>
    <mergeCell ref="B2585:H2585"/>
    <mergeCell ref="B2586:I2586"/>
    <mergeCell ref="B2587:B2590"/>
    <mergeCell ref="C2587:F2590"/>
    <mergeCell ref="G2587:I2587"/>
    <mergeCell ref="G2588:I2588"/>
    <mergeCell ref="H2589:I2589"/>
    <mergeCell ref="B2610:D2610"/>
    <mergeCell ref="B2611:H2611"/>
    <mergeCell ref="B2612:I2612"/>
    <mergeCell ref="B2613:I2613"/>
    <mergeCell ref="B2614:D2614"/>
    <mergeCell ref="B2615:D2615"/>
    <mergeCell ref="C2604:H2604"/>
    <mergeCell ref="C2605:H2605"/>
    <mergeCell ref="B2606:I2606"/>
    <mergeCell ref="B2607:I2607"/>
    <mergeCell ref="B2608:D2608"/>
    <mergeCell ref="B2609:D2609"/>
    <mergeCell ref="B2599:C2599"/>
    <mergeCell ref="D2599:G2599"/>
    <mergeCell ref="B2600:I2600"/>
    <mergeCell ref="F2601:H2601"/>
    <mergeCell ref="F2602:H2602"/>
    <mergeCell ref="C2603:I2603"/>
    <mergeCell ref="B2628:H2628"/>
    <mergeCell ref="B2629:I2629"/>
    <mergeCell ref="B2630:H2630"/>
    <mergeCell ref="B2631:I2631"/>
    <mergeCell ref="B2632:B2635"/>
    <mergeCell ref="C2632:F2635"/>
    <mergeCell ref="G2632:I2632"/>
    <mergeCell ref="G2633:I2633"/>
    <mergeCell ref="H2634:I2634"/>
    <mergeCell ref="B2622:I2622"/>
    <mergeCell ref="B2623:I2623"/>
    <mergeCell ref="B2624:C2624"/>
    <mergeCell ref="B2625:C2625"/>
    <mergeCell ref="B2626:C2626"/>
    <mergeCell ref="B2627:C2627"/>
    <mergeCell ref="B2616:H2616"/>
    <mergeCell ref="B2617:I2617"/>
    <mergeCell ref="B2618:I2618"/>
    <mergeCell ref="B2619:D2619"/>
    <mergeCell ref="B2620:D2620"/>
    <mergeCell ref="B2621:H2621"/>
    <mergeCell ref="B2644:C2644"/>
    <mergeCell ref="D2644:G2644"/>
    <mergeCell ref="B2645:I2645"/>
    <mergeCell ref="F2646:H2646"/>
    <mergeCell ref="F2647:H2647"/>
    <mergeCell ref="C2648:I2648"/>
    <mergeCell ref="B2640:I2640"/>
    <mergeCell ref="B2641:C2641"/>
    <mergeCell ref="D2641:D2642"/>
    <mergeCell ref="E2641:I2642"/>
    <mergeCell ref="B2642:C2642"/>
    <mergeCell ref="B2643:I2643"/>
    <mergeCell ref="C2636:F2636"/>
    <mergeCell ref="C2637:F2637"/>
    <mergeCell ref="H2637:I2637"/>
    <mergeCell ref="C2638:F2638"/>
    <mergeCell ref="H2638:I2638"/>
    <mergeCell ref="B2639:E2639"/>
    <mergeCell ref="F2639:I2639"/>
    <mergeCell ref="B2661:H2661"/>
    <mergeCell ref="B2662:I2662"/>
    <mergeCell ref="B2663:I2663"/>
    <mergeCell ref="B2664:D2664"/>
    <mergeCell ref="B2665:D2665"/>
    <mergeCell ref="B2666:H2666"/>
    <mergeCell ref="B2655:D2655"/>
    <mergeCell ref="B2656:H2656"/>
    <mergeCell ref="B2657:I2657"/>
    <mergeCell ref="B2658:I2658"/>
    <mergeCell ref="B2659:D2659"/>
    <mergeCell ref="B2660:D2660"/>
    <mergeCell ref="C2649:H2649"/>
    <mergeCell ref="C2650:H2650"/>
    <mergeCell ref="B2651:I2651"/>
    <mergeCell ref="B2652:I2652"/>
    <mergeCell ref="B2653:D2653"/>
    <mergeCell ref="B2654:D2654"/>
    <mergeCell ref="C2681:F2681"/>
    <mergeCell ref="C2682:F2682"/>
    <mergeCell ref="H2682:I2682"/>
    <mergeCell ref="C2683:F2683"/>
    <mergeCell ref="H2683:I2683"/>
    <mergeCell ref="B2684:I2684"/>
    <mergeCell ref="B2673:H2673"/>
    <mergeCell ref="B2674:I2674"/>
    <mergeCell ref="B2675:H2675"/>
    <mergeCell ref="B2676:I2676"/>
    <mergeCell ref="B2677:B2680"/>
    <mergeCell ref="C2677:F2680"/>
    <mergeCell ref="G2677:I2677"/>
    <mergeCell ref="G2678:I2678"/>
    <mergeCell ref="H2679:I2679"/>
    <mergeCell ref="B2667:I2667"/>
    <mergeCell ref="B2668:I2668"/>
    <mergeCell ref="B2669:C2669"/>
    <mergeCell ref="B2670:C2670"/>
    <mergeCell ref="B2671:C2671"/>
    <mergeCell ref="B2672:C2672"/>
    <mergeCell ref="C2694:I2694"/>
    <mergeCell ref="C2695:H2695"/>
    <mergeCell ref="C2696:H2696"/>
    <mergeCell ref="B2697:I2697"/>
    <mergeCell ref="B2698:I2698"/>
    <mergeCell ref="B2699:D2699"/>
    <mergeCell ref="B2689:I2689"/>
    <mergeCell ref="B2690:C2690"/>
    <mergeCell ref="D2690:G2690"/>
    <mergeCell ref="B2691:I2691"/>
    <mergeCell ref="F2692:H2692"/>
    <mergeCell ref="F2693:H2693"/>
    <mergeCell ref="B2685:E2685"/>
    <mergeCell ref="F2685:I2685"/>
    <mergeCell ref="B2686:I2686"/>
    <mergeCell ref="B2687:C2687"/>
    <mergeCell ref="D2687:D2688"/>
    <mergeCell ref="E2687:I2688"/>
    <mergeCell ref="B2688:C2688"/>
    <mergeCell ref="B2712:H2712"/>
    <mergeCell ref="B2713:I2713"/>
    <mergeCell ref="B2714:I2714"/>
    <mergeCell ref="B2715:C2715"/>
    <mergeCell ref="B2716:C2716"/>
    <mergeCell ref="B2717:C2717"/>
    <mergeCell ref="B2706:D2706"/>
    <mergeCell ref="B2707:H2707"/>
    <mergeCell ref="B2708:I2708"/>
    <mergeCell ref="B2709:I2709"/>
    <mergeCell ref="B2710:D2710"/>
    <mergeCell ref="B2711:D2711"/>
    <mergeCell ref="B2700:D2700"/>
    <mergeCell ref="B2701:D2701"/>
    <mergeCell ref="B2702:H2702"/>
    <mergeCell ref="B2703:I2703"/>
    <mergeCell ref="B2704:I2704"/>
    <mergeCell ref="B2705:D2705"/>
    <mergeCell ref="B2731:I2731"/>
    <mergeCell ref="B2732:C2732"/>
    <mergeCell ref="D2732:D2733"/>
    <mergeCell ref="E2732:I2733"/>
    <mergeCell ref="B2733:C2733"/>
    <mergeCell ref="B2734:I2734"/>
    <mergeCell ref="C2727:F2727"/>
    <mergeCell ref="C2728:F2728"/>
    <mergeCell ref="H2728:I2728"/>
    <mergeCell ref="C2729:F2729"/>
    <mergeCell ref="H2729:I2729"/>
    <mergeCell ref="B2730:E2730"/>
    <mergeCell ref="F2730:I2730"/>
    <mergeCell ref="B2718:C2718"/>
    <mergeCell ref="B2719:H2719"/>
    <mergeCell ref="B2720:I2720"/>
    <mergeCell ref="B2721:H2721"/>
    <mergeCell ref="B2722:I2722"/>
    <mergeCell ref="B2723:B2726"/>
    <mergeCell ref="C2723:F2726"/>
    <mergeCell ref="G2723:I2723"/>
    <mergeCell ref="G2724:I2724"/>
    <mergeCell ref="H2725:I2725"/>
    <mergeCell ref="B2746:D2746"/>
    <mergeCell ref="B2747:H2747"/>
    <mergeCell ref="B2748:I2748"/>
    <mergeCell ref="B2749:I2749"/>
    <mergeCell ref="B2750:D2750"/>
    <mergeCell ref="B2751:D2751"/>
    <mergeCell ref="C2740:H2740"/>
    <mergeCell ref="C2741:H2741"/>
    <mergeCell ref="B2742:I2742"/>
    <mergeCell ref="B2743:I2743"/>
    <mergeCell ref="B2744:D2744"/>
    <mergeCell ref="B2745:D2745"/>
    <mergeCell ref="B2735:C2735"/>
    <mergeCell ref="D2735:G2735"/>
    <mergeCell ref="B2736:I2736"/>
    <mergeCell ref="F2737:H2737"/>
    <mergeCell ref="F2738:H2738"/>
    <mergeCell ref="C2739:I2739"/>
    <mergeCell ref="B2764:H2764"/>
    <mergeCell ref="B2765:I2765"/>
    <mergeCell ref="B2766:H2766"/>
    <mergeCell ref="B2767:I2767"/>
    <mergeCell ref="B2768:B2771"/>
    <mergeCell ref="C2768:F2771"/>
    <mergeCell ref="G2768:I2768"/>
    <mergeCell ref="G2769:I2769"/>
    <mergeCell ref="H2770:I2770"/>
    <mergeCell ref="B2758:I2758"/>
    <mergeCell ref="B2759:I2759"/>
    <mergeCell ref="B2760:C2760"/>
    <mergeCell ref="B2761:C2761"/>
    <mergeCell ref="B2762:C2762"/>
    <mergeCell ref="B2763:C2763"/>
    <mergeCell ref="B2752:H2752"/>
    <mergeCell ref="B2753:I2753"/>
    <mergeCell ref="B2754:I2754"/>
    <mergeCell ref="B2755:D2755"/>
    <mergeCell ref="B2756:D2756"/>
    <mergeCell ref="B2757:H2757"/>
    <mergeCell ref="B2780:C2780"/>
    <mergeCell ref="D2780:G2780"/>
    <mergeCell ref="B2781:I2781"/>
    <mergeCell ref="F2782:H2782"/>
    <mergeCell ref="F2783:H2783"/>
    <mergeCell ref="C2784:I2784"/>
    <mergeCell ref="B2776:I2776"/>
    <mergeCell ref="B2777:C2777"/>
    <mergeCell ref="D2777:D2778"/>
    <mergeCell ref="E2777:I2778"/>
    <mergeCell ref="B2778:C2778"/>
    <mergeCell ref="B2779:I2779"/>
    <mergeCell ref="C2772:F2772"/>
    <mergeCell ref="C2773:F2773"/>
    <mergeCell ref="H2773:I2773"/>
    <mergeCell ref="C2774:F2774"/>
    <mergeCell ref="H2774:I2774"/>
    <mergeCell ref="B2775:E2775"/>
    <mergeCell ref="F2775:I2775"/>
    <mergeCell ref="B2797:H2797"/>
    <mergeCell ref="B2798:I2798"/>
    <mergeCell ref="B2799:I2799"/>
    <mergeCell ref="B2800:D2800"/>
    <mergeCell ref="B2801:D2801"/>
    <mergeCell ref="B2802:H2802"/>
    <mergeCell ref="B2791:D2791"/>
    <mergeCell ref="B2792:H2792"/>
    <mergeCell ref="B2793:I2793"/>
    <mergeCell ref="B2794:I2794"/>
    <mergeCell ref="B2795:D2795"/>
    <mergeCell ref="B2796:D2796"/>
    <mergeCell ref="C2785:H2785"/>
    <mergeCell ref="C2786:H2786"/>
    <mergeCell ref="B2787:I2787"/>
    <mergeCell ref="B2788:I2788"/>
    <mergeCell ref="B2789:D2789"/>
    <mergeCell ref="B2790:D2790"/>
    <mergeCell ref="C2817:F2817"/>
    <mergeCell ref="C2818:F2818"/>
    <mergeCell ref="H2818:I2818"/>
    <mergeCell ref="C2819:F2819"/>
    <mergeCell ref="H2819:I2819"/>
    <mergeCell ref="B2820:E2820"/>
    <mergeCell ref="F2820:I2820"/>
    <mergeCell ref="B2809:H2809"/>
    <mergeCell ref="B2810:I2810"/>
    <mergeCell ref="B2811:H2811"/>
    <mergeCell ref="B2812:I2812"/>
    <mergeCell ref="B2813:B2816"/>
    <mergeCell ref="C2813:F2816"/>
    <mergeCell ref="G2813:I2813"/>
    <mergeCell ref="G2814:I2814"/>
    <mergeCell ref="H2815:I2815"/>
    <mergeCell ref="B2803:I2803"/>
    <mergeCell ref="B2804:I2804"/>
    <mergeCell ref="B2805:C2805"/>
    <mergeCell ref="B2806:C2806"/>
    <mergeCell ref="B2807:C2807"/>
    <mergeCell ref="B2808:C2808"/>
    <mergeCell ref="C2830:H2830"/>
    <mergeCell ref="C2831:H2831"/>
    <mergeCell ref="B2832:I2832"/>
    <mergeCell ref="B2833:I2833"/>
    <mergeCell ref="B2834:D2834"/>
    <mergeCell ref="B2835:D2835"/>
    <mergeCell ref="B2825:C2825"/>
    <mergeCell ref="D2825:G2825"/>
    <mergeCell ref="B2826:I2826"/>
    <mergeCell ref="F2827:H2827"/>
    <mergeCell ref="F2828:H2828"/>
    <mergeCell ref="C2829:I2829"/>
    <mergeCell ref="B2821:I2821"/>
    <mergeCell ref="B2822:C2822"/>
    <mergeCell ref="D2822:D2823"/>
    <mergeCell ref="E2822:I2823"/>
    <mergeCell ref="B2823:C2823"/>
    <mergeCell ref="B2824:I2824"/>
    <mergeCell ref="B2848:I2848"/>
    <mergeCell ref="B2849:I2849"/>
    <mergeCell ref="B2850:C2850"/>
    <mergeCell ref="B2851:C2851"/>
    <mergeCell ref="B2852:C2852"/>
    <mergeCell ref="B2853:C2853"/>
    <mergeCell ref="B2842:H2842"/>
    <mergeCell ref="B2843:I2843"/>
    <mergeCell ref="B2844:I2844"/>
    <mergeCell ref="B2845:D2845"/>
    <mergeCell ref="B2846:D2846"/>
    <mergeCell ref="B2847:H2847"/>
    <mergeCell ref="B2836:D2836"/>
    <mergeCell ref="B2837:H2837"/>
    <mergeCell ref="B2838:I2838"/>
    <mergeCell ref="B2839:I2839"/>
    <mergeCell ref="B2840:D2840"/>
    <mergeCell ref="B2841:D2841"/>
    <mergeCell ref="B2866:I2866"/>
    <mergeCell ref="B2867:C2867"/>
    <mergeCell ref="D2867:D2868"/>
    <mergeCell ref="E2867:I2868"/>
    <mergeCell ref="B2868:C2868"/>
    <mergeCell ref="B2869:I2869"/>
    <mergeCell ref="C2862:F2862"/>
    <mergeCell ref="C2863:F2863"/>
    <mergeCell ref="H2863:I2863"/>
    <mergeCell ref="C2864:F2864"/>
    <mergeCell ref="H2864:I2864"/>
    <mergeCell ref="B2865:E2865"/>
    <mergeCell ref="F2865:I2865"/>
    <mergeCell ref="B2854:H2854"/>
    <mergeCell ref="B2855:I2855"/>
    <mergeCell ref="B2856:H2856"/>
    <mergeCell ref="B2857:I2857"/>
    <mergeCell ref="B2858:B2861"/>
    <mergeCell ref="C2858:F2861"/>
    <mergeCell ref="G2858:I2858"/>
    <mergeCell ref="G2859:I2859"/>
    <mergeCell ref="H2860:I2860"/>
    <mergeCell ref="B2881:D2881"/>
    <mergeCell ref="B2882:H2882"/>
    <mergeCell ref="B2883:I2883"/>
    <mergeCell ref="B2884:I2884"/>
    <mergeCell ref="B2885:D2885"/>
    <mergeCell ref="B2886:D2886"/>
    <mergeCell ref="C2875:H2875"/>
    <mergeCell ref="C2876:H2876"/>
    <mergeCell ref="B2877:I2877"/>
    <mergeCell ref="B2878:I2878"/>
    <mergeCell ref="B2879:D2879"/>
    <mergeCell ref="B2880:D2880"/>
    <mergeCell ref="B2870:C2870"/>
    <mergeCell ref="D2870:G2870"/>
    <mergeCell ref="B2871:I2871"/>
    <mergeCell ref="F2872:H2872"/>
    <mergeCell ref="F2873:H2873"/>
    <mergeCell ref="C2874:I2874"/>
    <mergeCell ref="B2899:H2899"/>
    <mergeCell ref="B2900:I2900"/>
    <mergeCell ref="B2901:H2901"/>
    <mergeCell ref="B2902:I2902"/>
    <mergeCell ref="B2903:B2906"/>
    <mergeCell ref="C2903:F2906"/>
    <mergeCell ref="G2903:I2903"/>
    <mergeCell ref="G2904:I2904"/>
    <mergeCell ref="H2905:I2905"/>
    <mergeCell ref="B2893:I2893"/>
    <mergeCell ref="B2894:I2894"/>
    <mergeCell ref="B2895:C2895"/>
    <mergeCell ref="B2896:C2896"/>
    <mergeCell ref="B2897:C2897"/>
    <mergeCell ref="B2898:C2898"/>
    <mergeCell ref="B2887:H2887"/>
    <mergeCell ref="B2888:I2888"/>
    <mergeCell ref="B2889:I2889"/>
    <mergeCell ref="B2890:D2890"/>
    <mergeCell ref="B2891:D2891"/>
    <mergeCell ref="B2892:H2892"/>
    <mergeCell ref="B2915:C2915"/>
    <mergeCell ref="D2915:G2915"/>
    <mergeCell ref="B2916:I2916"/>
    <mergeCell ref="F2917:H2917"/>
    <mergeCell ref="F2918:H2918"/>
    <mergeCell ref="C2919:I2919"/>
    <mergeCell ref="B2911:I2911"/>
    <mergeCell ref="B2912:C2912"/>
    <mergeCell ref="D2912:D2913"/>
    <mergeCell ref="E2912:I2913"/>
    <mergeCell ref="B2913:C2913"/>
    <mergeCell ref="B2914:I2914"/>
    <mergeCell ref="C2907:F2907"/>
    <mergeCell ref="C2908:F2908"/>
    <mergeCell ref="H2908:I2908"/>
    <mergeCell ref="C2909:F2909"/>
    <mergeCell ref="H2909:I2909"/>
    <mergeCell ref="B2910:E2910"/>
    <mergeCell ref="F2910:I2910"/>
    <mergeCell ref="B2932:H2932"/>
    <mergeCell ref="B2933:I2933"/>
    <mergeCell ref="B2934:I2934"/>
    <mergeCell ref="B2935:D2935"/>
    <mergeCell ref="B2936:D2936"/>
    <mergeCell ref="B2937:H2937"/>
    <mergeCell ref="B2926:D2926"/>
    <mergeCell ref="B2927:H2927"/>
    <mergeCell ref="B2928:I2928"/>
    <mergeCell ref="B2929:I2929"/>
    <mergeCell ref="B2930:D2930"/>
    <mergeCell ref="B2931:D2931"/>
    <mergeCell ref="C2920:H2920"/>
    <mergeCell ref="C2921:H2921"/>
    <mergeCell ref="B2922:I2922"/>
    <mergeCell ref="B2923:I2923"/>
    <mergeCell ref="B2924:D2924"/>
    <mergeCell ref="B2925:D2925"/>
    <mergeCell ref="C2952:F2952"/>
    <mergeCell ref="C2953:F2953"/>
    <mergeCell ref="H2953:I2953"/>
    <mergeCell ref="C2954:F2954"/>
    <mergeCell ref="H2954:I2954"/>
    <mergeCell ref="B2955:E2955"/>
    <mergeCell ref="F2955:I2955"/>
    <mergeCell ref="B2944:H2944"/>
    <mergeCell ref="B2945:I2945"/>
    <mergeCell ref="B2946:H2946"/>
    <mergeCell ref="B2947:I2947"/>
    <mergeCell ref="B2948:B2951"/>
    <mergeCell ref="C2948:F2951"/>
    <mergeCell ref="G2948:I2948"/>
    <mergeCell ref="G2949:I2949"/>
    <mergeCell ref="H2950:I2950"/>
    <mergeCell ref="B2938:I2938"/>
    <mergeCell ref="B2939:I2939"/>
    <mergeCell ref="B2940:C2940"/>
    <mergeCell ref="B2941:C2941"/>
    <mergeCell ref="B2942:C2942"/>
    <mergeCell ref="B2943:C2943"/>
    <mergeCell ref="C2965:H2965"/>
    <mergeCell ref="C2966:H2966"/>
    <mergeCell ref="B2967:I2967"/>
    <mergeCell ref="B2968:I2968"/>
    <mergeCell ref="B2969:D2969"/>
    <mergeCell ref="B2970:D2970"/>
    <mergeCell ref="B2960:C2960"/>
    <mergeCell ref="D2960:G2960"/>
    <mergeCell ref="B2961:I2961"/>
    <mergeCell ref="F2962:H2962"/>
    <mergeCell ref="F2963:H2963"/>
    <mergeCell ref="C2964:I2964"/>
    <mergeCell ref="B2956:I2956"/>
    <mergeCell ref="B2957:C2957"/>
    <mergeCell ref="D2957:D2958"/>
    <mergeCell ref="E2957:I2958"/>
    <mergeCell ref="B2958:C2958"/>
    <mergeCell ref="B2959:I2959"/>
    <mergeCell ref="B2983:I2983"/>
    <mergeCell ref="B2984:I2984"/>
    <mergeCell ref="B2985:C2985"/>
    <mergeCell ref="B2986:C2986"/>
    <mergeCell ref="B2987:C2987"/>
    <mergeCell ref="B2988:C2988"/>
    <mergeCell ref="B2977:H2977"/>
    <mergeCell ref="B2978:I2978"/>
    <mergeCell ref="B2979:I2979"/>
    <mergeCell ref="B2980:D2980"/>
    <mergeCell ref="B2981:D2981"/>
    <mergeCell ref="B2982:H2982"/>
    <mergeCell ref="B2971:D2971"/>
    <mergeCell ref="B2972:H2972"/>
    <mergeCell ref="B2973:I2973"/>
    <mergeCell ref="B2974:I2974"/>
    <mergeCell ref="B2975:D2975"/>
    <mergeCell ref="B2976:D2976"/>
    <mergeCell ref="B3001:I3001"/>
    <mergeCell ref="B3002:C3002"/>
    <mergeCell ref="D3002:D3003"/>
    <mergeCell ref="E3002:I3003"/>
    <mergeCell ref="B3003:C3003"/>
    <mergeCell ref="B3004:I3004"/>
    <mergeCell ref="C2997:F2997"/>
    <mergeCell ref="C2998:F2998"/>
    <mergeCell ref="H2998:I2998"/>
    <mergeCell ref="C2999:F2999"/>
    <mergeCell ref="H2999:I2999"/>
    <mergeCell ref="B3000:E3000"/>
    <mergeCell ref="F3000:I3000"/>
    <mergeCell ref="B2989:H2989"/>
    <mergeCell ref="B2990:I2990"/>
    <mergeCell ref="B2991:H2991"/>
    <mergeCell ref="B2992:I2992"/>
    <mergeCell ref="B2993:B2996"/>
    <mergeCell ref="C2993:F2996"/>
    <mergeCell ref="G2993:I2993"/>
    <mergeCell ref="G2994:I2994"/>
    <mergeCell ref="H2995:I2995"/>
    <mergeCell ref="B3016:D3016"/>
    <mergeCell ref="B3017:H3017"/>
    <mergeCell ref="B3018:I3018"/>
    <mergeCell ref="B3019:I3019"/>
    <mergeCell ref="B3020:D3020"/>
    <mergeCell ref="B3021:D3021"/>
    <mergeCell ref="C3010:H3010"/>
    <mergeCell ref="C3011:H3011"/>
    <mergeCell ref="B3012:I3012"/>
    <mergeCell ref="B3013:I3013"/>
    <mergeCell ref="B3014:D3014"/>
    <mergeCell ref="B3015:D3015"/>
    <mergeCell ref="B3005:C3005"/>
    <mergeCell ref="D3005:G3005"/>
    <mergeCell ref="B3006:I3006"/>
    <mergeCell ref="F3007:H3007"/>
    <mergeCell ref="F3008:H3008"/>
    <mergeCell ref="C3009:I3009"/>
    <mergeCell ref="B3034:H3034"/>
    <mergeCell ref="B3035:I3035"/>
    <mergeCell ref="B3036:H3036"/>
    <mergeCell ref="B3037:I3037"/>
    <mergeCell ref="B3038:B3041"/>
    <mergeCell ref="C3038:F3041"/>
    <mergeCell ref="G3038:I3038"/>
    <mergeCell ref="G3039:I3039"/>
    <mergeCell ref="H3040:I3040"/>
    <mergeCell ref="B3028:I3028"/>
    <mergeCell ref="B3029:I3029"/>
    <mergeCell ref="B3030:C3030"/>
    <mergeCell ref="B3031:C3031"/>
    <mergeCell ref="B3032:C3032"/>
    <mergeCell ref="B3033:C3033"/>
    <mergeCell ref="B3022:H3022"/>
    <mergeCell ref="B3023:I3023"/>
    <mergeCell ref="B3024:I3024"/>
    <mergeCell ref="B3025:D3025"/>
    <mergeCell ref="B3026:D3026"/>
    <mergeCell ref="B3027:H3027"/>
    <mergeCell ref="B3050:C3050"/>
    <mergeCell ref="D3050:G3050"/>
    <mergeCell ref="B3051:I3051"/>
    <mergeCell ref="F3052:H3052"/>
    <mergeCell ref="F3053:H3053"/>
    <mergeCell ref="C3054:I3054"/>
    <mergeCell ref="B3046:I3046"/>
    <mergeCell ref="B3047:C3047"/>
    <mergeCell ref="D3047:D3048"/>
    <mergeCell ref="E3047:I3048"/>
    <mergeCell ref="B3048:C3048"/>
    <mergeCell ref="B3049:I3049"/>
    <mergeCell ref="C3042:F3042"/>
    <mergeCell ref="C3043:F3043"/>
    <mergeCell ref="H3043:I3043"/>
    <mergeCell ref="C3044:F3044"/>
    <mergeCell ref="H3044:I3044"/>
    <mergeCell ref="B3045:E3045"/>
    <mergeCell ref="F3045:I3045"/>
    <mergeCell ref="B3067:H3067"/>
    <mergeCell ref="B3068:I3068"/>
    <mergeCell ref="B3069:I3069"/>
    <mergeCell ref="B3070:D3070"/>
    <mergeCell ref="B3071:D3071"/>
    <mergeCell ref="B3072:H3072"/>
    <mergeCell ref="B3061:D3061"/>
    <mergeCell ref="B3062:H3062"/>
    <mergeCell ref="B3063:I3063"/>
    <mergeCell ref="B3064:I3064"/>
    <mergeCell ref="B3065:D3065"/>
    <mergeCell ref="B3066:D3066"/>
    <mergeCell ref="C3055:H3055"/>
    <mergeCell ref="C3056:H3056"/>
    <mergeCell ref="B3057:I3057"/>
    <mergeCell ref="B3058:I3058"/>
    <mergeCell ref="B3059:D3059"/>
    <mergeCell ref="B3060:D3060"/>
    <mergeCell ref="C3087:F3087"/>
    <mergeCell ref="C3088:F3088"/>
    <mergeCell ref="H3088:I3088"/>
    <mergeCell ref="C3089:F3089"/>
    <mergeCell ref="H3089:I3089"/>
    <mergeCell ref="B3090:E3090"/>
    <mergeCell ref="F3090:I3090"/>
    <mergeCell ref="B3079:H3079"/>
    <mergeCell ref="B3080:I3080"/>
    <mergeCell ref="B3081:H3081"/>
    <mergeCell ref="B3082:I3082"/>
    <mergeCell ref="B3083:B3086"/>
    <mergeCell ref="C3083:F3086"/>
    <mergeCell ref="G3083:I3083"/>
    <mergeCell ref="G3084:I3084"/>
    <mergeCell ref="H3085:I3085"/>
    <mergeCell ref="B3073:I3073"/>
    <mergeCell ref="B3074:I3074"/>
    <mergeCell ref="B3075:C3075"/>
    <mergeCell ref="B3076:C3076"/>
    <mergeCell ref="B3077:C3077"/>
    <mergeCell ref="B3078:C3078"/>
    <mergeCell ref="C3100:H3100"/>
    <mergeCell ref="C3101:H3101"/>
    <mergeCell ref="B3102:I3102"/>
    <mergeCell ref="B3103:I3103"/>
    <mergeCell ref="B3104:D3104"/>
    <mergeCell ref="B3105:D3105"/>
    <mergeCell ref="B3095:C3095"/>
    <mergeCell ref="D3095:G3095"/>
    <mergeCell ref="B3096:I3096"/>
    <mergeCell ref="F3097:H3097"/>
    <mergeCell ref="F3098:H3098"/>
    <mergeCell ref="C3099:I3099"/>
    <mergeCell ref="B3091:I3091"/>
    <mergeCell ref="B3092:C3092"/>
    <mergeCell ref="D3092:D3093"/>
    <mergeCell ref="E3092:I3093"/>
    <mergeCell ref="B3093:C3093"/>
    <mergeCell ref="B3094:I3094"/>
    <mergeCell ref="B3118:I3118"/>
    <mergeCell ref="B3119:I3119"/>
    <mergeCell ref="B3120:C3120"/>
    <mergeCell ref="B3121:C3121"/>
    <mergeCell ref="B3122:C3122"/>
    <mergeCell ref="B3123:C3123"/>
    <mergeCell ref="B3112:H3112"/>
    <mergeCell ref="B3113:I3113"/>
    <mergeCell ref="B3114:I3114"/>
    <mergeCell ref="B3115:D3115"/>
    <mergeCell ref="B3116:D3116"/>
    <mergeCell ref="B3117:H3117"/>
    <mergeCell ref="B3106:D3106"/>
    <mergeCell ref="B3107:H3107"/>
    <mergeCell ref="B3108:I3108"/>
    <mergeCell ref="B3109:I3109"/>
    <mergeCell ref="B3110:D3110"/>
    <mergeCell ref="B3111:D3111"/>
    <mergeCell ref="B3136:I3136"/>
    <mergeCell ref="B3137:C3137"/>
    <mergeCell ref="D3137:D3138"/>
    <mergeCell ref="E3137:I3138"/>
    <mergeCell ref="B3138:C3138"/>
    <mergeCell ref="B3139:I3139"/>
    <mergeCell ref="C3132:F3132"/>
    <mergeCell ref="C3133:F3133"/>
    <mergeCell ref="H3133:I3133"/>
    <mergeCell ref="C3134:F3134"/>
    <mergeCell ref="H3134:I3134"/>
    <mergeCell ref="B3135:E3135"/>
    <mergeCell ref="F3135:I3135"/>
    <mergeCell ref="B3124:H3124"/>
    <mergeCell ref="B3125:I3125"/>
    <mergeCell ref="B3126:H3126"/>
    <mergeCell ref="B3127:I3127"/>
    <mergeCell ref="B3128:B3131"/>
    <mergeCell ref="C3128:F3131"/>
    <mergeCell ref="G3128:I3128"/>
    <mergeCell ref="G3129:I3129"/>
    <mergeCell ref="H3130:I3130"/>
    <mergeCell ref="B3151:D3151"/>
    <mergeCell ref="B3152:H3152"/>
    <mergeCell ref="B3153:I3153"/>
    <mergeCell ref="B3154:I3154"/>
    <mergeCell ref="B3155:D3155"/>
    <mergeCell ref="B3156:D3156"/>
    <mergeCell ref="C3145:H3145"/>
    <mergeCell ref="C3146:H3146"/>
    <mergeCell ref="B3147:I3147"/>
    <mergeCell ref="B3148:I3148"/>
    <mergeCell ref="B3149:D3149"/>
    <mergeCell ref="B3150:D3150"/>
    <mergeCell ref="B3140:C3140"/>
    <mergeCell ref="D3140:G3140"/>
    <mergeCell ref="B3141:I3141"/>
    <mergeCell ref="F3142:H3142"/>
    <mergeCell ref="F3143:H3143"/>
    <mergeCell ref="C3144:I3144"/>
    <mergeCell ref="B3169:H3169"/>
    <mergeCell ref="B3170:I3170"/>
    <mergeCell ref="B3171:H3171"/>
    <mergeCell ref="B3172:I3172"/>
    <mergeCell ref="B3173:B3176"/>
    <mergeCell ref="C3173:F3176"/>
    <mergeCell ref="G3173:I3173"/>
    <mergeCell ref="G3174:I3174"/>
    <mergeCell ref="H3175:I3175"/>
    <mergeCell ref="B3163:I3163"/>
    <mergeCell ref="B3164:I3164"/>
    <mergeCell ref="B3165:C3165"/>
    <mergeCell ref="B3166:C3166"/>
    <mergeCell ref="B3167:C3167"/>
    <mergeCell ref="B3168:C3168"/>
    <mergeCell ref="B3157:H3157"/>
    <mergeCell ref="B3158:I3158"/>
    <mergeCell ref="B3159:I3159"/>
    <mergeCell ref="B3160:D3160"/>
    <mergeCell ref="B3161:D3161"/>
    <mergeCell ref="B3162:H3162"/>
    <mergeCell ref="B3185:C3185"/>
    <mergeCell ref="D3185:G3185"/>
    <mergeCell ref="B3186:I3186"/>
    <mergeCell ref="F3187:H3187"/>
    <mergeCell ref="F3188:H3188"/>
    <mergeCell ref="C3189:I3189"/>
    <mergeCell ref="B3181:I3181"/>
    <mergeCell ref="B3182:C3182"/>
    <mergeCell ref="D3182:D3183"/>
    <mergeCell ref="E3182:I3183"/>
    <mergeCell ref="B3183:C3183"/>
    <mergeCell ref="B3184:I3184"/>
    <mergeCell ref="C3177:F3177"/>
    <mergeCell ref="C3178:F3178"/>
    <mergeCell ref="H3178:I3178"/>
    <mergeCell ref="C3179:F3179"/>
    <mergeCell ref="H3179:I3179"/>
    <mergeCell ref="B3180:E3180"/>
    <mergeCell ref="F3180:I3180"/>
    <mergeCell ref="B3202:H3202"/>
    <mergeCell ref="B3203:I3203"/>
    <mergeCell ref="B3204:I3204"/>
    <mergeCell ref="B3205:D3205"/>
    <mergeCell ref="B3206:D3206"/>
    <mergeCell ref="B3207:H3207"/>
    <mergeCell ref="B3196:D3196"/>
    <mergeCell ref="B3197:H3197"/>
    <mergeCell ref="B3198:I3198"/>
    <mergeCell ref="B3199:I3199"/>
    <mergeCell ref="B3200:D3200"/>
    <mergeCell ref="B3201:D3201"/>
    <mergeCell ref="C3190:H3190"/>
    <mergeCell ref="C3191:H3191"/>
    <mergeCell ref="B3192:I3192"/>
    <mergeCell ref="B3193:I3193"/>
    <mergeCell ref="B3194:D3194"/>
    <mergeCell ref="B3195:D3195"/>
    <mergeCell ref="C3222:F3222"/>
    <mergeCell ref="C3223:F3223"/>
    <mergeCell ref="H3223:I3223"/>
    <mergeCell ref="C3224:F3224"/>
    <mergeCell ref="H3224:I3224"/>
    <mergeCell ref="B3225:E3225"/>
    <mergeCell ref="F3225:I3225"/>
    <mergeCell ref="B3214:H3214"/>
    <mergeCell ref="B3215:I3215"/>
    <mergeCell ref="B3216:H3216"/>
    <mergeCell ref="B3217:I3217"/>
    <mergeCell ref="B3218:B3221"/>
    <mergeCell ref="C3218:F3221"/>
    <mergeCell ref="G3218:I3218"/>
    <mergeCell ref="G3219:I3219"/>
    <mergeCell ref="H3220:I3220"/>
    <mergeCell ref="B3208:I3208"/>
    <mergeCell ref="B3209:I3209"/>
    <mergeCell ref="B3210:C3210"/>
    <mergeCell ref="B3211:C3211"/>
    <mergeCell ref="B3212:C3212"/>
    <mergeCell ref="B3213:C3213"/>
    <mergeCell ref="C3235:H3235"/>
    <mergeCell ref="C3236:H3236"/>
    <mergeCell ref="B3237:I3237"/>
    <mergeCell ref="B3238:I3238"/>
    <mergeCell ref="B3239:D3239"/>
    <mergeCell ref="B3240:D3240"/>
    <mergeCell ref="B3230:C3230"/>
    <mergeCell ref="D3230:G3230"/>
    <mergeCell ref="B3231:I3231"/>
    <mergeCell ref="F3232:H3232"/>
    <mergeCell ref="F3233:H3233"/>
    <mergeCell ref="C3234:I3234"/>
    <mergeCell ref="B3226:I3226"/>
    <mergeCell ref="B3227:C3227"/>
    <mergeCell ref="D3227:D3228"/>
    <mergeCell ref="E3227:I3228"/>
    <mergeCell ref="B3228:C3228"/>
    <mergeCell ref="B3229:I3229"/>
    <mergeCell ref="B3253:I3253"/>
    <mergeCell ref="B3254:I3254"/>
    <mergeCell ref="B3255:C3255"/>
    <mergeCell ref="B3256:C3256"/>
    <mergeCell ref="B3257:C3257"/>
    <mergeCell ref="B3258:C3258"/>
    <mergeCell ref="B3247:H3247"/>
    <mergeCell ref="B3248:I3248"/>
    <mergeCell ref="B3249:I3249"/>
    <mergeCell ref="B3250:D3250"/>
    <mergeCell ref="B3251:D3251"/>
    <mergeCell ref="B3252:H3252"/>
    <mergeCell ref="B3241:D3241"/>
    <mergeCell ref="B3242:H3242"/>
    <mergeCell ref="B3243:I3243"/>
    <mergeCell ref="B3244:I3244"/>
    <mergeCell ref="B3245:D3245"/>
    <mergeCell ref="B3246:D3246"/>
    <mergeCell ref="B3271:I3271"/>
    <mergeCell ref="B3272:C3272"/>
    <mergeCell ref="D3272:D3273"/>
    <mergeCell ref="E3272:I3273"/>
    <mergeCell ref="B3273:C3273"/>
    <mergeCell ref="B3274:I3274"/>
    <mergeCell ref="C3267:F3267"/>
    <mergeCell ref="C3268:F3268"/>
    <mergeCell ref="H3268:I3268"/>
    <mergeCell ref="C3269:F3269"/>
    <mergeCell ref="H3269:I3269"/>
    <mergeCell ref="B3270:E3270"/>
    <mergeCell ref="F3270:I3270"/>
    <mergeCell ref="B3259:H3259"/>
    <mergeCell ref="B3260:I3260"/>
    <mergeCell ref="B3261:H3261"/>
    <mergeCell ref="B3262:I3262"/>
    <mergeCell ref="B3263:B3266"/>
    <mergeCell ref="C3263:F3266"/>
    <mergeCell ref="G3263:I3263"/>
    <mergeCell ref="G3264:I3264"/>
    <mergeCell ref="H3265:I3265"/>
    <mergeCell ref="B3286:D3286"/>
    <mergeCell ref="B3287:H3287"/>
    <mergeCell ref="B3288:I3288"/>
    <mergeCell ref="B3289:I3289"/>
    <mergeCell ref="B3290:D3290"/>
    <mergeCell ref="B3291:D3291"/>
    <mergeCell ref="C3280:H3280"/>
    <mergeCell ref="C3281:H3281"/>
    <mergeCell ref="B3282:I3282"/>
    <mergeCell ref="B3283:I3283"/>
    <mergeCell ref="B3284:D3284"/>
    <mergeCell ref="B3285:D3285"/>
    <mergeCell ref="B3275:C3275"/>
    <mergeCell ref="D3275:G3275"/>
    <mergeCell ref="B3276:I3276"/>
    <mergeCell ref="F3277:H3277"/>
    <mergeCell ref="F3278:H3278"/>
    <mergeCell ref="C3279:I3279"/>
    <mergeCell ref="B3304:H3304"/>
    <mergeCell ref="B3305:I3305"/>
    <mergeCell ref="B3306:H3306"/>
    <mergeCell ref="B3307:I3307"/>
    <mergeCell ref="B3308:B3311"/>
    <mergeCell ref="C3308:F3311"/>
    <mergeCell ref="G3308:I3308"/>
    <mergeCell ref="G3309:I3309"/>
    <mergeCell ref="H3310:I3310"/>
    <mergeCell ref="B3298:I3298"/>
    <mergeCell ref="B3299:I3299"/>
    <mergeCell ref="B3300:C3300"/>
    <mergeCell ref="B3301:C3301"/>
    <mergeCell ref="B3302:C3302"/>
    <mergeCell ref="B3303:C3303"/>
    <mergeCell ref="B3292:H3292"/>
    <mergeCell ref="B3293:I3293"/>
    <mergeCell ref="B3294:I3294"/>
    <mergeCell ref="B3295:D3295"/>
    <mergeCell ref="B3296:D3296"/>
    <mergeCell ref="B3297:H3297"/>
    <mergeCell ref="B3320:C3320"/>
    <mergeCell ref="D3320:G3320"/>
    <mergeCell ref="B3321:I3321"/>
    <mergeCell ref="F3322:H3322"/>
    <mergeCell ref="F3323:H3323"/>
    <mergeCell ref="C3324:I3324"/>
    <mergeCell ref="B3316:I3316"/>
    <mergeCell ref="B3317:C3317"/>
    <mergeCell ref="D3317:D3318"/>
    <mergeCell ref="E3317:I3318"/>
    <mergeCell ref="B3318:C3318"/>
    <mergeCell ref="B3319:I3319"/>
    <mergeCell ref="C3312:F3312"/>
    <mergeCell ref="C3313:F3313"/>
    <mergeCell ref="H3313:I3313"/>
    <mergeCell ref="C3314:F3314"/>
    <mergeCell ref="H3314:I3314"/>
    <mergeCell ref="B3315:E3315"/>
    <mergeCell ref="F3315:I3315"/>
    <mergeCell ref="B3337:H3337"/>
    <mergeCell ref="B3338:I3338"/>
    <mergeCell ref="B3339:I3339"/>
    <mergeCell ref="B3340:D3340"/>
    <mergeCell ref="B3341:D3341"/>
    <mergeCell ref="B3342:H3342"/>
    <mergeCell ref="B3331:D3331"/>
    <mergeCell ref="B3332:H3332"/>
    <mergeCell ref="B3333:I3333"/>
    <mergeCell ref="B3334:I3334"/>
    <mergeCell ref="B3335:D3335"/>
    <mergeCell ref="B3336:D3336"/>
    <mergeCell ref="C3325:H3325"/>
    <mergeCell ref="C3326:H3326"/>
    <mergeCell ref="B3327:I3327"/>
    <mergeCell ref="B3328:I3328"/>
    <mergeCell ref="B3329:D3329"/>
    <mergeCell ref="B3330:D3330"/>
    <mergeCell ref="C3357:F3357"/>
    <mergeCell ref="C3358:F3358"/>
    <mergeCell ref="H3358:I3358"/>
    <mergeCell ref="C3359:F3359"/>
    <mergeCell ref="H3359:I3359"/>
    <mergeCell ref="B3360:E3360"/>
    <mergeCell ref="F3360:I3360"/>
    <mergeCell ref="B3349:H3349"/>
    <mergeCell ref="B3350:I3350"/>
    <mergeCell ref="B3351:H3351"/>
    <mergeCell ref="B3352:I3352"/>
    <mergeCell ref="B3353:B3356"/>
    <mergeCell ref="C3353:F3356"/>
    <mergeCell ref="G3353:I3353"/>
    <mergeCell ref="G3354:I3354"/>
    <mergeCell ref="H3355:I3355"/>
    <mergeCell ref="B3343:I3343"/>
    <mergeCell ref="B3344:I3344"/>
    <mergeCell ref="B3345:C3345"/>
    <mergeCell ref="B3346:C3346"/>
    <mergeCell ref="B3347:C3347"/>
    <mergeCell ref="B3348:C3348"/>
    <mergeCell ref="C3370:H3370"/>
    <mergeCell ref="C3371:H3371"/>
    <mergeCell ref="B3372:I3372"/>
    <mergeCell ref="B3373:I3373"/>
    <mergeCell ref="B3374:D3374"/>
    <mergeCell ref="B3375:D3375"/>
    <mergeCell ref="B3365:C3365"/>
    <mergeCell ref="D3365:G3365"/>
    <mergeCell ref="B3366:I3366"/>
    <mergeCell ref="F3367:H3367"/>
    <mergeCell ref="F3368:H3368"/>
    <mergeCell ref="C3369:I3369"/>
    <mergeCell ref="B3361:I3361"/>
    <mergeCell ref="B3362:C3362"/>
    <mergeCell ref="D3362:D3363"/>
    <mergeCell ref="E3362:I3363"/>
    <mergeCell ref="B3363:C3363"/>
    <mergeCell ref="B3364:I3364"/>
    <mergeCell ref="B3388:I3388"/>
    <mergeCell ref="B3389:I3389"/>
    <mergeCell ref="B3390:C3390"/>
    <mergeCell ref="B3391:C3391"/>
    <mergeCell ref="B3392:C3392"/>
    <mergeCell ref="B3393:C3393"/>
    <mergeCell ref="B3382:H3382"/>
    <mergeCell ref="B3383:I3383"/>
    <mergeCell ref="B3384:I3384"/>
    <mergeCell ref="B3385:D3385"/>
    <mergeCell ref="B3386:D3386"/>
    <mergeCell ref="B3387:H3387"/>
    <mergeCell ref="B3376:D3376"/>
    <mergeCell ref="B3377:H3377"/>
    <mergeCell ref="B3378:I3378"/>
    <mergeCell ref="B3379:I3379"/>
    <mergeCell ref="B3380:D3380"/>
    <mergeCell ref="B3381:D3381"/>
    <mergeCell ref="B3406:I3406"/>
    <mergeCell ref="B3407:C3407"/>
    <mergeCell ref="D3407:D3408"/>
    <mergeCell ref="E3407:I3408"/>
    <mergeCell ref="B3408:C3408"/>
    <mergeCell ref="B3409:I3409"/>
    <mergeCell ref="C3402:F3402"/>
    <mergeCell ref="C3403:F3403"/>
    <mergeCell ref="H3403:I3403"/>
    <mergeCell ref="C3404:F3404"/>
    <mergeCell ref="H3404:I3404"/>
    <mergeCell ref="B3405:E3405"/>
    <mergeCell ref="F3405:I3405"/>
    <mergeCell ref="B3394:H3394"/>
    <mergeCell ref="B3395:I3395"/>
    <mergeCell ref="B3396:H3396"/>
    <mergeCell ref="B3397:I3397"/>
    <mergeCell ref="B3398:B3401"/>
    <mergeCell ref="C3398:F3401"/>
    <mergeCell ref="G3398:I3398"/>
    <mergeCell ref="G3399:I3399"/>
    <mergeCell ref="H3400:I3400"/>
    <mergeCell ref="B3421:D3421"/>
    <mergeCell ref="B3422:H3422"/>
    <mergeCell ref="B3423:I3423"/>
    <mergeCell ref="B3424:I3424"/>
    <mergeCell ref="B3425:D3425"/>
    <mergeCell ref="B3426:D3426"/>
    <mergeCell ref="C3415:H3415"/>
    <mergeCell ref="C3416:H3416"/>
    <mergeCell ref="B3417:I3417"/>
    <mergeCell ref="B3418:I3418"/>
    <mergeCell ref="B3419:D3419"/>
    <mergeCell ref="B3420:D3420"/>
    <mergeCell ref="B3410:C3410"/>
    <mergeCell ref="D3410:G3410"/>
    <mergeCell ref="B3411:I3411"/>
    <mergeCell ref="F3412:H3412"/>
    <mergeCell ref="F3413:H3413"/>
    <mergeCell ref="C3414:I3414"/>
    <mergeCell ref="B3439:H3439"/>
    <mergeCell ref="B3440:I3440"/>
    <mergeCell ref="B3441:H3441"/>
    <mergeCell ref="B3442:I3442"/>
    <mergeCell ref="B3443:B3446"/>
    <mergeCell ref="C3443:F3446"/>
    <mergeCell ref="G3443:I3443"/>
    <mergeCell ref="G3444:I3444"/>
    <mergeCell ref="H3445:I3445"/>
    <mergeCell ref="B3433:I3433"/>
    <mergeCell ref="B3434:I3434"/>
    <mergeCell ref="B3435:C3435"/>
    <mergeCell ref="B3436:C3436"/>
    <mergeCell ref="B3437:C3437"/>
    <mergeCell ref="B3438:C3438"/>
    <mergeCell ref="B3427:H3427"/>
    <mergeCell ref="B3428:I3428"/>
    <mergeCell ref="B3429:I3429"/>
    <mergeCell ref="B3430:D3430"/>
    <mergeCell ref="B3431:D3431"/>
    <mergeCell ref="B3432:H3432"/>
    <mergeCell ref="B3455:C3455"/>
    <mergeCell ref="D3455:G3455"/>
    <mergeCell ref="B3456:I3456"/>
    <mergeCell ref="F3457:H3457"/>
    <mergeCell ref="F3458:H3458"/>
    <mergeCell ref="C3459:I3459"/>
    <mergeCell ref="B3451:I3451"/>
    <mergeCell ref="B3452:C3452"/>
    <mergeCell ref="D3452:D3453"/>
    <mergeCell ref="E3452:I3453"/>
    <mergeCell ref="B3453:C3453"/>
    <mergeCell ref="B3454:I3454"/>
    <mergeCell ref="C3447:F3447"/>
    <mergeCell ref="C3448:F3448"/>
    <mergeCell ref="H3448:I3448"/>
    <mergeCell ref="C3449:F3449"/>
    <mergeCell ref="H3449:I3449"/>
    <mergeCell ref="B3450:E3450"/>
    <mergeCell ref="F3450:I3450"/>
    <mergeCell ref="B3472:H3472"/>
    <mergeCell ref="B3473:I3473"/>
    <mergeCell ref="B3474:I3474"/>
    <mergeCell ref="B3475:D3475"/>
    <mergeCell ref="B3476:D3476"/>
    <mergeCell ref="B3477:H3477"/>
    <mergeCell ref="B3466:D3466"/>
    <mergeCell ref="B3467:H3467"/>
    <mergeCell ref="B3468:I3468"/>
    <mergeCell ref="B3469:I3469"/>
    <mergeCell ref="B3470:D3470"/>
    <mergeCell ref="B3471:D3471"/>
    <mergeCell ref="C3460:H3460"/>
    <mergeCell ref="C3461:H3461"/>
    <mergeCell ref="B3462:I3462"/>
    <mergeCell ref="B3463:I3463"/>
    <mergeCell ref="B3464:D3464"/>
    <mergeCell ref="B3465:D3465"/>
    <mergeCell ref="C3492:F3492"/>
    <mergeCell ref="C3493:F3493"/>
    <mergeCell ref="H3493:I3493"/>
    <mergeCell ref="C3494:F3494"/>
    <mergeCell ref="H3494:I3494"/>
    <mergeCell ref="B3495:E3495"/>
    <mergeCell ref="F3495:I3495"/>
    <mergeCell ref="B3484:H3484"/>
    <mergeCell ref="B3485:I3485"/>
    <mergeCell ref="B3486:H3486"/>
    <mergeCell ref="B3487:I3487"/>
    <mergeCell ref="B3488:B3491"/>
    <mergeCell ref="C3488:F3491"/>
    <mergeCell ref="G3488:I3488"/>
    <mergeCell ref="G3489:I3489"/>
    <mergeCell ref="H3490:I3490"/>
    <mergeCell ref="B3478:I3478"/>
    <mergeCell ref="B3479:I3479"/>
    <mergeCell ref="B3480:C3480"/>
    <mergeCell ref="B3481:C3481"/>
    <mergeCell ref="B3482:C3482"/>
    <mergeCell ref="B3483:C3483"/>
    <mergeCell ref="C3505:H3505"/>
    <mergeCell ref="C3506:H3506"/>
    <mergeCell ref="B3507:I3507"/>
    <mergeCell ref="B3508:I3508"/>
    <mergeCell ref="B3509:D3509"/>
    <mergeCell ref="B3510:D3510"/>
    <mergeCell ref="B3500:C3500"/>
    <mergeCell ref="D3500:G3500"/>
    <mergeCell ref="B3501:I3501"/>
    <mergeCell ref="F3502:H3502"/>
    <mergeCell ref="F3503:H3503"/>
    <mergeCell ref="C3504:I3504"/>
    <mergeCell ref="B3496:I3496"/>
    <mergeCell ref="B3497:C3497"/>
    <mergeCell ref="D3497:D3498"/>
    <mergeCell ref="E3497:I3498"/>
    <mergeCell ref="B3498:C3498"/>
    <mergeCell ref="B3499:I3499"/>
    <mergeCell ref="B3523:I3523"/>
    <mergeCell ref="B3524:I3524"/>
    <mergeCell ref="B3525:C3525"/>
    <mergeCell ref="B3526:C3526"/>
    <mergeCell ref="B3527:C3527"/>
    <mergeCell ref="B3528:C3528"/>
    <mergeCell ref="B3517:H3517"/>
    <mergeCell ref="B3518:I3518"/>
    <mergeCell ref="B3519:I3519"/>
    <mergeCell ref="B3520:D3520"/>
    <mergeCell ref="B3521:D3521"/>
    <mergeCell ref="B3522:H3522"/>
    <mergeCell ref="B3511:D3511"/>
    <mergeCell ref="B3512:H3512"/>
    <mergeCell ref="B3513:I3513"/>
    <mergeCell ref="B3514:I3514"/>
    <mergeCell ref="B3515:D3515"/>
    <mergeCell ref="B3516:D3516"/>
    <mergeCell ref="B3541:I3541"/>
    <mergeCell ref="B3542:C3542"/>
    <mergeCell ref="D3542:D3543"/>
    <mergeCell ref="E3542:I3543"/>
    <mergeCell ref="B3543:C3543"/>
    <mergeCell ref="B3544:I3544"/>
    <mergeCell ref="C3537:F3537"/>
    <mergeCell ref="C3538:F3538"/>
    <mergeCell ref="H3538:I3538"/>
    <mergeCell ref="C3539:F3539"/>
    <mergeCell ref="H3539:I3539"/>
    <mergeCell ref="B3540:E3540"/>
    <mergeCell ref="F3540:I3540"/>
    <mergeCell ref="B3529:H3529"/>
    <mergeCell ref="B3530:I3530"/>
    <mergeCell ref="B3531:H3531"/>
    <mergeCell ref="B3532:I3532"/>
    <mergeCell ref="B3533:B3536"/>
    <mergeCell ref="C3533:F3536"/>
    <mergeCell ref="G3533:I3533"/>
    <mergeCell ref="G3534:I3534"/>
    <mergeCell ref="H3535:I3535"/>
    <mergeCell ref="B3556:D3556"/>
    <mergeCell ref="B3557:H3557"/>
    <mergeCell ref="B3558:I3558"/>
    <mergeCell ref="B3559:I3559"/>
    <mergeCell ref="B3560:D3560"/>
    <mergeCell ref="B3561:D3561"/>
    <mergeCell ref="C3550:H3550"/>
    <mergeCell ref="C3551:H3551"/>
    <mergeCell ref="B3552:I3552"/>
    <mergeCell ref="B3553:I3553"/>
    <mergeCell ref="B3554:D3554"/>
    <mergeCell ref="B3555:D3555"/>
    <mergeCell ref="B3545:C3545"/>
    <mergeCell ref="D3545:G3545"/>
    <mergeCell ref="B3546:I3546"/>
    <mergeCell ref="F3547:H3547"/>
    <mergeCell ref="F3548:H3548"/>
    <mergeCell ref="C3549:I3549"/>
    <mergeCell ref="B3574:H3574"/>
    <mergeCell ref="B3575:I3575"/>
    <mergeCell ref="B3576:H3576"/>
    <mergeCell ref="B3577:I3577"/>
    <mergeCell ref="B3578:B3581"/>
    <mergeCell ref="C3578:F3581"/>
    <mergeCell ref="G3578:I3578"/>
    <mergeCell ref="G3579:I3579"/>
    <mergeCell ref="H3580:I3580"/>
    <mergeCell ref="B3568:I3568"/>
    <mergeCell ref="B3569:I3569"/>
    <mergeCell ref="B3570:C3570"/>
    <mergeCell ref="B3571:C3571"/>
    <mergeCell ref="B3572:C3572"/>
    <mergeCell ref="B3573:C3573"/>
    <mergeCell ref="B3562:H3562"/>
    <mergeCell ref="B3563:I3563"/>
    <mergeCell ref="B3564:I3564"/>
    <mergeCell ref="B3565:D3565"/>
    <mergeCell ref="B3566:D3566"/>
    <mergeCell ref="B3567:H3567"/>
    <mergeCell ref="B3590:C3590"/>
    <mergeCell ref="D3590:G3590"/>
    <mergeCell ref="B3591:I3591"/>
    <mergeCell ref="F3592:H3592"/>
    <mergeCell ref="F3593:H3593"/>
    <mergeCell ref="C3594:I3594"/>
    <mergeCell ref="B3586:I3586"/>
    <mergeCell ref="B3587:C3587"/>
    <mergeCell ref="D3587:D3588"/>
    <mergeCell ref="E3587:I3588"/>
    <mergeCell ref="B3588:C3588"/>
    <mergeCell ref="B3589:I3589"/>
    <mergeCell ref="C3582:F3582"/>
    <mergeCell ref="C3583:F3583"/>
    <mergeCell ref="H3583:I3583"/>
    <mergeCell ref="C3584:F3584"/>
    <mergeCell ref="H3584:I3584"/>
    <mergeCell ref="B3585:E3585"/>
    <mergeCell ref="F3585:I3585"/>
    <mergeCell ref="B3607:H3607"/>
    <mergeCell ref="B3608:I3608"/>
    <mergeCell ref="B3609:I3609"/>
    <mergeCell ref="B3610:D3610"/>
    <mergeCell ref="B3611:D3611"/>
    <mergeCell ref="B3612:H3612"/>
    <mergeCell ref="B3601:D3601"/>
    <mergeCell ref="B3602:H3602"/>
    <mergeCell ref="B3603:I3603"/>
    <mergeCell ref="B3604:I3604"/>
    <mergeCell ref="B3605:D3605"/>
    <mergeCell ref="B3606:D3606"/>
    <mergeCell ref="C3595:H3595"/>
    <mergeCell ref="C3596:H3596"/>
    <mergeCell ref="B3597:I3597"/>
    <mergeCell ref="B3598:I3598"/>
    <mergeCell ref="B3599:D3599"/>
    <mergeCell ref="B3600:D3600"/>
    <mergeCell ref="C3627:F3627"/>
    <mergeCell ref="C3628:F3628"/>
    <mergeCell ref="H3628:I3628"/>
    <mergeCell ref="C3629:F3629"/>
    <mergeCell ref="H3629:I3629"/>
    <mergeCell ref="B3630:E3630"/>
    <mergeCell ref="F3630:I3630"/>
    <mergeCell ref="B3619:H3619"/>
    <mergeCell ref="B3620:I3620"/>
    <mergeCell ref="B3621:H3621"/>
    <mergeCell ref="B3622:I3622"/>
    <mergeCell ref="B3623:B3626"/>
    <mergeCell ref="C3623:F3626"/>
    <mergeCell ref="G3623:I3623"/>
    <mergeCell ref="G3624:I3624"/>
    <mergeCell ref="H3625:I3625"/>
    <mergeCell ref="B3613:I3613"/>
    <mergeCell ref="B3614:I3614"/>
    <mergeCell ref="B3615:C3615"/>
    <mergeCell ref="B3616:C3616"/>
    <mergeCell ref="B3617:C3617"/>
    <mergeCell ref="B3618:C3618"/>
    <mergeCell ref="C3640:H3640"/>
    <mergeCell ref="C3641:H3641"/>
    <mergeCell ref="B3642:I3642"/>
    <mergeCell ref="B3643:I3643"/>
    <mergeCell ref="B3644:D3644"/>
    <mergeCell ref="B3645:D3645"/>
    <mergeCell ref="B3635:C3635"/>
    <mergeCell ref="D3635:G3635"/>
    <mergeCell ref="B3636:I3636"/>
    <mergeCell ref="F3637:H3637"/>
    <mergeCell ref="F3638:H3638"/>
    <mergeCell ref="C3639:I3639"/>
    <mergeCell ref="B3631:I3631"/>
    <mergeCell ref="B3632:C3632"/>
    <mergeCell ref="D3632:D3633"/>
    <mergeCell ref="E3632:I3633"/>
    <mergeCell ref="B3633:C3633"/>
    <mergeCell ref="B3634:I3634"/>
    <mergeCell ref="B3658:I3658"/>
    <mergeCell ref="B3659:I3659"/>
    <mergeCell ref="B3660:C3660"/>
    <mergeCell ref="B3661:C3661"/>
    <mergeCell ref="B3662:C3662"/>
    <mergeCell ref="B3663:C3663"/>
    <mergeCell ref="B3652:H3652"/>
    <mergeCell ref="B3653:I3653"/>
    <mergeCell ref="B3654:I3654"/>
    <mergeCell ref="B3655:D3655"/>
    <mergeCell ref="B3656:D3656"/>
    <mergeCell ref="B3657:H3657"/>
    <mergeCell ref="B3646:D3646"/>
    <mergeCell ref="B3647:H3647"/>
    <mergeCell ref="B3648:I3648"/>
    <mergeCell ref="B3649:I3649"/>
    <mergeCell ref="B3650:D3650"/>
    <mergeCell ref="B3651:D3651"/>
    <mergeCell ref="B3676:I3676"/>
    <mergeCell ref="B3677:C3677"/>
    <mergeCell ref="D3677:D3678"/>
    <mergeCell ref="E3677:I3678"/>
    <mergeCell ref="B3678:C3678"/>
    <mergeCell ref="B3679:I3679"/>
    <mergeCell ref="C3672:F3672"/>
    <mergeCell ref="C3673:F3673"/>
    <mergeCell ref="H3673:I3673"/>
    <mergeCell ref="C3674:F3674"/>
    <mergeCell ref="H3674:I3674"/>
    <mergeCell ref="B3675:E3675"/>
    <mergeCell ref="F3675:I3675"/>
    <mergeCell ref="B3664:H3664"/>
    <mergeCell ref="B3665:I3665"/>
    <mergeCell ref="B3666:H3666"/>
    <mergeCell ref="B3667:I3667"/>
    <mergeCell ref="B3668:B3671"/>
    <mergeCell ref="C3668:F3671"/>
    <mergeCell ref="G3668:I3668"/>
    <mergeCell ref="G3669:I3669"/>
    <mergeCell ref="H3670:I3670"/>
    <mergeCell ref="B3691:D3691"/>
    <mergeCell ref="B3692:H3692"/>
    <mergeCell ref="B3693:I3693"/>
    <mergeCell ref="B3694:I3694"/>
    <mergeCell ref="B3695:D3695"/>
    <mergeCell ref="B3696:D3696"/>
    <mergeCell ref="C3685:H3685"/>
    <mergeCell ref="C3686:H3686"/>
    <mergeCell ref="B3687:I3687"/>
    <mergeCell ref="B3688:I3688"/>
    <mergeCell ref="B3689:D3689"/>
    <mergeCell ref="B3690:D3690"/>
    <mergeCell ref="B3680:C3680"/>
    <mergeCell ref="D3680:G3680"/>
    <mergeCell ref="B3681:I3681"/>
    <mergeCell ref="F3682:H3682"/>
    <mergeCell ref="F3683:H3683"/>
    <mergeCell ref="C3684:I3684"/>
    <mergeCell ref="B3709:H3709"/>
    <mergeCell ref="B3710:I3710"/>
    <mergeCell ref="B3711:H3711"/>
    <mergeCell ref="B3712:I3712"/>
    <mergeCell ref="B3713:B3716"/>
    <mergeCell ref="C3713:F3716"/>
    <mergeCell ref="G3713:I3713"/>
    <mergeCell ref="G3714:I3714"/>
    <mergeCell ref="H3715:I3715"/>
    <mergeCell ref="B3703:I3703"/>
    <mergeCell ref="B3704:I3704"/>
    <mergeCell ref="B3705:C3705"/>
    <mergeCell ref="B3706:C3706"/>
    <mergeCell ref="B3707:C3707"/>
    <mergeCell ref="B3708:C3708"/>
    <mergeCell ref="B3697:H3697"/>
    <mergeCell ref="B3698:I3698"/>
    <mergeCell ref="B3699:I3699"/>
    <mergeCell ref="B3700:D3700"/>
    <mergeCell ref="B3701:D3701"/>
    <mergeCell ref="B3702:H3702"/>
    <mergeCell ref="B3725:C3725"/>
    <mergeCell ref="D3725:G3725"/>
    <mergeCell ref="B3726:I3726"/>
    <mergeCell ref="F3727:H3727"/>
    <mergeCell ref="F3728:H3728"/>
    <mergeCell ref="C3729:I3729"/>
    <mergeCell ref="B3721:I3721"/>
    <mergeCell ref="B3722:C3722"/>
    <mergeCell ref="D3722:D3723"/>
    <mergeCell ref="E3722:I3723"/>
    <mergeCell ref="B3723:C3723"/>
    <mergeCell ref="B3724:I3724"/>
    <mergeCell ref="C3717:F3717"/>
    <mergeCell ref="C3718:F3718"/>
    <mergeCell ref="H3718:I3718"/>
    <mergeCell ref="C3719:F3719"/>
    <mergeCell ref="H3719:I3719"/>
    <mergeCell ref="B3720:E3720"/>
    <mergeCell ref="F3720:I3720"/>
    <mergeCell ref="B3742:H3742"/>
    <mergeCell ref="B3743:I3743"/>
    <mergeCell ref="B3744:I3744"/>
    <mergeCell ref="B3745:D3745"/>
    <mergeCell ref="B3746:D3746"/>
    <mergeCell ref="B3747:H3747"/>
    <mergeCell ref="B3736:D3736"/>
    <mergeCell ref="B3737:H3737"/>
    <mergeCell ref="B3738:I3738"/>
    <mergeCell ref="B3739:I3739"/>
    <mergeCell ref="B3740:D3740"/>
    <mergeCell ref="B3741:D3741"/>
    <mergeCell ref="C3730:H3730"/>
    <mergeCell ref="C3731:H3731"/>
    <mergeCell ref="B3732:I3732"/>
    <mergeCell ref="B3733:I3733"/>
    <mergeCell ref="B3734:D3734"/>
    <mergeCell ref="B3735:D3735"/>
    <mergeCell ref="C3762:F3762"/>
    <mergeCell ref="C3763:F3763"/>
    <mergeCell ref="H3763:I3763"/>
    <mergeCell ref="C3764:F3764"/>
    <mergeCell ref="H3764:I3764"/>
    <mergeCell ref="B3765:E3765"/>
    <mergeCell ref="F3765:I3765"/>
    <mergeCell ref="B3754:H3754"/>
    <mergeCell ref="B3755:I3755"/>
    <mergeCell ref="B3756:H3756"/>
    <mergeCell ref="B3757:I3757"/>
    <mergeCell ref="B3758:B3761"/>
    <mergeCell ref="C3758:F3761"/>
    <mergeCell ref="G3758:I3758"/>
    <mergeCell ref="G3759:I3759"/>
    <mergeCell ref="H3760:I3760"/>
    <mergeCell ref="B3748:I3748"/>
    <mergeCell ref="B3749:I3749"/>
    <mergeCell ref="B3750:C3750"/>
    <mergeCell ref="B3751:C3751"/>
    <mergeCell ref="B3752:C3752"/>
    <mergeCell ref="B3753:C3753"/>
    <mergeCell ref="C3775:H3775"/>
    <mergeCell ref="C3776:H3776"/>
    <mergeCell ref="B3777:I3777"/>
    <mergeCell ref="B3778:I3778"/>
    <mergeCell ref="B3779:D3779"/>
    <mergeCell ref="B3780:D3780"/>
    <mergeCell ref="B3770:C3770"/>
    <mergeCell ref="D3770:G3770"/>
    <mergeCell ref="B3771:I3771"/>
    <mergeCell ref="F3772:H3772"/>
    <mergeCell ref="F3773:H3773"/>
    <mergeCell ref="C3774:I3774"/>
    <mergeCell ref="B3766:I3766"/>
    <mergeCell ref="B3767:C3767"/>
    <mergeCell ref="D3767:D3768"/>
    <mergeCell ref="E3767:I3768"/>
    <mergeCell ref="B3768:C3768"/>
    <mergeCell ref="B3769:I3769"/>
    <mergeCell ref="B3793:I3793"/>
    <mergeCell ref="B3794:I3794"/>
    <mergeCell ref="B3795:C3795"/>
    <mergeCell ref="B3796:C3796"/>
    <mergeCell ref="B3797:C3797"/>
    <mergeCell ref="B3798:C3798"/>
    <mergeCell ref="B3787:H3787"/>
    <mergeCell ref="B3788:I3788"/>
    <mergeCell ref="B3789:I3789"/>
    <mergeCell ref="B3790:D3790"/>
    <mergeCell ref="B3791:D3791"/>
    <mergeCell ref="B3792:H3792"/>
    <mergeCell ref="B3781:D3781"/>
    <mergeCell ref="B3782:H3782"/>
    <mergeCell ref="B3783:I3783"/>
    <mergeCell ref="B3784:I3784"/>
    <mergeCell ref="B3785:D3785"/>
    <mergeCell ref="B3786:D3786"/>
    <mergeCell ref="B3811:I3811"/>
    <mergeCell ref="B3812:C3812"/>
    <mergeCell ref="D3812:D3813"/>
    <mergeCell ref="E3812:I3813"/>
    <mergeCell ref="B3813:C3813"/>
    <mergeCell ref="B3814:I3814"/>
    <mergeCell ref="C3807:F3807"/>
    <mergeCell ref="C3808:F3808"/>
    <mergeCell ref="H3808:I3808"/>
    <mergeCell ref="C3809:F3809"/>
    <mergeCell ref="H3809:I3809"/>
    <mergeCell ref="B3810:E3810"/>
    <mergeCell ref="F3810:I3810"/>
    <mergeCell ref="B3799:H3799"/>
    <mergeCell ref="B3800:I3800"/>
    <mergeCell ref="B3801:H3801"/>
    <mergeCell ref="B3802:I3802"/>
    <mergeCell ref="B3803:B3806"/>
    <mergeCell ref="C3803:F3806"/>
    <mergeCell ref="G3803:I3803"/>
    <mergeCell ref="G3804:I3804"/>
    <mergeCell ref="H3805:I3805"/>
    <mergeCell ref="B3826:D3826"/>
    <mergeCell ref="B3827:H3827"/>
    <mergeCell ref="B3828:I3828"/>
    <mergeCell ref="B3829:I3829"/>
    <mergeCell ref="B3830:D3830"/>
    <mergeCell ref="B3831:D3831"/>
    <mergeCell ref="C3820:H3820"/>
    <mergeCell ref="C3821:H3821"/>
    <mergeCell ref="B3822:I3822"/>
    <mergeCell ref="B3823:I3823"/>
    <mergeCell ref="B3824:D3824"/>
    <mergeCell ref="B3825:D3825"/>
    <mergeCell ref="B3815:C3815"/>
    <mergeCell ref="D3815:G3815"/>
    <mergeCell ref="B3816:I3816"/>
    <mergeCell ref="F3817:H3817"/>
    <mergeCell ref="F3818:H3818"/>
    <mergeCell ref="C3819:I3819"/>
    <mergeCell ref="B3844:H3844"/>
    <mergeCell ref="B3845:I3845"/>
    <mergeCell ref="B3846:H3846"/>
    <mergeCell ref="B3847:I3847"/>
    <mergeCell ref="B3848:B3851"/>
    <mergeCell ref="C3848:F3851"/>
    <mergeCell ref="G3848:I3848"/>
    <mergeCell ref="G3849:I3849"/>
    <mergeCell ref="H3850:I3850"/>
    <mergeCell ref="B3838:I3838"/>
    <mergeCell ref="B3839:I3839"/>
    <mergeCell ref="B3840:C3840"/>
    <mergeCell ref="B3841:C3841"/>
    <mergeCell ref="B3842:C3842"/>
    <mergeCell ref="B3843:C3843"/>
    <mergeCell ref="B3832:H3832"/>
    <mergeCell ref="B3833:I3833"/>
    <mergeCell ref="B3834:I3834"/>
    <mergeCell ref="B3835:D3835"/>
    <mergeCell ref="B3836:D3836"/>
    <mergeCell ref="B3837:H3837"/>
    <mergeCell ref="B3860:C3860"/>
    <mergeCell ref="D3860:G3860"/>
    <mergeCell ref="B3861:I3861"/>
    <mergeCell ref="F3862:H3862"/>
    <mergeCell ref="F3863:H3863"/>
    <mergeCell ref="C3864:I3864"/>
    <mergeCell ref="B3856:I3856"/>
    <mergeCell ref="B3857:C3857"/>
    <mergeCell ref="D3857:D3858"/>
    <mergeCell ref="E3857:I3858"/>
    <mergeCell ref="B3858:C3858"/>
    <mergeCell ref="B3859:I3859"/>
    <mergeCell ref="C3852:F3852"/>
    <mergeCell ref="C3853:F3853"/>
    <mergeCell ref="H3853:I3853"/>
    <mergeCell ref="C3854:F3854"/>
    <mergeCell ref="H3854:I3854"/>
    <mergeCell ref="B3855:E3855"/>
    <mergeCell ref="F3855:I3855"/>
    <mergeCell ref="B3877:H3877"/>
    <mergeCell ref="B3878:I3878"/>
    <mergeCell ref="B3879:I3879"/>
    <mergeCell ref="B3880:D3880"/>
    <mergeCell ref="B3881:D3881"/>
    <mergeCell ref="B3882:H3882"/>
    <mergeCell ref="B3871:D3871"/>
    <mergeCell ref="B3872:H3872"/>
    <mergeCell ref="B3873:I3873"/>
    <mergeCell ref="B3874:I3874"/>
    <mergeCell ref="B3875:D3875"/>
    <mergeCell ref="B3876:D3876"/>
    <mergeCell ref="C3865:H3865"/>
    <mergeCell ref="C3866:H3866"/>
    <mergeCell ref="B3867:I3867"/>
    <mergeCell ref="B3868:I3868"/>
    <mergeCell ref="B3869:D3869"/>
    <mergeCell ref="B3870:D3870"/>
    <mergeCell ref="C3897:F3897"/>
    <mergeCell ref="C3898:F3898"/>
    <mergeCell ref="H3898:I3898"/>
    <mergeCell ref="C3899:F3899"/>
    <mergeCell ref="H3899:I3899"/>
    <mergeCell ref="B3900:E3900"/>
    <mergeCell ref="F3900:I3900"/>
    <mergeCell ref="B3889:H3889"/>
    <mergeCell ref="B3890:I3890"/>
    <mergeCell ref="B3891:H3891"/>
    <mergeCell ref="B3892:I3892"/>
    <mergeCell ref="B3893:B3896"/>
    <mergeCell ref="C3893:F3896"/>
    <mergeCell ref="G3893:I3893"/>
    <mergeCell ref="G3894:I3894"/>
    <mergeCell ref="H3895:I3895"/>
    <mergeCell ref="B3883:I3883"/>
    <mergeCell ref="B3884:I3884"/>
    <mergeCell ref="B3885:C3885"/>
    <mergeCell ref="B3886:C3886"/>
    <mergeCell ref="B3887:C3887"/>
    <mergeCell ref="B3888:C3888"/>
    <mergeCell ref="C3910:H3910"/>
    <mergeCell ref="C3911:H3911"/>
    <mergeCell ref="B3912:I3912"/>
    <mergeCell ref="B3913:I3913"/>
    <mergeCell ref="B3914:D3914"/>
    <mergeCell ref="B3915:D3915"/>
    <mergeCell ref="B3905:C3905"/>
    <mergeCell ref="D3905:G3905"/>
    <mergeCell ref="B3906:I3906"/>
    <mergeCell ref="F3907:H3907"/>
    <mergeCell ref="F3908:H3908"/>
    <mergeCell ref="C3909:I3909"/>
    <mergeCell ref="B3901:I3901"/>
    <mergeCell ref="B3902:C3902"/>
    <mergeCell ref="D3902:D3903"/>
    <mergeCell ref="E3902:I3903"/>
    <mergeCell ref="B3903:C3903"/>
    <mergeCell ref="B3904:I3904"/>
    <mergeCell ref="B3928:I3928"/>
    <mergeCell ref="B3929:I3929"/>
    <mergeCell ref="B3930:C3930"/>
    <mergeCell ref="B3931:C3931"/>
    <mergeCell ref="B3932:C3932"/>
    <mergeCell ref="B3933:C3933"/>
    <mergeCell ref="B3922:H3922"/>
    <mergeCell ref="B3923:I3923"/>
    <mergeCell ref="B3924:I3924"/>
    <mergeCell ref="B3925:D3925"/>
    <mergeCell ref="B3926:D3926"/>
    <mergeCell ref="B3927:H3927"/>
    <mergeCell ref="B3916:D3916"/>
    <mergeCell ref="B3917:H3917"/>
    <mergeCell ref="B3918:I3918"/>
    <mergeCell ref="B3919:I3919"/>
    <mergeCell ref="B3920:D3920"/>
    <mergeCell ref="B3921:D3921"/>
    <mergeCell ref="B3946:I3946"/>
    <mergeCell ref="B3947:C3947"/>
    <mergeCell ref="D3947:D3948"/>
    <mergeCell ref="E3947:I3948"/>
    <mergeCell ref="B3948:C3948"/>
    <mergeCell ref="B3949:I3949"/>
    <mergeCell ref="C3942:F3942"/>
    <mergeCell ref="C3943:F3943"/>
    <mergeCell ref="H3943:I3943"/>
    <mergeCell ref="C3944:F3944"/>
    <mergeCell ref="H3944:I3944"/>
    <mergeCell ref="B3945:E3945"/>
    <mergeCell ref="F3945:I3945"/>
    <mergeCell ref="B3934:H3934"/>
    <mergeCell ref="B3935:I3935"/>
    <mergeCell ref="B3936:H3936"/>
    <mergeCell ref="B3937:I3937"/>
    <mergeCell ref="B3938:B3941"/>
    <mergeCell ref="C3938:F3941"/>
    <mergeCell ref="G3938:I3938"/>
    <mergeCell ref="G3939:I3939"/>
    <mergeCell ref="H3940:I3940"/>
    <mergeCell ref="B3961:D3961"/>
    <mergeCell ref="B3962:H3962"/>
    <mergeCell ref="B3963:I3963"/>
    <mergeCell ref="B3964:I3964"/>
    <mergeCell ref="B3965:D3965"/>
    <mergeCell ref="B3966:D3966"/>
    <mergeCell ref="C3955:H3955"/>
    <mergeCell ref="C3956:H3956"/>
    <mergeCell ref="B3957:I3957"/>
    <mergeCell ref="B3958:I3958"/>
    <mergeCell ref="B3959:D3959"/>
    <mergeCell ref="B3960:D3960"/>
    <mergeCell ref="B3950:C3950"/>
    <mergeCell ref="D3950:G3950"/>
    <mergeCell ref="B3951:I3951"/>
    <mergeCell ref="F3952:H3952"/>
    <mergeCell ref="F3953:H3953"/>
    <mergeCell ref="C3954:I3954"/>
    <mergeCell ref="B3979:H3979"/>
    <mergeCell ref="B3980:I3980"/>
    <mergeCell ref="B3981:H3981"/>
    <mergeCell ref="B3982:I3982"/>
    <mergeCell ref="B3983:B3986"/>
    <mergeCell ref="C3983:F3986"/>
    <mergeCell ref="G3983:I3983"/>
    <mergeCell ref="G3984:I3984"/>
    <mergeCell ref="H3985:I3985"/>
    <mergeCell ref="B3973:I3973"/>
    <mergeCell ref="B3974:I3974"/>
    <mergeCell ref="B3975:C3975"/>
    <mergeCell ref="B3976:C3976"/>
    <mergeCell ref="B3977:C3977"/>
    <mergeCell ref="B3978:C3978"/>
    <mergeCell ref="B3967:H3967"/>
    <mergeCell ref="B3968:I3968"/>
    <mergeCell ref="B3969:I3969"/>
    <mergeCell ref="B3970:D3970"/>
    <mergeCell ref="B3971:D3971"/>
    <mergeCell ref="B3972:H3972"/>
    <mergeCell ref="B3995:C3995"/>
    <mergeCell ref="D3995:G3995"/>
    <mergeCell ref="B3996:I3996"/>
    <mergeCell ref="F3997:H3997"/>
    <mergeCell ref="F3998:H3998"/>
    <mergeCell ref="C3999:I3999"/>
    <mergeCell ref="B3991:I3991"/>
    <mergeCell ref="B3992:C3992"/>
    <mergeCell ref="D3992:D3993"/>
    <mergeCell ref="E3992:I3993"/>
    <mergeCell ref="B3993:C3993"/>
    <mergeCell ref="B3994:I3994"/>
    <mergeCell ref="C3987:F3987"/>
    <mergeCell ref="C3988:F3988"/>
    <mergeCell ref="H3988:I3988"/>
    <mergeCell ref="C3989:F3989"/>
    <mergeCell ref="H3989:I3989"/>
    <mergeCell ref="B3990:E3990"/>
    <mergeCell ref="F3990:I3990"/>
    <mergeCell ref="B4012:H4012"/>
    <mergeCell ref="B4013:I4013"/>
    <mergeCell ref="B4014:I4014"/>
    <mergeCell ref="B4015:D4015"/>
    <mergeCell ref="B4016:D4016"/>
    <mergeCell ref="B4017:H4017"/>
    <mergeCell ref="B4006:D4006"/>
    <mergeCell ref="B4007:H4007"/>
    <mergeCell ref="B4008:I4008"/>
    <mergeCell ref="B4009:I4009"/>
    <mergeCell ref="B4010:D4010"/>
    <mergeCell ref="B4011:D4011"/>
    <mergeCell ref="C4000:H4000"/>
    <mergeCell ref="C4001:H4001"/>
    <mergeCell ref="B4002:I4002"/>
    <mergeCell ref="B4003:I4003"/>
    <mergeCell ref="B4004:D4004"/>
    <mergeCell ref="B4005:D4005"/>
    <mergeCell ref="C4032:F4032"/>
    <mergeCell ref="C4033:F4033"/>
    <mergeCell ref="H4033:I4033"/>
    <mergeCell ref="C4034:F4034"/>
    <mergeCell ref="H4034:I4034"/>
    <mergeCell ref="B4024:H4024"/>
    <mergeCell ref="B4025:I4025"/>
    <mergeCell ref="B4026:H4026"/>
    <mergeCell ref="B4027:I4027"/>
    <mergeCell ref="B4028:B4031"/>
    <mergeCell ref="C4028:F4031"/>
    <mergeCell ref="G4028:I4028"/>
    <mergeCell ref="G4029:I4029"/>
    <mergeCell ref="H4030:I4030"/>
    <mergeCell ref="B4018:I4018"/>
    <mergeCell ref="B4019:I4019"/>
    <mergeCell ref="B4020:C4020"/>
    <mergeCell ref="B4021:C4021"/>
    <mergeCell ref="B4022:C4022"/>
    <mergeCell ref="B4023:C4023"/>
  </mergeCells>
  <pageMargins left="0.7" right="0.7" top="0.75" bottom="0.75" header="0.3" footer="0.3"/>
  <pageSetup paperSize="9" scale="88" orientation="portrait" r:id="rId1"/>
  <rowBreaks count="88" manualBreakCount="88">
    <brk id="50" min="1" max="8" man="1"/>
    <brk id="99" min="1" max="8" man="1"/>
    <brk id="147" min="1" max="8" man="1"/>
    <brk id="195" min="1" max="8" man="1"/>
    <brk id="243" min="1" max="8" man="1"/>
    <brk id="291" min="1" max="8" man="1"/>
    <brk id="337" min="1" max="8" man="1"/>
    <brk id="383" min="1" max="8" man="1"/>
    <brk id="429" min="1" max="8" man="1"/>
    <brk id="475" min="1" max="8" man="1"/>
    <brk id="520" min="1" max="8" man="1"/>
    <brk id="565" min="1" max="8" man="1"/>
    <brk id="610" min="1" max="8" man="1"/>
    <brk id="655" min="1" max="8" man="1"/>
    <brk id="700" min="1" max="8" man="1"/>
    <brk id="745" min="1" max="8" man="1"/>
    <brk id="790" min="1" max="8" man="1"/>
    <brk id="835" min="1" max="8" man="1"/>
    <brk id="880" min="1" max="8" man="1"/>
    <brk id="925" min="1" max="8" man="1"/>
    <brk id="970" min="1" max="8" man="1"/>
    <brk id="1015" min="1" max="8" man="1"/>
    <brk id="1060" min="1" max="8" man="1"/>
    <brk id="1105" min="1" max="8" man="1"/>
    <brk id="1150" min="1" max="8" man="1"/>
    <brk id="1195" min="1" max="8" man="1"/>
    <brk id="1240" min="1" max="8" man="1"/>
    <brk id="1285" min="1" max="8" man="1"/>
    <brk id="1331" min="1" max="8" man="1"/>
    <brk id="1376" min="1" max="8" man="1"/>
    <brk id="1421" min="1" max="8" man="1"/>
    <brk id="1466" min="1" max="8" man="1"/>
    <brk id="1511" min="1" max="8" man="1"/>
    <brk id="1556" min="1" max="8" man="1"/>
    <brk id="1601" min="1" max="8" man="1"/>
    <brk id="1646" min="1" max="8" man="1"/>
    <brk id="1691" min="1" max="8" man="1"/>
    <brk id="1736" min="1" max="8" man="1"/>
    <brk id="1781" min="1" max="8" man="1"/>
    <brk id="1826" min="1" max="8" man="1"/>
    <brk id="1871" min="1" max="8" man="1"/>
    <brk id="1916" min="1" max="8" man="1"/>
    <brk id="1961" min="1" max="8" man="1"/>
    <brk id="2006" min="1" max="8" man="1"/>
    <brk id="2052" min="1" max="8" man="1"/>
    <brk id="2097" min="1" max="8" man="1"/>
    <brk id="2143" min="1" max="8" man="1"/>
    <brk id="2188" min="1" max="8" man="1"/>
    <brk id="2233" min="1" max="8" man="1"/>
    <brk id="2278" min="1" max="8" man="1"/>
    <brk id="2323" min="1" max="8" man="1"/>
    <brk id="2368" min="1" max="8" man="1"/>
    <brk id="2413" min="1" max="8" man="1"/>
    <brk id="2458" min="1" max="8" man="1"/>
    <brk id="2503" min="1" max="8" man="1"/>
    <brk id="2548" min="1" max="8" man="1"/>
    <brk id="2593" min="1" max="8" man="1"/>
    <brk id="2638" min="1" max="8" man="1"/>
    <brk id="2684" min="1" max="8" man="1"/>
    <brk id="2729" min="1" max="8" man="1"/>
    <brk id="2774" min="1" max="8" man="1"/>
    <brk id="2819" min="1" max="8" man="1"/>
    <brk id="2864" min="1" max="8" man="1"/>
    <brk id="2909" min="1" max="8" man="1"/>
    <brk id="2954" min="1" max="8" man="1"/>
    <brk id="2999" min="1" max="8" man="1"/>
    <brk id="3044" min="1" max="8" man="1"/>
    <brk id="3089" min="1" max="8" man="1"/>
    <brk id="3134" min="1" max="8" man="1"/>
    <brk id="3179" min="1" max="8" man="1"/>
    <brk id="3224" min="1" max="8" man="1"/>
    <brk id="3269" min="1" max="8" man="1"/>
    <brk id="3314" min="1" max="8" man="1"/>
    <brk id="3359" min="1" max="8" man="1"/>
    <brk id="3404" min="1" max="8" man="1"/>
    <brk id="3449" min="1" max="8" man="1"/>
    <brk id="3494" min="1" max="8" man="1"/>
    <brk id="3539" min="1" max="8" man="1"/>
    <brk id="3584" min="1" max="8" man="1"/>
    <brk id="3629" min="1" max="8" man="1"/>
    <brk id="3674" min="1" max="8" man="1"/>
    <brk id="3719" min="1" max="8" man="1"/>
    <brk id="3764" min="1" max="8" man="1"/>
    <brk id="3809" min="1" max="8" man="1"/>
    <brk id="3854" min="1" max="8" man="1"/>
    <brk id="3899" min="1" max="8" man="1"/>
    <brk id="3944" min="1" max="8" man="1"/>
    <brk id="3989" min="1" max="8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7D4C2-B079-4427-A66D-73D71AD6C174}">
  <dimension ref="B2:L3224"/>
  <sheetViews>
    <sheetView topLeftCell="A34" workbookViewId="0">
      <selection activeCell="H52" sqref="H52"/>
    </sheetView>
  </sheetViews>
  <sheetFormatPr baseColWidth="10" defaultRowHeight="15" x14ac:dyDescent="0.25"/>
  <cols>
    <col min="3" max="3" width="12.5703125" style="140" bestFit="1" customWidth="1"/>
    <col min="7" max="7" width="21.7109375" customWidth="1"/>
    <col min="8" max="8" width="19.28515625" style="140" bestFit="1" customWidth="1"/>
    <col min="10" max="10" width="17.7109375" customWidth="1"/>
    <col min="11" max="11" width="14.85546875" style="140" customWidth="1"/>
  </cols>
  <sheetData>
    <row r="2" spans="2:12" x14ac:dyDescent="0.25">
      <c r="B2" s="276" t="s">
        <v>672</v>
      </c>
      <c r="G2" s="276" t="s">
        <v>675</v>
      </c>
      <c r="H2" s="140" t="s">
        <v>677</v>
      </c>
      <c r="J2" s="276" t="s">
        <v>678</v>
      </c>
    </row>
    <row r="3" spans="2:12" x14ac:dyDescent="0.25">
      <c r="B3" t="s">
        <v>674</v>
      </c>
      <c r="C3" s="140">
        <v>140000</v>
      </c>
      <c r="E3">
        <f>+C3*30</f>
        <v>4200000</v>
      </c>
      <c r="G3" t="s">
        <v>676</v>
      </c>
      <c r="H3" s="140">
        <v>90000</v>
      </c>
      <c r="J3" t="s">
        <v>679</v>
      </c>
      <c r="K3" s="140">
        <f>77900/(1.22*2.44)</f>
        <v>26169.040580489116</v>
      </c>
      <c r="L3" t="s">
        <v>34</v>
      </c>
    </row>
    <row r="4" spans="2:12" x14ac:dyDescent="0.25">
      <c r="B4" t="s">
        <v>357</v>
      </c>
      <c r="C4" s="140">
        <v>80000</v>
      </c>
      <c r="E4">
        <f>+C4*30</f>
        <v>2400000</v>
      </c>
      <c r="G4" t="s">
        <v>684</v>
      </c>
      <c r="H4" s="140">
        <v>50000</v>
      </c>
      <c r="J4" t="s">
        <v>680</v>
      </c>
      <c r="K4" s="140">
        <v>4750</v>
      </c>
    </row>
    <row r="5" spans="2:12" x14ac:dyDescent="0.25">
      <c r="B5" t="s">
        <v>673</v>
      </c>
      <c r="C5" s="140">
        <v>55000</v>
      </c>
      <c r="E5">
        <f>+C5*30</f>
        <v>1650000</v>
      </c>
      <c r="G5" t="s">
        <v>391</v>
      </c>
      <c r="H5" s="140">
        <v>85000</v>
      </c>
      <c r="J5" t="s">
        <v>373</v>
      </c>
      <c r="K5" s="140">
        <v>4500</v>
      </c>
    </row>
    <row r="6" spans="2:12" x14ac:dyDescent="0.25">
      <c r="B6" t="s">
        <v>390</v>
      </c>
      <c r="C6" s="140">
        <v>80000</v>
      </c>
      <c r="G6" t="s">
        <v>699</v>
      </c>
      <c r="H6" s="140">
        <v>55000</v>
      </c>
      <c r="J6" s="140" t="s">
        <v>360</v>
      </c>
      <c r="K6" s="140">
        <v>250000</v>
      </c>
      <c r="L6" t="s">
        <v>171</v>
      </c>
    </row>
    <row r="7" spans="2:12" x14ac:dyDescent="0.25">
      <c r="J7" s="140" t="s">
        <v>393</v>
      </c>
      <c r="K7" s="140">
        <v>2500</v>
      </c>
      <c r="L7" t="s">
        <v>359</v>
      </c>
    </row>
    <row r="8" spans="2:12" x14ac:dyDescent="0.25">
      <c r="J8" s="140" t="s">
        <v>395</v>
      </c>
      <c r="K8" s="140">
        <v>3100</v>
      </c>
      <c r="L8" t="s">
        <v>359</v>
      </c>
    </row>
    <row r="9" spans="2:12" x14ac:dyDescent="0.25">
      <c r="J9" s="140" t="s">
        <v>362</v>
      </c>
      <c r="K9" s="140">
        <v>1800</v>
      </c>
      <c r="L9" t="s">
        <v>359</v>
      </c>
    </row>
    <row r="10" spans="2:12" x14ac:dyDescent="0.25">
      <c r="J10" s="140" t="s">
        <v>394</v>
      </c>
      <c r="K10" s="140">
        <v>62900</v>
      </c>
      <c r="L10" t="s">
        <v>27</v>
      </c>
    </row>
    <row r="11" spans="2:12" x14ac:dyDescent="0.25">
      <c r="J11" t="s">
        <v>375</v>
      </c>
      <c r="K11" s="140">
        <v>28800</v>
      </c>
    </row>
    <row r="12" spans="2:12" x14ac:dyDescent="0.25">
      <c r="J12" t="s">
        <v>376</v>
      </c>
      <c r="K12" s="140">
        <v>39500</v>
      </c>
    </row>
    <row r="13" spans="2:12" x14ac:dyDescent="0.25">
      <c r="J13" t="s">
        <v>377</v>
      </c>
      <c r="K13" s="140">
        <v>28500</v>
      </c>
    </row>
    <row r="14" spans="2:12" x14ac:dyDescent="0.25">
      <c r="J14" t="s">
        <v>383</v>
      </c>
      <c r="K14" s="140">
        <v>3050</v>
      </c>
    </row>
    <row r="15" spans="2:12" x14ac:dyDescent="0.25">
      <c r="J15" t="s">
        <v>384</v>
      </c>
      <c r="K15" s="140">
        <v>39101</v>
      </c>
    </row>
    <row r="16" spans="2:12" x14ac:dyDescent="0.25">
      <c r="J16" t="s">
        <v>385</v>
      </c>
      <c r="K16" s="140">
        <v>5420</v>
      </c>
    </row>
    <row r="17" spans="10:12" x14ac:dyDescent="0.25">
      <c r="J17" t="s">
        <v>386</v>
      </c>
      <c r="K17" s="140">
        <v>5120</v>
      </c>
    </row>
    <row r="18" spans="10:12" x14ac:dyDescent="0.25">
      <c r="J18" t="s">
        <v>387</v>
      </c>
      <c r="K18" s="140">
        <v>35500</v>
      </c>
    </row>
    <row r="19" spans="10:12" x14ac:dyDescent="0.25">
      <c r="J19" t="s">
        <v>388</v>
      </c>
      <c r="K19" s="140">
        <v>26500</v>
      </c>
    </row>
    <row r="20" spans="10:12" x14ac:dyDescent="0.25">
      <c r="J20" t="s">
        <v>396</v>
      </c>
      <c r="K20" s="140">
        <v>67500</v>
      </c>
    </row>
    <row r="21" spans="10:12" x14ac:dyDescent="0.25">
      <c r="J21" t="s">
        <v>397</v>
      </c>
      <c r="K21" s="140">
        <v>52000</v>
      </c>
    </row>
    <row r="22" spans="10:12" x14ac:dyDescent="0.25">
      <c r="J22" t="s">
        <v>688</v>
      </c>
      <c r="K22" s="140">
        <v>4500</v>
      </c>
      <c r="L22" t="s">
        <v>27</v>
      </c>
    </row>
    <row r="23" spans="10:12" x14ac:dyDescent="0.25">
      <c r="J23" t="s">
        <v>689</v>
      </c>
      <c r="K23" s="140">
        <v>12900</v>
      </c>
      <c r="L23" t="s">
        <v>27</v>
      </c>
    </row>
    <row r="24" spans="10:12" x14ac:dyDescent="0.25">
      <c r="J24" t="s">
        <v>690</v>
      </c>
      <c r="K24" s="140">
        <v>61900</v>
      </c>
      <c r="L24" t="s">
        <v>27</v>
      </c>
    </row>
    <row r="25" spans="10:12" x14ac:dyDescent="0.25">
      <c r="J25" t="s">
        <v>691</v>
      </c>
      <c r="K25" s="140">
        <v>100</v>
      </c>
      <c r="L25" t="s">
        <v>27</v>
      </c>
    </row>
    <row r="26" spans="10:12" x14ac:dyDescent="0.25">
      <c r="J26" t="s">
        <v>692</v>
      </c>
      <c r="K26" s="140">
        <v>60</v>
      </c>
      <c r="L26" t="s">
        <v>27</v>
      </c>
    </row>
    <row r="27" spans="10:12" x14ac:dyDescent="0.25">
      <c r="J27" t="s">
        <v>370</v>
      </c>
      <c r="K27" s="140">
        <v>25980</v>
      </c>
      <c r="L27" t="s">
        <v>369</v>
      </c>
    </row>
    <row r="28" spans="10:12" x14ac:dyDescent="0.25">
      <c r="J28" t="s">
        <v>372</v>
      </c>
      <c r="K28" s="140">
        <v>1900</v>
      </c>
      <c r="L28" t="s">
        <v>27</v>
      </c>
    </row>
    <row r="29" spans="10:12" x14ac:dyDescent="0.25">
      <c r="J29" t="s">
        <v>696</v>
      </c>
      <c r="K29" s="140">
        <v>166900</v>
      </c>
      <c r="L29" t="s">
        <v>697</v>
      </c>
    </row>
    <row r="30" spans="10:12" x14ac:dyDescent="0.25">
      <c r="J30" t="s">
        <v>693</v>
      </c>
      <c r="K30" s="140">
        <v>11900</v>
      </c>
      <c r="L30" t="s">
        <v>698</v>
      </c>
    </row>
    <row r="31" spans="10:12" x14ac:dyDescent="0.25">
      <c r="J31" t="s">
        <v>694</v>
      </c>
      <c r="K31" s="140">
        <v>154900</v>
      </c>
      <c r="L31" t="s">
        <v>697</v>
      </c>
    </row>
    <row r="32" spans="10:12" x14ac:dyDescent="0.25">
      <c r="J32" t="s">
        <v>695</v>
      </c>
      <c r="K32" s="140">
        <v>39000</v>
      </c>
      <c r="L32" t="s">
        <v>697</v>
      </c>
    </row>
    <row r="33" spans="10:12" x14ac:dyDescent="0.25">
      <c r="J33" t="s">
        <v>681</v>
      </c>
      <c r="K33" s="140">
        <v>2000</v>
      </c>
    </row>
    <row r="34" spans="10:12" x14ac:dyDescent="0.25">
      <c r="J34" t="s">
        <v>392</v>
      </c>
      <c r="K34" s="140">
        <v>32000</v>
      </c>
    </row>
    <row r="35" spans="10:12" x14ac:dyDescent="0.25">
      <c r="J35" t="s">
        <v>685</v>
      </c>
      <c r="K35" s="140">
        <v>75900</v>
      </c>
    </row>
    <row r="36" spans="10:12" x14ac:dyDescent="0.25">
      <c r="J36" t="s">
        <v>686</v>
      </c>
      <c r="K36" s="140">
        <v>36900</v>
      </c>
    </row>
    <row r="37" spans="10:12" x14ac:dyDescent="0.25">
      <c r="J37" t="s">
        <v>687</v>
      </c>
      <c r="K37" s="140">
        <v>27900</v>
      </c>
    </row>
    <row r="38" spans="10:12" x14ac:dyDescent="0.25">
      <c r="J38" t="s">
        <v>700</v>
      </c>
      <c r="K38" s="140">
        <v>199900</v>
      </c>
    </row>
    <row r="39" spans="10:12" x14ac:dyDescent="0.25">
      <c r="J39" t="s">
        <v>701</v>
      </c>
      <c r="K39" s="140">
        <v>34848.914942219839</v>
      </c>
    </row>
    <row r="40" spans="10:12" x14ac:dyDescent="0.25">
      <c r="J40" t="s">
        <v>702</v>
      </c>
      <c r="K40" s="140">
        <v>12212.97</v>
      </c>
    </row>
    <row r="41" spans="10:12" x14ac:dyDescent="0.25">
      <c r="J41" t="s">
        <v>703</v>
      </c>
      <c r="K41" s="140">
        <v>17278.800000000003</v>
      </c>
    </row>
    <row r="42" spans="10:12" x14ac:dyDescent="0.25">
      <c r="J42" t="s">
        <v>371</v>
      </c>
      <c r="K42" s="140">
        <v>12841.29</v>
      </c>
    </row>
    <row r="43" spans="10:12" x14ac:dyDescent="0.25">
      <c r="J43" t="s">
        <v>368</v>
      </c>
      <c r="K43" s="140">
        <v>3163</v>
      </c>
    </row>
    <row r="44" spans="10:12" x14ac:dyDescent="0.25">
      <c r="J44" t="s">
        <v>691</v>
      </c>
      <c r="K44" s="140">
        <v>100</v>
      </c>
    </row>
    <row r="45" spans="10:12" x14ac:dyDescent="0.25">
      <c r="J45" t="s">
        <v>692</v>
      </c>
      <c r="K45" s="140">
        <v>60</v>
      </c>
    </row>
    <row r="46" spans="10:12" x14ac:dyDescent="0.25">
      <c r="J46" t="s">
        <v>704</v>
      </c>
      <c r="K46" s="140">
        <v>128386.72</v>
      </c>
    </row>
    <row r="47" spans="10:12" x14ac:dyDescent="0.25">
      <c r="J47" t="s">
        <v>372</v>
      </c>
      <c r="K47" s="140">
        <v>1900</v>
      </c>
    </row>
    <row r="48" spans="10:12" x14ac:dyDescent="0.25">
      <c r="J48" t="s">
        <v>710</v>
      </c>
      <c r="K48" s="140">
        <v>2362000</v>
      </c>
      <c r="L48" t="s">
        <v>27</v>
      </c>
    </row>
    <row r="49" spans="10:12" x14ac:dyDescent="0.25">
      <c r="J49" t="s">
        <v>705</v>
      </c>
      <c r="K49" s="140">
        <v>16699.960999999999</v>
      </c>
      <c r="L49" t="s">
        <v>389</v>
      </c>
    </row>
    <row r="50" spans="10:12" x14ac:dyDescent="0.25">
      <c r="J50" t="s">
        <v>706</v>
      </c>
      <c r="K50" s="140">
        <v>27199.921999999999</v>
      </c>
      <c r="L50" t="s">
        <v>389</v>
      </c>
    </row>
    <row r="51" spans="10:12" x14ac:dyDescent="0.25">
      <c r="J51" t="s">
        <v>707</v>
      </c>
      <c r="K51" s="140">
        <v>12999.8</v>
      </c>
      <c r="L51" t="s">
        <v>27</v>
      </c>
    </row>
    <row r="52" spans="10:12" x14ac:dyDescent="0.25">
      <c r="J52" t="s">
        <v>708</v>
      </c>
      <c r="K52" s="140">
        <v>6500.4940000000006</v>
      </c>
      <c r="L52" t="s">
        <v>709</v>
      </c>
    </row>
    <row r="53" spans="10:12" x14ac:dyDescent="0.25">
      <c r="J53" t="s">
        <v>380</v>
      </c>
    </row>
    <row r="54" spans="10:12" x14ac:dyDescent="0.25">
      <c r="J54" t="s">
        <v>381</v>
      </c>
    </row>
    <row r="3199" spans="8:8" x14ac:dyDescent="0.25">
      <c r="H3199" s="140">
        <v>0.4</v>
      </c>
    </row>
    <row r="3224" spans="9:9" x14ac:dyDescent="0.25">
      <c r="I3224">
        <f>ROUND(+I3195+I3207+I3214+I3222,0)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PRESUPUESTO SEDE PRINCIPAL</vt:lpstr>
      <vt:lpstr>PRESUPUESTO SEDE PRINCIPAL OK</vt:lpstr>
      <vt:lpstr>Hoja2</vt:lpstr>
      <vt:lpstr>PRESUPUESTO SEDE PRINCIPAL  V1</vt:lpstr>
      <vt:lpstr>OFERTA ECONOMICA MTO </vt:lpstr>
      <vt:lpstr>APUS VENTANERIA </vt:lpstr>
      <vt:lpstr>PRECIOS </vt:lpstr>
      <vt:lpstr>'APUS VENTANERIA '!Área_de_impresión</vt:lpstr>
      <vt:lpstr>'OFERTA ECONOMICA MTO '!Área_de_impresión</vt:lpstr>
      <vt:lpstr>'PRESUPUESTO SEDE PRINCIPAL'!Área_de_impresión</vt:lpstr>
      <vt:lpstr>'PRESUPUESTO SEDE PRINCIPAL  V1'!Área_de_impresión</vt:lpstr>
      <vt:lpstr>'PRESUPUESTO SEDE PRINCIPAL OK'!Área_de_impresión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Contratación - Córdoba - Montería</cp:lastModifiedBy>
  <cp:lastPrinted>2025-03-27T14:11:43Z</cp:lastPrinted>
  <dcterms:created xsi:type="dcterms:W3CDTF">2024-03-07T13:50:24Z</dcterms:created>
  <dcterms:modified xsi:type="dcterms:W3CDTF">2026-03-04T21:15:57Z</dcterms:modified>
</cp:coreProperties>
</file>