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stemasdesur-my.sharepoint.com/personal/juan_carmona_desur_gov_co/Documents/Attachments/CONTRATOS 2026/DESur-OC-174-2026 OBRA IE 2 ENVIGADO/"/>
    </mc:Choice>
  </mc:AlternateContent>
  <xr:revisionPtr revIDLastSave="186" documentId="8_{23AC2898-AAB2-424B-B7A5-DD783D1B90D1}" xr6:coauthVersionLast="47" xr6:coauthVersionMax="47" xr10:uidLastSave="{B0CFB239-4A82-4269-8154-FB8E94EA75AF}"/>
  <bookViews>
    <workbookView xWindow="-120" yWindow="-120" windowWidth="29040" windowHeight="15720" tabRatio="743" xr2:uid="{BF1EC396-AB51-4DB4-8E2C-BC95AE559528}"/>
  </bookViews>
  <sheets>
    <sheet name="OFERTA ECONOMICA" sheetId="26" r:id="rId1"/>
    <sheet name="AU " sheetId="19" state="hidden" r:id="rId2"/>
    <sheet name="Subanalisis AU " sheetId="20" r:id="rId3"/>
    <sheet name="A.P.U" sheetId="27" state="hidden" r:id="rId4"/>
    <sheet name="sub M. DE OBRA" sheetId="36" state="hidden" r:id="rId5"/>
    <sheet name="Tabla Salarial " sheetId="21" state="hidden" r:id="rId6"/>
    <sheet name="Póliza " sheetId="29" r:id="rId7"/>
    <sheet name="INDICES DE CAMACOL" sheetId="30" state="hidden" r:id="rId8"/>
    <sheet name="Fórmula Reajuste " sheetId="34" state="hidden" r:id="rId9"/>
    <sheet name="Cálculo reajuste" sheetId="35" state="hidden" r:id="rId10"/>
    <sheet name="Flujo de caja " sheetId="33" state="hidden" r:id="rId11"/>
  </sheets>
  <definedNames>
    <definedName name="________r" localSheetId="6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6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a1" localSheetId="6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6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6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6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6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6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6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6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6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6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6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6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6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localSheetId="6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6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6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6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6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6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6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6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6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6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6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6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6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6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6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6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6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6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6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6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6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6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6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6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6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6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6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6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6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6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6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6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6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6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6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6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6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6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6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6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6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6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6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6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6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6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6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6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6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6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6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6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6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6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6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6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6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6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6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6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6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6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6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6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6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6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6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6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6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6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6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6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6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6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6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6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6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6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6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6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6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6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6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6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6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6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6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6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6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6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6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6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6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6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6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6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6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6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6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6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6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6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6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6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6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6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6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6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6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6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6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6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6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6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6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6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6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localSheetId="6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6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6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6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6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6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6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6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6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6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6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6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6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6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6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6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6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6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6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6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6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6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6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6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6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6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6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6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6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6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6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6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6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6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6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6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6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6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6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6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6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6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6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6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6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6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6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6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6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6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6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6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6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6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6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6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6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6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6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6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6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6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6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6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6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6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6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6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6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6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6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6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6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6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6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6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6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6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6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6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6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6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6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6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6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6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6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6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6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6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6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6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6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6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6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6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6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6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6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6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6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6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6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6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6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6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6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6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6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localSheetId="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6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6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6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6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6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6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6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6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localSheetId="6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6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6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6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6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6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6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6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6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6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6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6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6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6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6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6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6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6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6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6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6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6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6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6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6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6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6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6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6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6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6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6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6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6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6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6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6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6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6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6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6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6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6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6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6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6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6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6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6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6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6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6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6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6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6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6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6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6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6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6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6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6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6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6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6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6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6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6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6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6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6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6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6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6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6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6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6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6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6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6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6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6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6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6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6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6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6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6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6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6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6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6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6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6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6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6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6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6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6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6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6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6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6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6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6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6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6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6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6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6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6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6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6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6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6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6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6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localSheetId="6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6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6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6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6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6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6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6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6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6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6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6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6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6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6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6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6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6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6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6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6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6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6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6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6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6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6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6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6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6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6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6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6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6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6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6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6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6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6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6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6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6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6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6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6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6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6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6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3" hidden="1">{#N/A,#N/A,FALSE,"GRAFICO";#N/A,#N/A,FALSE,"CAJA (2)";#N/A,#N/A,FALSE,"TERCEROS-PROMEDIO";#N/A,#N/A,FALSE,"CAJA";#N/A,#N/A,FALSE,"INGRESOS1995-2003";#N/A,#N/A,FALSE,"GASTOS1995-2003"}</definedName>
    <definedName name="____R" localSheetId="0" hidden="1">{#N/A,#N/A,FALSE,"GRAFICO";#N/A,#N/A,FALSE,"CAJA (2)";#N/A,#N/A,FALSE,"TERCEROS-PROMEDIO";#N/A,#N/A,FALSE,"CAJA";#N/A,#N/A,FALSE,"INGRESOS1995-2003";#N/A,#N/A,FALSE,"GASTOS1995-2003"}</definedName>
    <definedName name="____R" localSheetId="6" hidden="1">{#N/A,#N/A,FALSE,"GRAFICO";#N/A,#N/A,FALSE,"CAJA (2)";#N/A,#N/A,FALSE,"TERCEROS-PROMEDIO";#N/A,#N/A,FALSE,"CAJA";#N/A,#N/A,FALSE,"INGRESOS1995-2003";#N/A,#N/A,FALSE,"GASTOS1995-2003"}</definedName>
    <definedName name="____R" localSheetId="2" hidden="1">{#N/A,#N/A,FALSE,"GRAFICO";#N/A,#N/A,FALSE,"CAJA (2)";#N/A,#N/A,FALSE,"TERCEROS-PROMEDIO";#N/A,#N/A,FALSE,"CAJA";#N/A,#N/A,FALSE,"INGRESOS1995-2003";#N/A,#N/A,FALSE,"GASTOS1995-2003"}</definedName>
    <definedName name="____R" localSheetId="5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4r" localSheetId="6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6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6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6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6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6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6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6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6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6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6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6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6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6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6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6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6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6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6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6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6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6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6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6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6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6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6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6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6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6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6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6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6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6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6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6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6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6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6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6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6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6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6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6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6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6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6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6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6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6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6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6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6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6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6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6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3" localSheetId="6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6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6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6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localSheetId="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6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6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6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6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6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6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6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6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6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6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6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6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6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6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6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6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6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6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6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6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6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6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6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6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6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6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6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6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6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6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6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6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6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6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6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6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6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6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6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6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6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6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6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6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6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6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6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6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6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6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6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6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6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6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6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6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6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3" hidden="1">{#N/A,#N/A,FALSE,"GRAFICO";#N/A,#N/A,FALSE,"CAJA (2)";#N/A,#N/A,FALSE,"TERCEROS-PROMEDIO";#N/A,#N/A,FALSE,"CAJA";#N/A,#N/A,FALSE,"INGRESOS1995-2003";#N/A,#N/A,FALSE,"GASTOS1995-2003"}</definedName>
    <definedName name="___R" localSheetId="0" hidden="1">{#N/A,#N/A,FALSE,"GRAFICO";#N/A,#N/A,FALSE,"CAJA (2)";#N/A,#N/A,FALSE,"TERCEROS-PROMEDIO";#N/A,#N/A,FALSE,"CAJA";#N/A,#N/A,FALSE,"INGRESOS1995-2003";#N/A,#N/A,FALSE,"GASTOS1995-2003"}</definedName>
    <definedName name="___R" localSheetId="6" hidden="1">{#N/A,#N/A,FALSE,"GRAFICO";#N/A,#N/A,FALSE,"CAJA (2)";#N/A,#N/A,FALSE,"TERCEROS-PROMEDIO";#N/A,#N/A,FALSE,"CAJA";#N/A,#N/A,FALSE,"INGRESOS1995-2003";#N/A,#N/A,FALSE,"GASTOS1995-2003"}</definedName>
    <definedName name="___R" localSheetId="2" hidden="1">{#N/A,#N/A,FALSE,"GRAFICO";#N/A,#N/A,FALSE,"CAJA (2)";#N/A,#N/A,FALSE,"TERCEROS-PROMEDIO";#N/A,#N/A,FALSE,"CAJA";#N/A,#N/A,FALSE,"INGRESOS1995-2003";#N/A,#N/A,FALSE,"GASTOS1995-2003"}</definedName>
    <definedName name="___R" localSheetId="5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4r" localSheetId="6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6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6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6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6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6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6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6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6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6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6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6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6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6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6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6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6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6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6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6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6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6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6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6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6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6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6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3" localSheetId="6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9" localSheetId="6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6" hidden="1">{"via1",#N/A,TRUE,"general";"via2",#N/A,TRUE,"general";"via3",#N/A,TRUE,"general"}</definedName>
    <definedName name="___vfv4" hidden="1">{"via1",#N/A,TRUE,"general";"via2",#N/A,TRUE,"general";"via3",#N/A,TRUE,"general"}</definedName>
    <definedName name="___x8" localSheetId="6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6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8" localSheetId="6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6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3" localSheetId="6" hidden="1">{"via1",#N/A,TRUE,"general";"via2",#N/A,TRUE,"general";"via3",#N/A,TRUE,"general"}</definedName>
    <definedName name="___z3" hidden="1">{"via1",#N/A,TRUE,"general";"via2",#N/A,TRUE,"general";"via3",#N/A,TRUE,"general"}</definedName>
    <definedName name="__123" hidden="1">#REF!</definedName>
    <definedName name="__1234" hidden="1">#REF!</definedName>
    <definedName name="__123Graph_A" localSheetId="6" hidden="1">#REF!</definedName>
    <definedName name="__123Graph_A" hidden="1">#REF!</definedName>
    <definedName name="__123Graph_Acaja" localSheetId="6" hidden="1">#REF!</definedName>
    <definedName name="__123Graph_Acaja" hidden="1">#REF!</definedName>
    <definedName name="__123Graph_ACart_AnticAdic" localSheetId="6" hidden="1">#REF!</definedName>
    <definedName name="__123Graph_ACart_AnticAdic" hidden="1">#REF!</definedName>
    <definedName name="__123Graph_AFACTURAC" localSheetId="6" hidden="1">#REF!</definedName>
    <definedName name="__123Graph_AFACTURAC" hidden="1">#REF!</definedName>
    <definedName name="__123Graph_AGraph2" localSheetId="6" hidden="1">#REF!</definedName>
    <definedName name="__123Graph_AGraph2" hidden="1">#REF!</definedName>
    <definedName name="__123Graph_Bcaja" localSheetId="6" hidden="1">#REF!</definedName>
    <definedName name="__123Graph_Bcaja" hidden="1">#REF!</definedName>
    <definedName name="__123Graph_BCart_AnticAdic" localSheetId="6" hidden="1">#REF!</definedName>
    <definedName name="__123Graph_BCart_AnticAdic" hidden="1">#REF!</definedName>
    <definedName name="__123Graph_BINGPDM" hidden="1">#REF!</definedName>
    <definedName name="__123Graph_C" hidden="1">#REF!</definedName>
    <definedName name="__123Graph_Ccaja" localSheetId="6" hidden="1">#REF!</definedName>
    <definedName name="__123Graph_Ccaja" hidden="1">#REF!</definedName>
    <definedName name="__123Graph_CCart_AnticAdic" localSheetId="6" hidden="1">#REF!</definedName>
    <definedName name="__123Graph_CCart_AnticAdic" hidden="1">#REF!</definedName>
    <definedName name="__123Graph_CIEPDM" hidden="1">#REF!</definedName>
    <definedName name="__123Graph_CINGPDM" hidden="1">#REF!</definedName>
    <definedName name="__123Graph_Dcaja" localSheetId="6" hidden="1">#REF!</definedName>
    <definedName name="__123Graph_Dcaja" hidden="1">#REF!</definedName>
    <definedName name="__123Graph_DCart_AnticAdic" localSheetId="6" hidden="1">#REF!</definedName>
    <definedName name="__123Graph_DCart_AnticAdic" hidden="1">#REF!</definedName>
    <definedName name="__123Graph_ECart_AnticAdic" localSheetId="6" hidden="1">#REF!</definedName>
    <definedName name="__123Graph_ECart_AnticAdic" hidden="1">#REF!</definedName>
    <definedName name="__123Graph_LBL_ACart_AnticAdic" localSheetId="6" hidden="1">#REF!</definedName>
    <definedName name="__123Graph_LBL_ACart_AnticAdic" hidden="1">#REF!</definedName>
    <definedName name="__123Graph_LBL_Ccaja" localSheetId="6" hidden="1">#REF!</definedName>
    <definedName name="__123Graph_LBL_Ccaja" hidden="1">#REF!</definedName>
    <definedName name="__123Graph_LBL_DCart_AnticAdic" localSheetId="6" hidden="1">#REF!</definedName>
    <definedName name="__123Graph_LBL_DCart_AnticAdic" hidden="1">#REF!</definedName>
    <definedName name="__123Graph_X" localSheetId="6" hidden="1">#REF!</definedName>
    <definedName name="__123Graph_X" hidden="1">#REF!</definedName>
    <definedName name="__123Graph_Xcaja" localSheetId="6" hidden="1">#REF!</definedName>
    <definedName name="__123Graph_Xcaja" hidden="1">#REF!</definedName>
    <definedName name="__a1" localSheetId="3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localSheetId="6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localSheetId="5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6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localSheetId="5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3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6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localSheetId="5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6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5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6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localSheetId="5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5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5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5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3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6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localSheetId="5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5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6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5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5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6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localSheetId="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3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6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localSheetId="5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5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5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5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6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5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5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3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6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localSheetId="5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5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5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6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5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5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3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6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localSheetId="5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6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5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3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6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localSheetId="5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5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5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6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5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3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6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localSheetId="5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6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5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3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6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localSheetId="5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6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5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localSheetId="5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3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6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localSheetId="5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5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6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5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3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6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localSheetId="5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5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6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5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5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3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6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localSheetId="5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6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5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3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6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localSheetId="5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6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5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5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3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6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localSheetId="5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5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6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localSheetId="5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3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6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localSheetId="5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6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5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3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6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localSheetId="5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5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6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5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5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3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6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localSheetId="5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6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5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3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6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localSheetId="5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5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6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5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6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localSheetId="5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3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6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localSheetId="5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6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localSheetId="5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5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6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5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5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3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6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localSheetId="5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5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6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5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3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6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localSheetId="5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6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localSheetId="5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3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6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localSheetId="5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6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5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3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6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localSheetId="5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6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5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3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6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localSheetId="5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6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5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5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3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6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localSheetId="5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6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5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3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6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localSheetId="5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6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localSheetId="5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5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3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6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localSheetId="5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6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5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5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6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5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3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6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localSheetId="5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6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5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5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5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3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6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localSheetId="5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6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5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5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3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6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localSheetId="5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6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localSheetId="5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3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6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localSheetId="5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5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5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6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5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5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3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6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localSheetId="5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6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5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3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6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localSheetId="5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3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6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localSheetId="5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5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6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5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3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6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localSheetId="5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5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5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6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5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5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3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6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localSheetId="5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5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6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5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3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6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localSheetId="5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6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5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23" hidden="1">#REF!</definedName>
    <definedName name="_a1" localSheetId="3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3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asd" localSheetId="6" hidden="1">#REF!</definedName>
    <definedName name="_dasd" hidden="1">#REF!</definedName>
    <definedName name="_Dist_Bin" localSheetId="6" hidden="1">#REF!</definedName>
    <definedName name="_Dist_Bin" hidden="1">#REF!</definedName>
    <definedName name="_Dist_Values" localSheetId="6" hidden="1">#REF!</definedName>
    <definedName name="_Dist_Values" hidden="1">#REF!</definedName>
    <definedName name="_Fill" localSheetId="3" hidden="1">#REF!</definedName>
    <definedName name="_Fill" localSheetId="6" hidden="1">#REF!</definedName>
    <definedName name="_Fill" localSheetId="2" hidden="1">#REF!</definedName>
    <definedName name="_Fill" hidden="1">#N/A</definedName>
    <definedName name="_xlnm._FilterDatabase" localSheetId="7" hidden="1">'INDICES DE CAMACOL'!$A$4:$BI$112</definedName>
    <definedName name="_xlnm._FilterDatabase" localSheetId="0" hidden="1">'OFERTA ECONOMICA'!$A$1:$F$109</definedName>
    <definedName name="_xlnm._FilterDatabase" localSheetId="6" hidden="1">#REF!</definedName>
    <definedName name="_xlnm._FilterDatabase" hidden="1">#REF!</definedName>
    <definedName name="_g2" localSheetId="3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6" hidden="1">#REF!</definedName>
    <definedName name="_Key1" localSheetId="2" hidden="1">#REF!</definedName>
    <definedName name="_Key1" hidden="1">#N/A</definedName>
    <definedName name="_Key2" localSheetId="3" hidden="1">#REF!</definedName>
    <definedName name="_Key2" localSheetId="0" hidden="1">#REF!</definedName>
    <definedName name="_Key2" localSheetId="2" hidden="1">#REF!</definedName>
    <definedName name="_Key2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3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3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3" hidden="1">0</definedName>
    <definedName name="_Order1" localSheetId="2" hidden="1">0</definedName>
    <definedName name="_Order1" hidden="1">255</definedName>
    <definedName name="_Order2" hidden="1">255</definedName>
    <definedName name="_p6" localSheetId="3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3" hidden="1">#REF!</definedName>
    <definedName name="_Parse_Out" localSheetId="1" hidden="1">#REF!</definedName>
    <definedName name="_Parse_Out" localSheetId="2" hidden="1">#REF!</definedName>
    <definedName name="_Parse_Out" localSheetId="5" hidden="1">#REF!</definedName>
    <definedName name="_Parse_Out" hidden="1">#REF!</definedName>
    <definedName name="_r" localSheetId="3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6" hidden="1">#REF!</definedName>
    <definedName name="_r" localSheetId="2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3" hidden="1">#REF!</definedName>
    <definedName name="_s" localSheetId="0" hidden="1">#REF!</definedName>
    <definedName name="_s" hidden="1">#REF!</definedName>
    <definedName name="_s1" localSheetId="3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3" hidden="1">#REF!</definedName>
    <definedName name="_Sort" localSheetId="6" hidden="1">#REF!</definedName>
    <definedName name="_Sort" localSheetId="2" hidden="1">#REF!</definedName>
    <definedName name="_Sort" hidden="1">#N/A</definedName>
    <definedName name="_Sort1" localSheetId="3" hidden="1">#REF!</definedName>
    <definedName name="_Sort1" localSheetId="0" hidden="1">#REF!</definedName>
    <definedName name="_Sort1" localSheetId="2" hidden="1">#REF!</definedName>
    <definedName name="_Sort1" hidden="1">#REF!</definedName>
    <definedName name="_t3" localSheetId="3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hidden="1">{"via1",#N/A,TRUE,"general";"via2",#N/A,TRUE,"general";"via3",#N/A,TRUE,"general"}</definedName>
    <definedName name="_Table1_Out" hidden="1">#REF!</definedName>
    <definedName name="_Table2_In2" hidden="1">#REF!</definedName>
    <definedName name="_Table2_Out" hidden="1">#REF!</definedName>
    <definedName name="_u4" localSheetId="3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3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" localSheetId="6" hidden="1">{#N/A,#N/A,FALSE,"Aging Summary";#N/A,#N/A,FALSE,"Ratio Analysis";#N/A,#N/A,FALSE,"Test 120 Day Accts";#N/A,#N/A,FALSE,"Tickmarks"}</definedName>
    <definedName name="aaaa" localSheetId="6" hidden="1">{#N/A,#N/A,FALSE,"GRAFICO";#N/A,#N/A,FALSE,"CAJA (2)";#N/A,#N/A,FALSE,"TERCEROS-PROMEDIO";#N/A,#N/A,FALSE,"CAJA";#N/A,#N/A,FALSE,"INGRESOS1995-2003";#N/A,#N/A,FALSE,"GASTOS1995-2003"}</definedName>
    <definedName name="aaaaas" localSheetId="3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CTAAJUSTE3" localSheetId="6" hidden="1">{"via1",#N/A,TRUE,"general";"via2",#N/A,TRUE,"general";"via3",#N/A,TRUE,"general"}</definedName>
    <definedName name="ACTAAJUSTE3" hidden="1">{"via1",#N/A,TRUE,"general";"via2",#N/A,TRUE,"general";"via3",#N/A,TRUE,"general"}</definedName>
    <definedName name="ACwvu.TAB1." hidden="1">#REF!</definedName>
    <definedName name="ACwvu.TAB10." hidden="1">#REF!</definedName>
    <definedName name="ACwvu.TAB2." hidden="1">#REF!</definedName>
    <definedName name="ACwvu.TAB200000." hidden="1">#REF!</definedName>
    <definedName name="ACwvu.TAB3." hidden="1">#REF!</definedName>
    <definedName name="ACwvu.TAB4." hidden="1">#REF!</definedName>
    <definedName name="ACwvu.TAB5." hidden="1">#REF!</definedName>
    <definedName name="ADFGSDB" localSheetId="3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hidden="1">{"via1",#N/A,TRUE,"general";"via2",#N/A,TRUE,"general";"via3",#N/A,TRUE,"general"}</definedName>
    <definedName name="AERFGEWSARG" localSheetId="6" hidden="1">{"TAB1",#N/A,TRUE,"GENERAL";"TAB2",#N/A,TRUE,"GENERAL";"TAB3",#N/A,TRUE,"GENERAL";"TAB4",#N/A,TRUE,"GENERAL";"TAB5",#N/A,TRUE,"GENERAL"}</definedName>
    <definedName name="AERFGEWSARG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3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'AU '!$A$1:$H$42</definedName>
    <definedName name="_xlnm.Print_Area" localSheetId="9">'Cálculo reajuste'!$A$1:$J$61</definedName>
    <definedName name="_xlnm.Print_Area" localSheetId="8">'Fórmula Reajuste '!$A$1:$F$19</definedName>
    <definedName name="_xlnm.Print_Area" localSheetId="0">'OFERTA ECONOMICA'!$A$1:$F$112</definedName>
    <definedName name="_xlnm.Print_Area" localSheetId="6">'Póliza '!$B$1:$H$36</definedName>
    <definedName name="_xlnm.Print_Area" localSheetId="5">'Tabla Salarial '!$B$1:$G$52</definedName>
    <definedName name="ARNOLDO" hidden="1">#REF!</definedName>
    <definedName name="ARRENDAM1" localSheetId="3" hidden="1">{#N/A,#N/A,FALSE,"Aging Summary";#N/A,#N/A,FALSE,"Ratio Analysis";#N/A,#N/A,FALSE,"Test 120 Day Accts";#N/A,#N/A,FALSE,"Tickmarks"}</definedName>
    <definedName name="ARRENDAM1" localSheetId="0" hidden="1">{#N/A,#N/A,FALSE,"Aging Summary";#N/A,#N/A,FALSE,"Ratio Analysis";#N/A,#N/A,FALSE,"Test 120 Day Accts";#N/A,#N/A,FALSE,"Tickmarks"}</definedName>
    <definedName name="ARRENDAM1" localSheetId="6" hidden="1">{#N/A,#N/A,FALSE,"Aging Summary";#N/A,#N/A,FALSE,"Ratio Analysis";#N/A,#N/A,FALSE,"Test 120 Day Accts";#N/A,#N/A,FALSE,"Tickmarks"}</definedName>
    <definedName name="ARRENDAM1" localSheetId="2" hidden="1">{#N/A,#N/A,FALSE,"Aging Summary";#N/A,#N/A,FALSE,"Ratio Analysis";#N/A,#N/A,FALSE,"Test 120 Day Accts";#N/A,#N/A,FALSE,"Tickmarks"}</definedName>
    <definedName name="ARRENDAM1" localSheetId="5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3" hidden="1">{#N/A,#N/A,FALSE,"Aging Summary";#N/A,#N/A,FALSE,"Ratio Analysis";#N/A,#N/A,FALSE,"Test 120 Day Accts";#N/A,#N/A,FALSE,"Tickmarks"}</definedName>
    <definedName name="ARRENDAMIENTO" localSheetId="0" hidden="1">{#N/A,#N/A,FALSE,"Aging Summary";#N/A,#N/A,FALSE,"Ratio Analysis";#N/A,#N/A,FALSE,"Test 120 Day Accts";#N/A,#N/A,FALSE,"Tickmarks"}</definedName>
    <definedName name="ARRENDAMIENTO" localSheetId="6" hidden="1">{#N/A,#N/A,FALSE,"Aging Summary";#N/A,#N/A,FALSE,"Ratio Analysis";#N/A,#N/A,FALSE,"Test 120 Day Accts";#N/A,#N/A,FALSE,"Tickmarks"}</definedName>
    <definedName name="ARRENDAMIENTO" localSheetId="2" hidden="1">{#N/A,#N/A,FALSE,"Aging Summary";#N/A,#N/A,FALSE,"Ratio Analysis";#N/A,#N/A,FALSE,"Test 120 Day Accts";#N/A,#N/A,FALSE,"Tickmarks"}</definedName>
    <definedName name="ARRENDAMIENTO" localSheetId="5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" localSheetId="3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localSheetId="3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3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3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3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hidden="1">{"via1",#N/A,TRUE,"general";"via2",#N/A,TRUE,"general";"via3",#N/A,TRUE,"general"}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3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ntro" localSheetId="3" hidden="1">{#N/A,#N/A,FALSE,"GRAFICO";#N/A,#N/A,FALSE,"CAJA (2)";#N/A,#N/A,FALSE,"TERCEROS-PROMEDIO";#N/A,#N/A,FALSE,"CAJA";#N/A,#N/A,FALSE,"INGRESOS1995-2003";#N/A,#N/A,FALSE,"GASTOS1995-2003"}</definedName>
    <definedName name="centro" localSheetId="0" hidden="1">{#N/A,#N/A,FALSE,"GRAFICO";#N/A,#N/A,FALSE,"CAJA (2)";#N/A,#N/A,FALSE,"TERCEROS-PROMEDIO";#N/A,#N/A,FALSE,"CAJA";#N/A,#N/A,FALSE,"INGRESOS1995-2003";#N/A,#N/A,FALSE,"GASTOS1995-2003"}</definedName>
    <definedName name="centro" localSheetId="6" hidden="1">{#N/A,#N/A,FALSE,"GRAFICO";#N/A,#N/A,FALSE,"CAJA (2)";#N/A,#N/A,FALSE,"TERCEROS-PROMEDIO";#N/A,#N/A,FALSE,"CAJA";#N/A,#N/A,FALSE,"INGRESOS1995-2003";#N/A,#N/A,FALSE,"GASTOS1995-2003"}</definedName>
    <definedName name="centro" localSheetId="2" hidden="1">{#N/A,#N/A,FALSE,"GRAFICO";#N/A,#N/A,FALSE,"CAJA (2)";#N/A,#N/A,FALSE,"TERCEROS-PROMEDIO";#N/A,#N/A,FALSE,"CAJA";#N/A,#N/A,FALSE,"INGRESOS1995-2003";#N/A,#N/A,FALSE,"GASTOS1995-2003"}</definedName>
    <definedName name="centro" localSheetId="5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mlp" localSheetId="6" hidden="1">{"total",#N/A,FALSE,"TD 0% ";"total",#N/A,FALSE,"TD 12%";"total",#N/A,FALSE,"TD 10%"}</definedName>
    <definedName name="cmlp" hidden="1">{"total",#N/A,FALSE,"TD 0% ";"total",#N/A,FALSE,"TD 12%";"total",#N/A,FALSE,"TD 10%"}</definedName>
    <definedName name="_xlnm.Criteria" localSheetId="3" hidden="1">{#N/A,#N/A,FALSE,"GRAFICO";#N/A,#N/A,FALSE,"CAJA (2)";#N/A,#N/A,FALSE,"TERCEROS-PROMEDIO";#N/A,#N/A,FALSE,"CAJA";#N/A,#N/A,FALSE,"INGRESOS1995-2003";#N/A,#N/A,FALSE,"GASTOS1995-2003"}</definedName>
    <definedName name="_xlnm.Criteria" localSheetId="0" hidden="1">{#N/A,#N/A,FALSE,"GRAFICO";#N/A,#N/A,FALSE,"CAJA (2)";#N/A,#N/A,FALSE,"TERCEROS-PROMEDIO";#N/A,#N/A,FALSE,"CAJA";#N/A,#N/A,FALSE,"INGRESOS1995-2003";#N/A,#N/A,FALSE,"GASTOS1995-2003"}</definedName>
    <definedName name="_xlnm.Criteria" localSheetId="6" hidden="1">{#N/A,#N/A,FALSE,"GRAFICO";#N/A,#N/A,FALSE,"CAJA (2)";#N/A,#N/A,FALSE,"TERCEROS-PROMEDIO";#N/A,#N/A,FALSE,"CAJA";#N/A,#N/A,FALSE,"INGRESOS1995-2003";#N/A,#N/A,FALSE,"GASTOS1995-2003"}</definedName>
    <definedName name="_xlnm.Criteria" localSheetId="2" hidden="1">{#N/A,#N/A,FALSE,"GRAFICO";#N/A,#N/A,FALSE,"CAJA (2)";#N/A,#N/A,FALSE,"TERCEROS-PROMEDIO";#N/A,#N/A,FALSE,"CAJA";#N/A,#N/A,FALSE,"INGRESOS1995-2003";#N/A,#N/A,FALSE,"GASTOS1995-2003"}</definedName>
    <definedName name="_xlnm.Criteria" localSheetId="5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localSheetId="3" hidden="1">{#N/A,#N/A,FALSE,"GRAFICO";#N/A,#N/A,FALSE,"CAJA (2)";#N/A,#N/A,FALSE,"TERCEROS-PROMEDIO";#N/A,#N/A,FALSE,"CAJA";#N/A,#N/A,FALSE,"INGRESOS1995-2003";#N/A,#N/A,FALSE,"GASTOS1995-2003"}</definedName>
    <definedName name="crt" localSheetId="0" hidden="1">{#N/A,#N/A,FALSE,"GRAFICO";#N/A,#N/A,FALSE,"CAJA (2)";#N/A,#N/A,FALSE,"TERCEROS-PROMEDIO";#N/A,#N/A,FALSE,"CAJA";#N/A,#N/A,FALSE,"INGRESOS1995-2003";#N/A,#N/A,FALSE,"GASTOS1995-2003"}</definedName>
    <definedName name="crt" localSheetId="6" hidden="1">{#N/A,#N/A,FALSE,"GRAFICO";#N/A,#N/A,FALSE,"CAJA (2)";#N/A,#N/A,FALSE,"TERCEROS-PROMEDIO";#N/A,#N/A,FALSE,"CAJA";#N/A,#N/A,FALSE,"INGRESOS1995-2003";#N/A,#N/A,FALSE,"GASTOS1995-2003"}</definedName>
    <definedName name="crt" localSheetId="2" hidden="1">{#N/A,#N/A,FALSE,"GRAFICO";#N/A,#N/A,FALSE,"CAJA (2)";#N/A,#N/A,FALSE,"TERCEROS-PROMEDIO";#N/A,#N/A,FALSE,"CAJA";#N/A,#N/A,FALSE,"INGRESOS1995-2003";#N/A,#N/A,FALSE,"GASTOS1995-2003"}</definedName>
    <definedName name="crt" localSheetId="5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UNET" localSheetId="3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localSheetId="5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fvd" localSheetId="3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hidden="1">{"via1",#N/A,TRUE,"general";"via2",#N/A,TRUE,"general";"via3",#N/A,TRUE,"general"}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DASD" localSheetId="3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3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O" localSheetId="6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d" localSheetId="3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hidden="1">{"via1",#N/A,TRUE,"general";"via2",#N/A,TRUE,"general";"via3",#N/A,TRUE,"general"}</definedName>
    <definedName name="descapote" localSheetId="3" hidden="1">{"TAB1",#N/A,TRUE,"GENERAL";"TAB2",#N/A,TRUE,"GENERAL";"TAB3",#N/A,TRUE,"GENERAL";"TAB4",#N/A,TRUE,"GENERAL";"TAB5",#N/A,TRUE,"GENERAL"}</definedName>
    <definedName name="descapote" localSheetId="0" hidden="1">{"TAB1",#N/A,TRUE,"GENERAL";"TAB2",#N/A,TRUE,"GENERAL";"TAB3",#N/A,TRUE,"GENERAL";"TAB4",#N/A,TRUE,"GENERAL";"TAB5",#N/A,TRUE,"GENERAL"}</definedName>
    <definedName name="descapote" localSheetId="6" hidden="1">{"TAB1",#N/A,TRUE,"GENERAL";"TAB2",#N/A,TRUE,"GENERAL";"TAB3",#N/A,TRUE,"GENERAL";"TAB4",#N/A,TRUE,"GENERAL";"TAB5",#N/A,TRUE,"GENERAL"}</definedName>
    <definedName name="descapote" localSheetId="2" hidden="1">{"TAB1",#N/A,TRUE,"GENERAL";"TAB2",#N/A,TRUE,"GENERAL";"TAB3",#N/A,TRUE,"GENERAL";"TAB4",#N/A,TRUE,"GENERAL";"TAB5",#N/A,TRUE,"GENERAL"}</definedName>
    <definedName name="descapote" localSheetId="5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FRE" localSheetId="3" hidden="1">{#N/A,#N/A,FALSE,"GRAFICO";#N/A,#N/A,FALSE,"CAJA (2)";#N/A,#N/A,FALSE,"TERCEROS-PROMEDIO";#N/A,#N/A,FALSE,"CAJA";#N/A,#N/A,FALSE,"INGRESOS1995-2003";#N/A,#N/A,FALSE,"GASTOS1995-2003"}</definedName>
    <definedName name="DESFRE" localSheetId="0" hidden="1">{#N/A,#N/A,FALSE,"GRAFICO";#N/A,#N/A,FALSE,"CAJA (2)";#N/A,#N/A,FALSE,"TERCEROS-PROMEDIO";#N/A,#N/A,FALSE,"CAJA";#N/A,#N/A,FALSE,"INGRESOS1995-2003";#N/A,#N/A,FALSE,"GASTOS1995-2003"}</definedName>
    <definedName name="DESFRE" localSheetId="6" hidden="1">{#N/A,#N/A,FALSE,"GRAFICO";#N/A,#N/A,FALSE,"CAJA (2)";#N/A,#N/A,FALSE,"TERCEROS-PROMEDIO";#N/A,#N/A,FALSE,"CAJA";#N/A,#N/A,FALSE,"INGRESOS1995-2003";#N/A,#N/A,FALSE,"GASTOS1995-2003"}</definedName>
    <definedName name="DESFRE" localSheetId="2" hidden="1">{#N/A,#N/A,FALSE,"GRAFICO";#N/A,#N/A,FALSE,"CAJA (2)";#N/A,#N/A,FALSE,"TERCEROS-PROMEDIO";#N/A,#N/A,FALSE,"CAJA";#N/A,#N/A,FALSE,"INGRESOS1995-2003";#N/A,#N/A,FALSE,"GASTOS1995-2003"}</definedName>
    <definedName name="DESFRE" localSheetId="5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a" localSheetId="3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FSADFASGDASDGAGWAEFADFAWEWFADFSGASDGASGDAGSAGSDGASG" hidden="1">#REF!</definedName>
    <definedName name="DFBNJ" localSheetId="3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hidden="1">{"via1",#N/A,TRUE,"general";"via2",#N/A,TRUE,"general";"via3",#N/A,TRUE,"general"}</definedName>
    <definedName name="DFRE" localSheetId="6" hidden="1">{"TAB1",#N/A,TRUE,"GENERAL";"TAB2",#N/A,TRUE,"GENERAL";"TAB3",#N/A,TRUE,"GENERAL";"TAB4",#N/A,TRUE,"GENERAL";"TAB5",#N/A,TRUE,"GENERAL"}</definedName>
    <definedName name="DFRE" hidden="1">{"TAB1",#N/A,TRUE,"GENERAL";"TAB2",#N/A,TRUE,"GENERAL";"TAB3",#N/A,TRUE,"GENERAL";"TAB4",#N/A,TRUE,"GENERAL";"TAB5",#N/A,TRUE,"GENERAL"}</definedName>
    <definedName name="DFRFRF" localSheetId="3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hidden="1">{"via1",#N/A,TRUE,"general";"via2",#N/A,TRUE,"general";"via3",#N/A,TRUE,"general"}</definedName>
    <definedName name="dfs" hidden="1">#REF!</definedName>
    <definedName name="DFVUI" localSheetId="3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hidden="1">{"via1",#N/A,TRUE,"general";"via2",#N/A,TRUE,"general";"via3",#N/A,TRUE,"general"}</definedName>
    <definedName name="DISTRIBUCION" localSheetId="3" hidden="1">{#N/A,#N/A,FALSE,"GRAFICO";#N/A,#N/A,FALSE,"CAJA (2)";#N/A,#N/A,FALSE,"TERCEROS-PROMEDIO";#N/A,#N/A,FALSE,"CAJA";#N/A,#N/A,FALSE,"INGRESOS1995-2003";#N/A,#N/A,FALSE,"GASTOS1995-2003"}</definedName>
    <definedName name="DISTRIBUCION" localSheetId="0" hidden="1">{#N/A,#N/A,FALSE,"GRAFICO";#N/A,#N/A,FALSE,"CAJA (2)";#N/A,#N/A,FALSE,"TERCEROS-PROMEDIO";#N/A,#N/A,FALSE,"CAJA";#N/A,#N/A,FALSE,"INGRESOS1995-2003";#N/A,#N/A,FALSE,"GASTOS1995-2003"}</definedName>
    <definedName name="DISTRIBUCION" localSheetId="6" hidden="1">{#N/A,#N/A,FALSE,"GRAFICO";#N/A,#N/A,FALSE,"CAJA (2)";#N/A,#N/A,FALSE,"TERCEROS-PROMEDIO";#N/A,#N/A,FALSE,"CAJA";#N/A,#N/A,FALSE,"INGRESOS1995-2003";#N/A,#N/A,FALSE,"GASTOS1995-2003"}</definedName>
    <definedName name="DISTRIBUCION" localSheetId="2" hidden="1">{#N/A,#N/A,FALSE,"GRAFICO";#N/A,#N/A,FALSE,"CAJA (2)";#N/A,#N/A,FALSE,"TERCEROS-PROMEDIO";#N/A,#N/A,FALSE,"CAJA";#N/A,#N/A,FALSE,"INGRESOS1995-2003";#N/A,#N/A,FALSE,"GASTOS1995-2003"}</definedName>
    <definedName name="DISTRIBUCION" localSheetId="5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3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3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xdsaaz" hidden="1">#REF!</definedName>
    <definedName name="DSD" localSheetId="3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3" hidden="1">{#N/A,#N/A,FALSE,"GRAFICO";#N/A,#N/A,FALSE,"CAJA (2)";#N/A,#N/A,FALSE,"TERCEROS-PROMEDIO";#N/A,#N/A,FALSE,"CAJA";#N/A,#N/A,FALSE,"INGRESOS1995-2003";#N/A,#N/A,FALSE,"GASTOS1995-2003"}</definedName>
    <definedName name="Ebitda" localSheetId="0" hidden="1">{#N/A,#N/A,FALSE,"GRAFICO";#N/A,#N/A,FALSE,"CAJA (2)";#N/A,#N/A,FALSE,"TERCEROS-PROMEDIO";#N/A,#N/A,FALSE,"CAJA";#N/A,#N/A,FALSE,"INGRESOS1995-2003";#N/A,#N/A,FALSE,"GASTOS1995-2003"}</definedName>
    <definedName name="Ebitda" localSheetId="6" hidden="1">{#N/A,#N/A,FALSE,"GRAFICO";#N/A,#N/A,FALSE,"CAJA (2)";#N/A,#N/A,FALSE,"TERCEROS-PROMEDIO";#N/A,#N/A,FALSE,"CAJA";#N/A,#N/A,FALSE,"INGRESOS1995-2003";#N/A,#N/A,FALSE,"GASTOS1995-2003"}</definedName>
    <definedName name="Ebitda" localSheetId="2" hidden="1">{#N/A,#N/A,FALSE,"GRAFICO";#N/A,#N/A,FALSE,"CAJA (2)";#N/A,#N/A,FALSE,"TERCEROS-PROMEDIO";#N/A,#N/A,FALSE,"CAJA";#N/A,#N/A,FALSE,"INGRESOS1995-2003";#N/A,#N/A,FALSE,"GASTOS1995-2003"}</definedName>
    <definedName name="Ebitda" localSheetId="5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localSheetId="3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6" hidden="1">#REF!</definedName>
    <definedName name="eeedfr" localSheetId="3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3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3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6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localSheetId="5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3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hidden="1">{"via1",#N/A,TRUE,"general";"via2",#N/A,TRUE,"general";"via3",#N/A,TRUE,"general"}</definedName>
    <definedName name="ESCENARIO" localSheetId="3" hidden="1">{#N/A,#N/A,FALSE,"GRAFICO";#N/A,#N/A,FALSE,"CAJA (2)";#N/A,#N/A,FALSE,"TERCEROS-PROMEDIO";#N/A,#N/A,FALSE,"CAJA";#N/A,#N/A,FALSE,"INGRESOS1995-2003";#N/A,#N/A,FALSE,"GASTOS1995-2003"}</definedName>
    <definedName name="ESCENARIO" localSheetId="0" hidden="1">{#N/A,#N/A,FALSE,"GRAFICO";#N/A,#N/A,FALSE,"CAJA (2)";#N/A,#N/A,FALSE,"TERCEROS-PROMEDIO";#N/A,#N/A,FALSE,"CAJA";#N/A,#N/A,FALSE,"INGRESOS1995-2003";#N/A,#N/A,FALSE,"GASTOS1995-2003"}</definedName>
    <definedName name="ESCENARIO" localSheetId="6" hidden="1">{#N/A,#N/A,FALSE,"GRAFICO";#N/A,#N/A,FALSE,"CAJA (2)";#N/A,#N/A,FALSE,"TERCEROS-PROMEDIO";#N/A,#N/A,FALSE,"CAJA";#N/A,#N/A,FALSE,"INGRESOS1995-2003";#N/A,#N/A,FALSE,"GASTOS1995-2003"}</definedName>
    <definedName name="ESCENARIO" localSheetId="2" hidden="1">{#N/A,#N/A,FALSE,"GRAFICO";#N/A,#N/A,FALSE,"CAJA (2)";#N/A,#N/A,FALSE,"TERCEROS-PROMEDIO";#N/A,#N/A,FALSE,"CAJA";#N/A,#N/A,FALSE,"INGRESOS1995-2003";#N/A,#N/A,FALSE,"GASTOS1995-2003"}</definedName>
    <definedName name="ESCENARIO" localSheetId="5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localSheetId="3" hidden="1">{"PYGT",#N/A,FALSE,"PYG";"ACTIT",#N/A,FALSE,"BCE_GRAL-ACTIVO";"PASIT",#N/A,FALSE,"BCE_GRAL-PASIVO-PATRIM";"CAJAT",#N/A,FALSE,"CAJA"}</definedName>
    <definedName name="este" localSheetId="0" hidden="1">{"PYGT",#N/A,FALSE,"PYG";"ACTIT",#N/A,FALSE,"BCE_GRAL-ACTIVO";"PASIT",#N/A,FALSE,"BCE_GRAL-PASIVO-PATRIM";"CAJAT",#N/A,FALSE,"CAJA"}</definedName>
    <definedName name="este" localSheetId="6" hidden="1">{"PYGT",#N/A,FALSE,"PYG";"ACTIT",#N/A,FALSE,"BCE_GRAL-ACTIVO";"PASIT",#N/A,FALSE,"BCE_GRAL-PASIVO-PATRIM";"CAJAT",#N/A,FALSE,"CAJA"}</definedName>
    <definedName name="este" localSheetId="2" hidden="1">{"PYGT",#N/A,FALSE,"PYG";"ACTIT",#N/A,FALSE,"BCE_GRAL-ACTIVO";"PASIT",#N/A,FALSE,"BCE_GRAL-PASIVO-PATRIM";"CAJAT",#N/A,FALSE,"CAJA"}</definedName>
    <definedName name="este" localSheetId="5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3" hidden="1">{#N/A,#N/A,FALSE,"GRAFICO";#N/A,#N/A,FALSE,"CAJA (2)";#N/A,#N/A,FALSE,"TERCEROS-PROMEDIO";#N/A,#N/A,FALSE,"CAJA";#N/A,#N/A,FALSE,"INGRESOS1995-2003";#N/A,#N/A,FALSE,"GASTOS1995-2003"}</definedName>
    <definedName name="ESTEWW" localSheetId="0" hidden="1">{#N/A,#N/A,FALSE,"GRAFICO";#N/A,#N/A,FALSE,"CAJA (2)";#N/A,#N/A,FALSE,"TERCEROS-PROMEDIO";#N/A,#N/A,FALSE,"CAJA";#N/A,#N/A,FALSE,"INGRESOS1995-2003";#N/A,#N/A,FALSE,"GASTOS1995-2003"}</definedName>
    <definedName name="ESTEWW" localSheetId="6" hidden="1">{#N/A,#N/A,FALSE,"GRAFICO";#N/A,#N/A,FALSE,"CAJA (2)";#N/A,#N/A,FALSE,"TERCEROS-PROMEDIO";#N/A,#N/A,FALSE,"CAJA";#N/A,#N/A,FALSE,"INGRESOS1995-2003";#N/A,#N/A,FALSE,"GASTOS1995-2003"}</definedName>
    <definedName name="ESTEWW" localSheetId="2" hidden="1">{#N/A,#N/A,FALSE,"GRAFICO";#N/A,#N/A,FALSE,"CAJA (2)";#N/A,#N/A,FALSE,"TERCEROS-PROMEDIO";#N/A,#N/A,FALSE,"CAJA";#N/A,#N/A,FALSE,"INGRESOS1995-2003";#N/A,#N/A,FALSE,"GASTOS1995-2003"}</definedName>
    <definedName name="ESTEWW" localSheetId="5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localSheetId="3" hidden="1">{#N/A,#N/A,FALSE,"GRAFICO";#N/A,#N/A,FALSE,"CAJA (2)";#N/A,#N/A,FALSE,"TERCEROS-PROMEDIO";#N/A,#N/A,FALSE,"CAJA";#N/A,#N/A,FALSE,"INGRESOS1995-2003";#N/A,#N/A,FALSE,"GASTOS1995-2003"}</definedName>
    <definedName name="estre" localSheetId="0" hidden="1">{#N/A,#N/A,FALSE,"GRAFICO";#N/A,#N/A,FALSE,"CAJA (2)";#N/A,#N/A,FALSE,"TERCEROS-PROMEDIO";#N/A,#N/A,FALSE,"CAJA";#N/A,#N/A,FALSE,"INGRESOS1995-2003";#N/A,#N/A,FALSE,"GASTOS1995-2003"}</definedName>
    <definedName name="estre" localSheetId="6" hidden="1">{#N/A,#N/A,FALSE,"GRAFICO";#N/A,#N/A,FALSE,"CAJA (2)";#N/A,#N/A,FALSE,"TERCEROS-PROMEDIO";#N/A,#N/A,FALSE,"CAJA";#N/A,#N/A,FALSE,"INGRESOS1995-2003";#N/A,#N/A,FALSE,"GASTOS1995-2003"}</definedName>
    <definedName name="estre" localSheetId="2" hidden="1">{#N/A,#N/A,FALSE,"GRAFICO";#N/A,#N/A,FALSE,"CAJA (2)";#N/A,#N/A,FALSE,"TERCEROS-PROMEDIO";#N/A,#N/A,FALSE,"CAJA";#N/A,#N/A,FALSE,"INGRESOS1995-2003";#N/A,#N/A,FALSE,"GASTOS1995-2003"}</definedName>
    <definedName name="estre" localSheetId="5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tertgg" localSheetId="3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AC" hidden="1">#REF!</definedName>
    <definedName name="FALLO" localSheetId="6" hidden="1">{"total",#N/A,FALSE,"TD 0% ";"total",#N/A,FALSE,"TD 12%";"total",#N/A,FALSE,"TD 10%"}</definedName>
    <definedName name="FALLO" hidden="1">{"total",#N/A,FALSE,"TD 0% ";"total",#N/A,FALSE,"TD 12%";"total",#N/A,FALSE,"TD 10%"}</definedName>
    <definedName name="fda" localSheetId="3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6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3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3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localSheetId="3" hidden="1">{#N/A,#N/A,FALSE,"Aging Summary";#N/A,#N/A,FALSE,"Ratio Analysis";#N/A,#N/A,FALSE,"Test 120 Day Accts";#N/A,#N/A,FALSE,"Tickmarks"}</definedName>
    <definedName name="FIDUCIASOCTUBRE" localSheetId="0" hidden="1">{#N/A,#N/A,FALSE,"Aging Summary";#N/A,#N/A,FALSE,"Ratio Analysis";#N/A,#N/A,FALSE,"Test 120 Day Accts";#N/A,#N/A,FALSE,"Tickmarks"}</definedName>
    <definedName name="FIDUCIASOCTUBRE" localSheetId="6" hidden="1">{#N/A,#N/A,FALSE,"Aging Summary";#N/A,#N/A,FALSE,"Ratio Analysis";#N/A,#N/A,FALSE,"Test 120 Day Accts";#N/A,#N/A,FALSE,"Tickmarks"}</definedName>
    <definedName name="FIDUCIASOCTUBRE" localSheetId="2" hidden="1">{#N/A,#N/A,FALSE,"Aging Summary";#N/A,#N/A,FALSE,"Ratio Analysis";#N/A,#N/A,FALSE,"Test 120 Day Accts";#N/A,#N/A,FALSE,"Tickmarks"}</definedName>
    <definedName name="FIDUCIASOCTUBRE" localSheetId="5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ORMULARIO" hidden="1">#REF!</definedName>
    <definedName name="FORMULARIO1" hidden="1">#REF!</definedName>
    <definedName name="frbgsd" localSheetId="3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3" hidden="1">{"PYGT",#N/A,FALSE,"PYG";"ACTIT",#N/A,FALSE,"BCE_GRAL-ACTIVO";"PASIT",#N/A,FALSE,"BCE_GRAL-PASIVO-PATRIM";"CAJAT",#N/A,FALSE,"CAJA"}</definedName>
    <definedName name="FREV" localSheetId="0" hidden="1">{"PYGT",#N/A,FALSE,"PYG";"ACTIT",#N/A,FALSE,"BCE_GRAL-ACTIVO";"PASIT",#N/A,FALSE,"BCE_GRAL-PASIVO-PATRIM";"CAJAT",#N/A,FALSE,"CAJA"}</definedName>
    <definedName name="FREV" localSheetId="6" hidden="1">{"PYGT",#N/A,FALSE,"PYG";"ACTIT",#N/A,FALSE,"BCE_GRAL-ACTIVO";"PASIT",#N/A,FALSE,"BCE_GRAL-PASIVO-PATRIM";"CAJAT",#N/A,FALSE,"CAJA"}</definedName>
    <definedName name="FREV" localSheetId="2" hidden="1">{"PYGT",#N/A,FALSE,"PYG";"ACTIT",#N/A,FALSE,"BCE_GRAL-ACTIVO";"PASIT",#N/A,FALSE,"BCE_GRAL-PASIVO-PATRIM";"CAJAT",#N/A,FALSE,"CAJA"}</definedName>
    <definedName name="FREV" localSheetId="5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3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3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hidden="1">{"via1",#N/A,TRUE,"general";"via2",#N/A,TRUE,"general";"via3",#N/A,TRUE,"general"}</definedName>
    <definedName name="Gastos" localSheetId="3" hidden="1">{#N/A,#N/A,FALSE,"GRAFICO";#N/A,#N/A,FALSE,"CAJA (2)";#N/A,#N/A,FALSE,"TERCEROS-PROMEDIO";#N/A,#N/A,FALSE,"CAJA";#N/A,#N/A,FALSE,"INGRESOS1995-2003";#N/A,#N/A,FALSE,"GASTOS1995-2003"}</definedName>
    <definedName name="Gastos" localSheetId="0" hidden="1">{#N/A,#N/A,FALSE,"GRAFICO";#N/A,#N/A,FALSE,"CAJA (2)";#N/A,#N/A,FALSE,"TERCEROS-PROMEDIO";#N/A,#N/A,FALSE,"CAJA";#N/A,#N/A,FALSE,"INGRESOS1995-2003";#N/A,#N/A,FALSE,"GASTOS1995-2003"}</definedName>
    <definedName name="Gastos" localSheetId="6" hidden="1">{#N/A,#N/A,FALSE,"GRAFICO";#N/A,#N/A,FALSE,"CAJA (2)";#N/A,#N/A,FALSE,"TERCEROS-PROMEDIO";#N/A,#N/A,FALSE,"CAJA";#N/A,#N/A,FALSE,"INGRESOS1995-2003";#N/A,#N/A,FALSE,"GASTOS1995-2003"}</definedName>
    <definedName name="Gastos" localSheetId="2" hidden="1">{#N/A,#N/A,FALSE,"GRAFICO";#N/A,#N/A,FALSE,"CAJA (2)";#N/A,#N/A,FALSE,"TERCEROS-PROMEDIO";#N/A,#N/A,FALSE,"CAJA";#N/A,#N/A,FALSE,"INGRESOS1995-2003";#N/A,#N/A,FALSE,"GASTOS1995-2003"}</definedName>
    <definedName name="Gastos" localSheetId="5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bfghghj" localSheetId="3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3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3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3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6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localSheetId="3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localSheetId="6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localSheetId="3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JHJ" localSheetId="6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H" localSheetId="3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3" hidden="1">{"PYGT",#N/A,FALSE,"PYG";"ACTIT",#N/A,FALSE,"BCE_GRAL-ACTIVO";"PASIT",#N/A,FALSE,"BCE_GRAL-PASIVO-PATRIM";"CAJAT",#N/A,FALSE,"CAJA"}</definedName>
    <definedName name="hoha" localSheetId="0" hidden="1">{"PYGT",#N/A,FALSE,"PYG";"ACTIT",#N/A,FALSE,"BCE_GRAL-ACTIVO";"PASIT",#N/A,FALSE,"BCE_GRAL-PASIVO-PATRIM";"CAJAT",#N/A,FALSE,"CAJA"}</definedName>
    <definedName name="hoha" localSheetId="6" hidden="1">{"PYGT",#N/A,FALSE,"PYG";"ACTIT",#N/A,FALSE,"BCE_GRAL-ACTIVO";"PASIT",#N/A,FALSE,"BCE_GRAL-PASIVO-PATRIM";"CAJAT",#N/A,FALSE,"CAJA"}</definedName>
    <definedName name="hoha" localSheetId="2" hidden="1">{"PYGT",#N/A,FALSE,"PYG";"ACTIT",#N/A,FALSE,"BCE_GRAL-ACTIVO";"PASIT",#N/A,FALSE,"BCE_GRAL-PASIVO-PATRIM";"CAJAT",#N/A,FALSE,"CAJA"}</definedName>
    <definedName name="hoha" localSheetId="5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reer" localSheetId="3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3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3" hidden="1">{"'PACÍFICO12'!$A$1:$E$6"}</definedName>
    <definedName name="HTML_Control" localSheetId="0" hidden="1">{"'PACÍFICO12'!$A$1:$E$6"}</definedName>
    <definedName name="HTML_Control" localSheetId="6" hidden="1">{"'PACÍFICO12'!$A$1:$E$6"}</definedName>
    <definedName name="HTML_Control" localSheetId="2" hidden="1">{"'PACÍFICO12'!$A$1:$E$6"}</definedName>
    <definedName name="HTML_Control" localSheetId="5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3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6" hidden="1">{"PYGT",#N/A,FALSE,"PYG";"ACTIT",#N/A,FALSE,"BCE_GRAL-ACTIVO";"PASIT",#N/A,FALSE,"BCE_GRAL-PASIVO-PATRIM";"CAJAT",#N/A,FALSE,"CAJA"}</definedName>
    <definedName name="i8i" localSheetId="3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hidden="1">#REF!</definedName>
    <definedName name="IM" hidden="1">#REF!</definedName>
    <definedName name="IN" hidden="1">#REF!</definedName>
    <definedName name="IU" localSheetId="6" hidden="1">{"via1",#N/A,TRUE,"general";"via2",#N/A,TRUE,"general";"via3",#N/A,TRUE,"general"}</definedName>
    <definedName name="IU" hidden="1">{"via1",#N/A,TRUE,"general";"via2",#N/A,TRUE,"general";"via3",#N/A,TRUE,"general"}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3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localSheetId="3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" hidden="1">#REF!</definedName>
    <definedName name="jj" localSheetId="3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localSheetId="6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 localSheetId="5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hidden="1">{"via1",#N/A,TRUE,"general";"via2",#N/A,TRUE,"general";"via3",#N/A,TRUE,"general"}</definedName>
    <definedName name="JKJKJK" localSheetId="6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localSheetId="6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localSheetId="3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5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3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3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3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3" hidden="1">{"PYGT",#N/A,FALSE,"PYG";"ACTIT",#N/A,FALSE,"BCE_GRAL-ACTIVO";"PASIT",#N/A,FALSE,"BCE_GRAL-PASIVO-PATRIM";"CAJAT",#N/A,FALSE,"CAJA"}</definedName>
    <definedName name="K" localSheetId="0" hidden="1">{"PYGT",#N/A,FALSE,"PYG";"ACTIT",#N/A,FALSE,"BCE_GRAL-ACTIVO";"PASIT",#N/A,FALSE,"BCE_GRAL-PASIVO-PATRIM";"CAJAT",#N/A,FALSE,"CAJA"}</definedName>
    <definedName name="K" localSheetId="6" hidden="1">{"PYGT",#N/A,FALSE,"PYG";"ACTIT",#N/A,FALSE,"BCE_GRAL-ACTIVO";"PASIT",#N/A,FALSE,"BCE_GRAL-PASIVO-PATRIM";"CAJAT",#N/A,FALSE,"CAJA"}</definedName>
    <definedName name="K" localSheetId="2" hidden="1">{"PYGT",#N/A,FALSE,"PYG";"ACTIT",#N/A,FALSE,"BCE_GRAL-ACTIVO";"PASIT",#N/A,FALSE,"BCE_GRAL-PASIVO-PATRIM";"CAJAT",#N/A,FALSE,"CAJA"}</definedName>
    <definedName name="K" localSheetId="5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HGGH" localSheetId="3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O" localSheetId="3" hidden="1">#REF!</definedName>
    <definedName name="KO" localSheetId="0" hidden="1">#REF!</definedName>
    <definedName name="KO" localSheetId="2" hidden="1">#REF!</definedName>
    <definedName name="KO" hidden="1">#REF!</definedName>
    <definedName name="krtrk" localSheetId="3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hidden="1">{"via1",#N/A,TRUE,"general";"via2",#N/A,TRUE,"general";"via3",#N/A,TRUE,"general"}</definedName>
    <definedName name="kta" hidden="1">#REF!</definedName>
    <definedName name="kyr" localSheetId="3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fml" hidden="1">#REF!</definedName>
    <definedName name="liuoo" localSheetId="3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3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hidden="1">{"via1",#N/A,TRUE,"general";"via2",#N/A,TRUE,"general";"via3",#N/A,TRUE,"general"}</definedName>
    <definedName name="lo" localSheetId="6" hidden="1">{#N/A,#N/A,FALSE,"GRAFICO";#N/A,#N/A,FALSE,"CAJA (2)";#N/A,#N/A,FALSE,"TERCEROS-PROMEDIO";#N/A,#N/A,FALSE,"CAJA";#N/A,#N/A,FALSE,"INGRESOS1995-2003";#N/A,#N/A,FALSE,"GASTOS1995-2003"}</definedName>
    <definedName name="loiu" hidden="1">#REF!</definedName>
    <definedName name="lolol" localSheetId="3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3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hidden="1">{"via1",#N/A,TRUE,"general";"via2",#N/A,TRUE,"general";"via3",#N/A,TRUE,"general"}</definedName>
    <definedName name="lucy" localSheetId="6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mafdsf" localSheetId="3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hidden="1">{"via1",#N/A,TRUE,"general";"via2",#N/A,TRUE,"general";"via3",#N/A,TRUE,"general"}</definedName>
    <definedName name="mama" hidden="1">#REF!</definedName>
    <definedName name="mao" localSheetId="3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hidden="1">{"via1",#N/A,TRUE,"general";"via2",#N/A,TRUE,"general";"via3",#N/A,TRUE,"general"}</definedName>
    <definedName name="MARAVILLA" localSheetId="6" hidden="1">{"PRES REHAB ARM-PER POR ITEMS  KM A KM",#N/A,TRUE,"Rehabilitacion Arm-Per"}</definedName>
    <definedName name="MARAVILLA" hidden="1">{"PRES REHAB ARM-PER POR ITEMS  KM A KM",#N/A,TRUE,"Rehabilitacion Arm-Per"}</definedName>
    <definedName name="MarkP" localSheetId="3" hidden="1">{#N/A,#N/A,FALSE,"GRAFICO";#N/A,#N/A,FALSE,"CAJA (2)";#N/A,#N/A,FALSE,"TERCEROS-PROMEDIO";#N/A,#N/A,FALSE,"CAJA";#N/A,#N/A,FALSE,"INGRESOS1995-2003";#N/A,#N/A,FALSE,"GASTOS1995-2003"}</definedName>
    <definedName name="MarkP" localSheetId="0" hidden="1">{#N/A,#N/A,FALSE,"GRAFICO";#N/A,#N/A,FALSE,"CAJA (2)";#N/A,#N/A,FALSE,"TERCEROS-PROMEDIO";#N/A,#N/A,FALSE,"CAJA";#N/A,#N/A,FALSE,"INGRESOS1995-2003";#N/A,#N/A,FALSE,"GASTOS1995-2003"}</definedName>
    <definedName name="MarkP" localSheetId="6" hidden="1">{#N/A,#N/A,FALSE,"GRAFICO";#N/A,#N/A,FALSE,"CAJA (2)";#N/A,#N/A,FALSE,"TERCEROS-PROMEDIO";#N/A,#N/A,FALSE,"CAJA";#N/A,#N/A,FALSE,"INGRESOS1995-2003";#N/A,#N/A,FALSE,"GASTOS1995-2003"}</definedName>
    <definedName name="MarkP" localSheetId="2" hidden="1">{#N/A,#N/A,FALSE,"GRAFICO";#N/A,#N/A,FALSE,"CAJA (2)";#N/A,#N/A,FALSE,"TERCEROS-PROMEDIO";#N/A,#N/A,FALSE,"CAJA";#N/A,#N/A,FALSE,"INGRESOS1995-2003";#N/A,#N/A,FALSE,"GASTOS1995-2003"}</definedName>
    <definedName name="MarkP" localSheetId="5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YLUZ" localSheetId="6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3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 hidden="1">{"PYGT",#N/A,FALSE,"PYG";"ACTIT",#N/A,FALSE,"BCE_GRAL-ACTIVO";"PASIT",#N/A,FALSE,"BCE_GRAL-PASIVO-PATRIM";"CAJAT",#N/A,FALSE,"CAJA"}</definedName>
    <definedName name="NO" localSheetId="0" hidden="1">{"PYGT",#N/A,FALSE,"PYG";"ACTIT",#N/A,FALSE,"BCE_GRAL-ACTIVO";"PASIT",#N/A,FALSE,"BCE_GRAL-PASIVO-PATRIM";"CAJAT",#N/A,FALSE,"CAJA"}</definedName>
    <definedName name="NO" localSheetId="6" hidden="1">{"PYGT",#N/A,FALSE,"PYG";"ACTIT",#N/A,FALSE,"BCE_GRAL-ACTIVO";"PASIT",#N/A,FALSE,"BCE_GRAL-PASIVO-PATRIM";"CAJAT",#N/A,FALSE,"CAJA"}</definedName>
    <definedName name="NO" localSheetId="2" hidden="1">{"PYGT",#N/A,FALSE,"PYG";"ACTIT",#N/A,FALSE,"BCE_GRAL-ACTIVO";"PASIT",#N/A,FALSE,"BCE_GRAL-PASIVO-PATRIM";"CAJAT",#N/A,FALSE,"CAJA"}</definedName>
    <definedName name="NO" localSheetId="5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xn" localSheetId="3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hidden="1">{"via1",#N/A,TRUE,"general";"via2",#N/A,TRUE,"general";"via3",#N/A,TRUE,"general"}</definedName>
    <definedName name="O.E" localSheetId="3" hidden="1">#REF!</definedName>
    <definedName name="O.E" localSheetId="0" hidden="1">#REF!</definedName>
    <definedName name="O.E" hidden="1">#REF!</definedName>
    <definedName name="O.E.28" localSheetId="3" hidden="1">#REF!</definedName>
    <definedName name="O.E.28" localSheetId="0" hidden="1">#REF!</definedName>
    <definedName name="O.E.28" hidden="1">#REF!</definedName>
    <definedName name="O.E.30" localSheetId="0" hidden="1">#REF!</definedName>
    <definedName name="O.E.30" hidden="1">#REF!</definedName>
    <definedName name="o9o9" localSheetId="3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hidden="1">{"via1",#N/A,TRUE,"general";"via2",#N/A,TRUE,"general";"via3",#N/A,TRUE,"general"}</definedName>
    <definedName name="OBRAETAPA2" hidden="1">#REF!</definedName>
    <definedName name="oe" hidden="1">#REF!</definedName>
    <definedName name="oera" localSheetId="3" hidden="1">{#N/A,#N/A,FALSE,"Aging Summary";#N/A,#N/A,FALSE,"Ratio Analysis";#N/A,#N/A,FALSE,"Test 120 Day Accts";#N/A,#N/A,FALSE,"Tickmarks"}</definedName>
    <definedName name="oera" localSheetId="0" hidden="1">{#N/A,#N/A,FALSE,"Aging Summary";#N/A,#N/A,FALSE,"Ratio Analysis";#N/A,#N/A,FALSE,"Test 120 Day Accts";#N/A,#N/A,FALSE,"Tickmarks"}</definedName>
    <definedName name="oera" localSheetId="6" hidden="1">{#N/A,#N/A,FALSE,"Aging Summary";#N/A,#N/A,FALSE,"Ratio Analysis";#N/A,#N/A,FALSE,"Test 120 Day Accts";#N/A,#N/A,FALSE,"Tickmarks"}</definedName>
    <definedName name="oera" localSheetId="2" hidden="1">{#N/A,#N/A,FALSE,"Aging Summary";#N/A,#N/A,FALSE,"Ratio Analysis";#N/A,#N/A,FALSE,"Test 120 Day Accts";#N/A,#N/A,FALSE,"Tickmarks"}</definedName>
    <definedName name="oera" localSheetId="5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iret" localSheetId="3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hidden="1">{"via1",#N/A,TRUE,"general";"via2",#N/A,TRUE,"general";"via3",#N/A,TRUE,"general"}</definedName>
    <definedName name="Pal_Workbook_GUID" hidden="1">"MZ13F7WREF2M259BRMK8ILZK"</definedName>
    <definedName name="particulares1" localSheetId="3" hidden="1">{#N/A,#N/A,FALSE,"Aging Summary";#N/A,#N/A,FALSE,"Ratio Analysis";#N/A,#N/A,FALSE,"Test 120 Day Accts";#N/A,#N/A,FALSE,"Tickmarks"}</definedName>
    <definedName name="particulares1" localSheetId="0" hidden="1">{#N/A,#N/A,FALSE,"Aging Summary";#N/A,#N/A,FALSE,"Ratio Analysis";#N/A,#N/A,FALSE,"Test 120 Day Accts";#N/A,#N/A,FALSE,"Tickmarks"}</definedName>
    <definedName name="particulares1" localSheetId="6" hidden="1">{#N/A,#N/A,FALSE,"Aging Summary";#N/A,#N/A,FALSE,"Ratio Analysis";#N/A,#N/A,FALSE,"Test 120 Day Accts";#N/A,#N/A,FALSE,"Tickmarks"}</definedName>
    <definedName name="particulares1" localSheetId="2" hidden="1">{#N/A,#N/A,FALSE,"Aging Summary";#N/A,#N/A,FALSE,"Ratio Analysis";#N/A,#N/A,FALSE,"Test 120 Day Accts";#N/A,#N/A,FALSE,"Tickmarks"}</definedName>
    <definedName name="particulares1" localSheetId="5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ILA" hidden="1">#REF!</definedName>
    <definedName name="PKHK" localSheetId="3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3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3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3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tope" localSheetId="3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1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localSheetId="5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3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hidden="1">{"via1",#N/A,TRUE,"general";"via2",#N/A,TRUE,"general";"via3",#N/A,TRUE,"general"}</definedName>
    <definedName name="RERE3" hidden="1">#REF!</definedName>
    <definedName name="rererw" localSheetId="3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3" hidden="1">{#N/A,#N/A,FALSE,"GRAFICO";#N/A,#N/A,FALSE,"CAJA (2)";#N/A,#N/A,FALSE,"TERCEROS-PROMEDIO";#N/A,#N/A,FALSE,"CAJA";#N/A,#N/A,FALSE,"INGRESOS1995-2003";#N/A,#N/A,FALSE,"GASTOS1995-2003"}</definedName>
    <definedName name="res" localSheetId="0" hidden="1">{#N/A,#N/A,FALSE,"GRAFICO";#N/A,#N/A,FALSE,"CAJA (2)";#N/A,#N/A,FALSE,"TERCEROS-PROMEDIO";#N/A,#N/A,FALSE,"CAJA";#N/A,#N/A,FALSE,"INGRESOS1995-2003";#N/A,#N/A,FALSE,"GASTOS1995-2003"}</definedName>
    <definedName name="res" localSheetId="6" hidden="1">{#N/A,#N/A,FALSE,"GRAFICO";#N/A,#N/A,FALSE,"CAJA (2)";#N/A,#N/A,FALSE,"TERCEROS-PROMEDIO";#N/A,#N/A,FALSE,"CAJA";#N/A,#N/A,FALSE,"INGRESOS1995-2003";#N/A,#N/A,FALSE,"GASTOS1995-2003"}</definedName>
    <definedName name="res" localSheetId="2" hidden="1">{#N/A,#N/A,FALSE,"GRAFICO";#N/A,#N/A,FALSE,"CAJA (2)";#N/A,#N/A,FALSE,"TERCEROS-PROMEDIO";#N/A,#N/A,FALSE,"CAJA";#N/A,#N/A,FALSE,"INGRESOS1995-2003";#N/A,#N/A,FALSE,"GASTOS1995-2003"}</definedName>
    <definedName name="res" localSheetId="5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TTRE" localSheetId="3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hidden="1">{"via1",#N/A,TRUE,"general";"via2",#N/A,TRUE,"general";"via3",#N/A,TRUE,"general"}</definedName>
    <definedName name="REWW" hidden="1">#REF!</definedName>
    <definedName name="REWWER" localSheetId="3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3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3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3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hidden="1">{"via1",#N/A,TRUE,"general";"via2",#N/A,TRUE,"general";"via3",#N/A,TRUE,"general"}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ry" localSheetId="3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3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3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3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5t5" localSheetId="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C" localSheetId="3" hidden="1">{#N/A,#N/A,FALSE,"GRAFICO";#N/A,#N/A,FALSE,"CAJA (2)";#N/A,#N/A,FALSE,"TERCEROS-PROMEDIO";#N/A,#N/A,FALSE,"CAJA";#N/A,#N/A,FALSE,"INGRESOS1995-2003";#N/A,#N/A,FALSE,"GASTOS1995-2003"}</definedName>
    <definedName name="TC" localSheetId="0" hidden="1">{#N/A,#N/A,FALSE,"GRAFICO";#N/A,#N/A,FALSE,"CAJA (2)";#N/A,#N/A,FALSE,"TERCEROS-PROMEDIO";#N/A,#N/A,FALSE,"CAJA";#N/A,#N/A,FALSE,"INGRESOS1995-2003";#N/A,#N/A,FALSE,"GASTOS1995-2003"}</definedName>
    <definedName name="TC" localSheetId="6" hidden="1">{#N/A,#N/A,FALSE,"GRAFICO";#N/A,#N/A,FALSE,"CAJA (2)";#N/A,#N/A,FALSE,"TERCEROS-PROMEDIO";#N/A,#N/A,FALSE,"CAJA";#N/A,#N/A,FALSE,"INGRESOS1995-2003";#N/A,#N/A,FALSE,"GASTOS1995-2003"}</definedName>
    <definedName name="TC" localSheetId="2" hidden="1">{#N/A,#N/A,FALSE,"GRAFICO";#N/A,#N/A,FALSE,"CAJA (2)";#N/A,#N/A,FALSE,"TERCEROS-PROMEDIO";#N/A,#N/A,FALSE,"CAJA";#N/A,#N/A,FALSE,"INGRESOS1995-2003";#N/A,#N/A,FALSE,"GASTOS1995-2003"}</definedName>
    <definedName name="TC" localSheetId="5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3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3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hidden="1">{"via1",#N/A,TRUE,"general";"via2",#N/A,TRUE,"general";"via3",#N/A,TRUE,"general"}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3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uthgjhgyggy" localSheetId="6" hidden="1">{"total",#N/A,FALSE,"TD 0% ";"total",#N/A,FALSE,"TD 12%";"total",#N/A,FALSE,"TD 10%"}</definedName>
    <definedName name="tytyuthgjhgyggy" hidden="1">{"total",#N/A,FALSE,"TD 0% ";"total",#N/A,FALSE,"TD 12%";"total",#N/A,FALSE,"TD 10%"}</definedName>
    <definedName name="TYUIYI" localSheetId="3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3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quita" localSheetId="6" hidden="1">{"PRES REHAB ARM-PER POR ITEMS  KM A KM",#N/A,TRUE,"Rehabilitacion Arm-Per"}</definedName>
    <definedName name="vaquita" hidden="1">{"PRES REHAB ARM-PER POR ITEMS  KM A KM",#N/A,TRUE,"Rehabilitacion Arm-Per"}</definedName>
    <definedName name="vbvbvbvb" localSheetId="3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3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6" hidden="1">{"via1",#N/A,TRUE,"general";"via2",#N/A,TRUE,"general";"via3",#N/A,TRUE,"general"}</definedName>
    <definedName name="via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3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3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3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hidden="1">{"via1",#N/A,TRUE,"general";"via2",#N/A,TRUE,"general";"via3",#N/A,TRUE,"general"}</definedName>
    <definedName name="WD" localSheetId="6" hidden="1">{"via1",#N/A,TRUE,"general";"via2",#N/A,TRUE,"general";"via3",#N/A,TRUE,"general"}</definedName>
    <definedName name="WD" hidden="1">{"via1",#N/A,TRUE,"general";"via2",#N/A,TRUE,"general";"via3",#N/A,TRUE,"general"}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localSheetId="6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6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ESTADO._.REHABILITACION." localSheetId="6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6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tems." localSheetId="3" hidden="1">{#N/A,#N/A,FALSE,"Items"}</definedName>
    <definedName name="wrn.items." localSheetId="1" hidden="1">{#N/A,#N/A,FALSE,"Items"}</definedName>
    <definedName name="wrn.items." localSheetId="0" hidden="1">{#N/A,#N/A,FALSE,"Items"}</definedName>
    <definedName name="wrn.items." localSheetId="6" hidden="1">{#N/A,#N/A,FALSE,"Items"}</definedName>
    <definedName name="wrn.items." localSheetId="2" hidden="1">{#N/A,#N/A,FALSE,"Items"}</definedName>
    <definedName name="wrn.items." localSheetId="5" hidden="1">{#N/A,#N/A,FALSE,"Items"}</definedName>
    <definedName name="wrn.items." hidden="1">{#N/A,#N/A,FALSE,"Items"}</definedName>
    <definedName name="wrn.PROYEC." localSheetId="3" hidden="1">{#N/A,#N/A,FALSE,"GRAFICO";#N/A,#N/A,FALSE,"CAJA (2)";#N/A,#N/A,FALSE,"TERCEROS-PROMEDIO";#N/A,#N/A,FALSE,"CAJA";#N/A,#N/A,FALSE,"INGRESOS1995-2003";#N/A,#N/A,FALSE,"GASTOS1995-2003"}</definedName>
    <definedName name="wrn.PROYEC." localSheetId="0" hidden="1">{#N/A,#N/A,FALSE,"GRAFICO";#N/A,#N/A,FALSE,"CAJA (2)";#N/A,#N/A,FALSE,"TERCEROS-PROMEDIO";#N/A,#N/A,FALSE,"CAJA";#N/A,#N/A,FALSE,"INGRESOS1995-2003";#N/A,#N/A,FALSE,"GASTOS1995-2003"}</definedName>
    <definedName name="wrn.PROYEC." localSheetId="6" hidden="1">{#N/A,#N/A,FALSE,"GRAFICO";#N/A,#N/A,FALSE,"CAJA (2)";#N/A,#N/A,FALSE,"TERCEROS-PROMEDIO";#N/A,#N/A,FALSE,"CAJA";#N/A,#N/A,FALSE,"INGRESOS1995-2003";#N/A,#N/A,FALSE,"GASTOS1995-2003"}</definedName>
    <definedName name="wrn.PROYEC." localSheetId="2" hidden="1">{#N/A,#N/A,FALSE,"GRAFICO";#N/A,#N/A,FALSE,"CAJA (2)";#N/A,#N/A,FALSE,"TERCEROS-PROMEDIO";#N/A,#N/A,FALSE,"CAJA";#N/A,#N/A,FALSE,"INGRESOS1995-2003";#N/A,#N/A,FALSE,"GASTOS1995-2003"}</definedName>
    <definedName name="wrn.PROYEC." localSheetId="5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umen." localSheetId="6" hidden="1">{"total",#N/A,FALSE,"TD 0% ";"total",#N/A,FALSE,"TD 12%";"total",#N/A,FALSE,"TD 10%"}</definedName>
    <definedName name="wrn.resumen." hidden="1">{"total",#N/A,FALSE,"TD 0% ";"total",#N/A,FALSE,"TD 12%";"total",#N/A,FALSE,"TD 10%"}</definedName>
    <definedName name="wrn.SENCILLO." localSheetId="3" hidden="1">{"PYGS",#N/A,FALSE,"PYG";"ACTIS",#N/A,FALSE,"BCE_GRAL-ACTIVO";"PASIS",#N/A,FALSE,"BCE_GRAL-PASIVO-PATRIM";"CAJAS",#N/A,FALSE,"CAJA"}</definedName>
    <definedName name="wrn.SENCILLO." localSheetId="0" hidden="1">{"PYGS",#N/A,FALSE,"PYG";"ACTIS",#N/A,FALSE,"BCE_GRAL-ACTIVO";"PASIS",#N/A,FALSE,"BCE_GRAL-PASIVO-PATRIM";"CAJAS",#N/A,FALSE,"CAJA"}</definedName>
    <definedName name="wrn.SENCILLO." localSheetId="6" hidden="1">{"PYGS",#N/A,FALSE,"PYG";"ACTIS",#N/A,FALSE,"BCE_GRAL-ACTIVO";"PASIS",#N/A,FALSE,"BCE_GRAL-PASIVO-PATRIM";"CAJAS",#N/A,FALSE,"CAJA"}</definedName>
    <definedName name="wrn.SENCILLO." localSheetId="2" hidden="1">{"PYGS",#N/A,FALSE,"PYG";"ACTIS",#N/A,FALSE,"BCE_GRAL-ACTIVO";"PASIS",#N/A,FALSE,"BCE_GRAL-PASIVO-PATRIM";"CAJAS",#N/A,FALSE,"CAJA"}</definedName>
    <definedName name="wrn.SENCILLO." localSheetId="5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3" hidden="1">{"Parcial",#N/A,FALSE,"GastFuncionamiento";"Parcial2",#N/A,FALSE,"GastFuncionamiento";"Total",#N/A,FALSE,"GastFuncionamiento"}</definedName>
    <definedName name="wrn.Total." localSheetId="0" hidden="1">{"Parcial",#N/A,FALSE,"GastFuncionamiento";"Parcial2",#N/A,FALSE,"GastFuncionamiento";"Total",#N/A,FALSE,"GastFuncionamiento"}</definedName>
    <definedName name="wrn.Total." localSheetId="6" hidden="1">{"Parcial",#N/A,FALSE,"GastFuncionamiento";"Parcial2",#N/A,FALSE,"GastFuncionamiento";"Total",#N/A,FALSE,"GastFuncionamiento"}</definedName>
    <definedName name="wrn.Total." localSheetId="2" hidden="1">{"Parcial",#N/A,FALSE,"GastFuncionamiento";"Parcial2",#N/A,FALSE,"GastFuncionamiento";"Total",#N/A,FALSE,"GastFuncionamiento"}</definedName>
    <definedName name="wrn.Total." localSheetId="5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" localSheetId="6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3" hidden="1">{#N/A,#N/A,FALSE,"Items"}</definedName>
    <definedName name="wrn1.items" localSheetId="1" hidden="1">{#N/A,#N/A,FALSE,"Items"}</definedName>
    <definedName name="wrn1.items" localSheetId="0" hidden="1">{#N/A,#N/A,FALSE,"Items"}</definedName>
    <definedName name="wrn1.items" localSheetId="6" hidden="1">{#N/A,#N/A,FALSE,"Items"}</definedName>
    <definedName name="wrn1.items" localSheetId="2" hidden="1">{#N/A,#N/A,FALSE,"Items"}</definedName>
    <definedName name="wrn1.items" localSheetId="5" hidden="1">{#N/A,#N/A,FALSE,"Items"}</definedName>
    <definedName name="wrn1.items" hidden="1">{#N/A,#N/A,FALSE,"Items"}</definedName>
    <definedName name="wsnhed" localSheetId="3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ComparEneMar9697." localSheetId="6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6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6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6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6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6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localSheetId="3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6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5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3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6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5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3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6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5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3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6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2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5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3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6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5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3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3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localSheetId="3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localSheetId="0" hidden="1">{"via1",#N/A,TRUE,"general";"via2",#N/A,TRUE,"general";"via3",#N/A,TRUE,"general"}</definedName>
    <definedName name="y" localSheetId="6" hidden="1">{"via1",#N/A,TRUE,"general";"via2",#N/A,TRUE,"general";"via3",#N/A,TRUE,"general"}</definedName>
    <definedName name="y" localSheetId="2" hidden="1">{"via1",#N/A,TRUE,"general";"via2",#N/A,TRUE,"general";"via3",#N/A,TRUE,"general"}</definedName>
    <definedName name="y" localSheetId="5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3" hidden="1">{#N/A,#N/A,FALSE,"GRAFICO";#N/A,#N/A,FALSE,"CAJA (2)";#N/A,#N/A,FALSE,"TERCEROS-PROMEDIO";#N/A,#N/A,FALSE,"CAJA";#N/A,#N/A,FALSE,"INGRESOS1995-2003";#N/A,#N/A,FALSE,"GASTOS1995-2003"}</definedName>
    <definedName name="YO" localSheetId="0" hidden="1">{#N/A,#N/A,FALSE,"GRAFICO";#N/A,#N/A,FALSE,"CAJA (2)";#N/A,#N/A,FALSE,"TERCEROS-PROMEDIO";#N/A,#N/A,FALSE,"CAJA";#N/A,#N/A,FALSE,"INGRESOS1995-2003";#N/A,#N/A,FALSE,"GASTOS1995-2003"}</definedName>
    <definedName name="YO" localSheetId="6" hidden="1">{#N/A,#N/A,FALSE,"GRAFICO";#N/A,#N/A,FALSE,"CAJA (2)";#N/A,#N/A,FALSE,"TERCEROS-PROMEDIO";#N/A,#N/A,FALSE,"CAJA";#N/A,#N/A,FALSE,"INGRESOS1995-2003";#N/A,#N/A,FALSE,"GASTOS1995-2003"}</definedName>
    <definedName name="YO" localSheetId="2" hidden="1">{#N/A,#N/A,FALSE,"GRAFICO";#N/A,#N/A,FALSE,"CAJA (2)";#N/A,#N/A,FALSE,"TERCEROS-PROMEDIO";#N/A,#N/A,FALSE,"CAJA";#N/A,#N/A,FALSE,"INGRESOS1995-2003";#N/A,#N/A,FALSE,"GASTOS1995-2003"}</definedName>
    <definedName name="YO" localSheetId="5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localSheetId="3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localSheetId="6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5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localSheetId="6" hidden="1">#REF!</definedName>
    <definedName name="Z_026CD6D7_F7CA_4BE8_B625_9A1778CFA739_.wvu.FilterData" hidden="1">#REF!</definedName>
    <definedName name="Z_026CD6D7_F7CA_4BE8_B625_9A1778CFA739_.wvu.PrintArea" localSheetId="6" hidden="1">#REF!</definedName>
    <definedName name="Z_026CD6D7_F7CA_4BE8_B625_9A1778CFA739_.wvu.PrintArea" hidden="1">#REF!</definedName>
    <definedName name="Z_026CD6D7_F7CA_4BE8_B625_9A1778CFA739_.wvu.PrintTitles" localSheetId="6" hidden="1">#REF!</definedName>
    <definedName name="Z_026CD6D7_F7CA_4BE8_B625_9A1778CFA739_.wvu.PrintTitles" hidden="1">#REF!</definedName>
    <definedName name="Z_05670E35_1347_49D9_AD91_AA9A31A4EF61_.wvu.FilterData" localSheetId="6" hidden="1">#REF!</definedName>
    <definedName name="Z_05670E35_1347_49D9_AD91_AA9A31A4EF61_.wvu.FilterData" hidden="1">#REF!</definedName>
    <definedName name="Z_05670E35_1347_49D9_AD91_AA9A31A4EF61_.wvu.PrintArea" localSheetId="6" hidden="1">#REF!</definedName>
    <definedName name="Z_05670E35_1347_49D9_AD91_AA9A31A4EF61_.wvu.PrintArea" hidden="1">#REF!</definedName>
    <definedName name="Z_05670E35_1347_49D9_AD91_AA9A31A4EF61_.wvu.PrintTitles" localSheetId="6" hidden="1">#REF!</definedName>
    <definedName name="Z_05670E35_1347_49D9_AD91_AA9A31A4EF61_.wvu.PrintTitles" hidden="1">#REF!</definedName>
    <definedName name="Z_086A872D_15DF_436A_8459_CE22F6819FF4_.wvu.Rows" localSheetId="6" hidden="1">#REF!</definedName>
    <definedName name="Z_086A872D_15DF_436A_8459_CE22F6819FF4_.wvu.Rows" hidden="1">#REF!</definedName>
    <definedName name="Z_0890F28A_A8C8_451C_A3E6_C3AFDD239B64_.wvu.FilterData" localSheetId="6" hidden="1">#REF!</definedName>
    <definedName name="Z_0890F28A_A8C8_451C_A3E6_C3AFDD239B64_.wvu.FilterData" hidden="1">#REF!</definedName>
    <definedName name="Z_0890F28A_A8C8_451C_A3E6_C3AFDD239B64_.wvu.PrintArea" localSheetId="6" hidden="1">#REF!</definedName>
    <definedName name="Z_0890F28A_A8C8_451C_A3E6_C3AFDD239B64_.wvu.PrintArea" hidden="1">#REF!</definedName>
    <definedName name="Z_0890F28A_A8C8_451C_A3E6_C3AFDD239B64_.wvu.PrintTitles" localSheetId="6" hidden="1">#REF!</definedName>
    <definedName name="Z_0890F28A_A8C8_451C_A3E6_C3AFDD239B64_.wvu.PrintTitles" hidden="1">#REF!</definedName>
    <definedName name="Z_0A4C2D72_EA87_11DA_B6F6_00609720E0A1_.wvu.FilterData" localSheetId="6" hidden="1">#REF!</definedName>
    <definedName name="Z_0A4C2D72_EA87_11DA_B6F6_00609720E0A1_.wvu.FilterData" hidden="1">#REF!</definedName>
    <definedName name="Z_0A4C2D72_EA87_11DA_B6F6_00609720E0A1_.wvu.PrintArea" localSheetId="6" hidden="1">#REF!</definedName>
    <definedName name="Z_0A4C2D72_EA87_11DA_B6F6_00609720E0A1_.wvu.PrintArea" hidden="1">#REF!</definedName>
    <definedName name="Z_0A4C2D72_EA87_11DA_B6F6_00609720E0A1_.wvu.PrintTitles" localSheetId="6" hidden="1">#REF!</definedName>
    <definedName name="Z_0A4C2D72_EA87_11DA_B6F6_00609720E0A1_.wvu.PrintTitles" hidden="1">#REF!</definedName>
    <definedName name="Z_0A4C2D73_EA87_11DA_B6F6_00609720E0A1_.wvu.FilterData" localSheetId="6" hidden="1">#REF!</definedName>
    <definedName name="Z_0A4C2D73_EA87_11DA_B6F6_00609720E0A1_.wvu.FilterData" hidden="1">#REF!</definedName>
    <definedName name="Z_0A4C2D73_EA87_11DA_B6F6_00609720E0A1_.wvu.PrintArea" localSheetId="6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localSheetId="6" hidden="1">#REF!</definedName>
    <definedName name="Z_0A4C2D74_EA87_11DA_B6F6_00609720E0A1_.wvu.FilterData" hidden="1">#REF!</definedName>
    <definedName name="Z_0A4C2D74_EA87_11DA_B6F6_00609720E0A1_.wvu.PrintArea" localSheetId="6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localSheetId="6" hidden="1">#REF!</definedName>
    <definedName name="Z_0A4C2D75_EA87_11DA_B6F6_00609720E0A1_.wvu.FilterData" hidden="1">#REF!</definedName>
    <definedName name="Z_0A4C2D75_EA87_11DA_B6F6_00609720E0A1_.wvu.PrintArea" localSheetId="6" hidden="1">#REF!</definedName>
    <definedName name="Z_0A4C2D75_EA87_11DA_B6F6_00609720E0A1_.wvu.PrintArea" hidden="1">#REF!</definedName>
    <definedName name="Z_0A4C2D75_EA87_11DA_B6F6_00609720E0A1_.wvu.PrintTitles" localSheetId="6" hidden="1">#REF!</definedName>
    <definedName name="Z_0A4C2D75_EA87_11DA_B6F6_00609720E0A1_.wvu.PrintTitles" hidden="1">#REF!</definedName>
    <definedName name="Z_0A4C2D76_EA87_11DA_B6F6_00609720E0A1_.wvu.FilterData" localSheetId="6" hidden="1">#REF!</definedName>
    <definedName name="Z_0A4C2D76_EA87_11DA_B6F6_00609720E0A1_.wvu.FilterData" hidden="1">#REF!</definedName>
    <definedName name="Z_0A4C2D76_EA87_11DA_B6F6_00609720E0A1_.wvu.PrintArea" localSheetId="6" hidden="1">#REF!</definedName>
    <definedName name="Z_0A4C2D76_EA87_11DA_B6F6_00609720E0A1_.wvu.PrintArea" hidden="1">#REF!</definedName>
    <definedName name="Z_0A4C2D76_EA87_11DA_B6F6_00609720E0A1_.wvu.PrintTitles" localSheetId="6" hidden="1">#REF!</definedName>
    <definedName name="Z_0A4C2D76_EA87_11DA_B6F6_00609720E0A1_.wvu.PrintTitles" hidden="1">#REF!</definedName>
    <definedName name="Z_0E0DE1F8_394A_4093_8E74_B2A631A3A88C_.wvu.FilterData" localSheetId="6" hidden="1">#REF!</definedName>
    <definedName name="Z_0E0DE1F8_394A_4093_8E74_B2A631A3A88C_.wvu.FilterData" hidden="1">#REF!</definedName>
    <definedName name="Z_0E0DE1F8_394A_4093_8E74_B2A631A3A88C_.wvu.PrintArea" localSheetId="6" hidden="1">#REF!</definedName>
    <definedName name="Z_0E0DE1F8_394A_4093_8E74_B2A631A3A88C_.wvu.PrintArea" hidden="1">#REF!</definedName>
    <definedName name="Z_0E0DE1F8_394A_4093_8E74_B2A631A3A88C_.wvu.PrintTitles" localSheetId="6" hidden="1">#REF!</definedName>
    <definedName name="Z_0E0DE1F8_394A_4093_8E74_B2A631A3A88C_.wvu.PrintTitles" hidden="1">#REF!</definedName>
    <definedName name="Z_18C710ED_70CF_48D0_92F5_038A88335068_.wvu.FilterData" localSheetId="6" hidden="1">#REF!</definedName>
    <definedName name="Z_18C710ED_70CF_48D0_92F5_038A88335068_.wvu.FilterData" hidden="1">#REF!</definedName>
    <definedName name="Z_18C710ED_70CF_48D0_92F5_038A88335068_.wvu.PrintArea" localSheetId="6" hidden="1">#REF!</definedName>
    <definedName name="Z_18C710ED_70CF_48D0_92F5_038A88335068_.wvu.PrintArea" hidden="1">#REF!</definedName>
    <definedName name="Z_18C710ED_70CF_48D0_92F5_038A88335068_.wvu.PrintTitles" localSheetId="6" hidden="1">#REF!</definedName>
    <definedName name="Z_18C710ED_70CF_48D0_92F5_038A88335068_.wvu.PrintTitles" hidden="1">#REF!</definedName>
    <definedName name="Z_378D82E8_FE69_4712_AE73_9D578C4190DE_.wvu.FilterData" localSheetId="6" hidden="1">#REF!</definedName>
    <definedName name="Z_378D82E8_FE69_4712_AE73_9D578C4190DE_.wvu.FilterData" hidden="1">#REF!</definedName>
    <definedName name="Z_378D82E8_FE69_4712_AE73_9D578C4190DE_.wvu.PrintArea" localSheetId="6" hidden="1">#REF!</definedName>
    <definedName name="Z_378D82E8_FE69_4712_AE73_9D578C4190DE_.wvu.PrintArea" hidden="1">#REF!</definedName>
    <definedName name="Z_378D82E8_FE69_4712_AE73_9D578C4190DE_.wvu.PrintTitles" localSheetId="6" hidden="1">#REF!</definedName>
    <definedName name="Z_378D82E8_FE69_4712_AE73_9D578C4190DE_.wvu.PrintTitles" hidden="1">#REF!</definedName>
    <definedName name="Z_381FCF61_DF95_4756_B103_A1118DFFDE02_.wvu.FilterData" localSheetId="6" hidden="1">#REF!</definedName>
    <definedName name="Z_381FCF61_DF95_4756_B103_A1118DFFDE02_.wvu.FilterData" hidden="1">#REF!</definedName>
    <definedName name="Z_381FCF61_DF95_4756_B103_A1118DFFDE02_.wvu.PrintArea" localSheetId="6" hidden="1">#REF!</definedName>
    <definedName name="Z_381FCF61_DF95_4756_B103_A1118DFFDE02_.wvu.PrintArea" hidden="1">#REF!</definedName>
    <definedName name="Z_381FCF61_DF95_4756_B103_A1118DFFDE02_.wvu.PrintTitles" localSheetId="6" hidden="1">#REF!</definedName>
    <definedName name="Z_381FCF61_DF95_4756_B103_A1118DFFDE02_.wvu.PrintTitles" hidden="1">#REF!</definedName>
    <definedName name="Z_3B3C0CA1_2A9C_45FD_9823_50B200F6C0D1_.wvu.FilterData" localSheetId="6" hidden="1">#REF!</definedName>
    <definedName name="Z_3B3C0CA1_2A9C_45FD_9823_50B200F6C0D1_.wvu.FilterData" hidden="1">#REF!</definedName>
    <definedName name="Z_3B3C0CA1_2A9C_45FD_9823_50B200F6C0D1_.wvu.PrintArea" localSheetId="6" hidden="1">#REF!</definedName>
    <definedName name="Z_3B3C0CA1_2A9C_45FD_9823_50B200F6C0D1_.wvu.PrintArea" hidden="1">#REF!</definedName>
    <definedName name="Z_3B3C0CA1_2A9C_45FD_9823_50B200F6C0D1_.wvu.PrintTitles" localSheetId="6" hidden="1">#REF!</definedName>
    <definedName name="Z_3B3C0CA1_2A9C_45FD_9823_50B200F6C0D1_.wvu.PrintTitles" hidden="1">#REF!</definedName>
    <definedName name="Z_3E9430E5_6A83_435B_9E47_1B8F7E18D67C_.wvu.FilterData" localSheetId="6" hidden="1">#REF!</definedName>
    <definedName name="Z_3E9430E5_6A83_435B_9E47_1B8F7E18D67C_.wvu.FilterData" hidden="1">#REF!</definedName>
    <definedName name="Z_3E9430E5_6A83_435B_9E47_1B8F7E18D67C_.wvu.PrintArea" localSheetId="6" hidden="1">#REF!</definedName>
    <definedName name="Z_3E9430E5_6A83_435B_9E47_1B8F7E18D67C_.wvu.PrintArea" hidden="1">#REF!</definedName>
    <definedName name="Z_3E9430E5_6A83_435B_9E47_1B8F7E18D67C_.wvu.PrintTitles" localSheetId="6" hidden="1">#REF!</definedName>
    <definedName name="Z_3E9430E5_6A83_435B_9E47_1B8F7E18D67C_.wvu.PrintTitles" hidden="1">#REF!</definedName>
    <definedName name="Z_4A14CB5C_2287_4F6E_9A65_22F0A4D81D81_.wvu.FilterData" localSheetId="6" hidden="1">#REF!</definedName>
    <definedName name="Z_4A14CB5C_2287_4F6E_9A65_22F0A4D81D81_.wvu.FilterData" hidden="1">#REF!</definedName>
    <definedName name="Z_4A14CB5C_2287_4F6E_9A65_22F0A4D81D81_.wvu.PrintArea" localSheetId="6" hidden="1">#REF!</definedName>
    <definedName name="Z_4A14CB5C_2287_4F6E_9A65_22F0A4D81D81_.wvu.PrintArea" hidden="1">#REF!</definedName>
    <definedName name="Z_4A14CB5C_2287_4F6E_9A65_22F0A4D81D81_.wvu.PrintTitles" localSheetId="6" hidden="1">#REF!</definedName>
    <definedName name="Z_4A14CB5C_2287_4F6E_9A65_22F0A4D81D81_.wvu.PrintTitles" hidden="1">#REF!</definedName>
    <definedName name="Z_4BBC24C4_A093_4EC9_8AFF_49C6F602CC39_.wvu.FilterData" localSheetId="6" hidden="1">#REF!</definedName>
    <definedName name="Z_4BBC24C4_A093_4EC9_8AFF_49C6F602CC39_.wvu.FilterData" hidden="1">#REF!</definedName>
    <definedName name="Z_4BBC24C4_A093_4EC9_8AFF_49C6F602CC39_.wvu.PrintArea" localSheetId="6" hidden="1">#REF!</definedName>
    <definedName name="Z_4BBC24C4_A093_4EC9_8AFF_49C6F602CC39_.wvu.PrintArea" hidden="1">#REF!</definedName>
    <definedName name="Z_4BBC24C4_A093_4EC9_8AFF_49C6F602CC39_.wvu.PrintTitles" localSheetId="6" hidden="1">#REF!</definedName>
    <definedName name="Z_4BBC24C4_A093_4EC9_8AFF_49C6F602CC39_.wvu.PrintTitles" hidden="1">#REF!</definedName>
    <definedName name="Z_504A8F9D_2C46_439E_975A_DF1C1FA56E7B_.wvu.FilterData" localSheetId="6" hidden="1">#REF!</definedName>
    <definedName name="Z_504A8F9D_2C46_439E_975A_DF1C1FA56E7B_.wvu.FilterData" hidden="1">#REF!</definedName>
    <definedName name="Z_504A8F9D_2C46_439E_975A_DF1C1FA56E7B_.wvu.PrintArea" localSheetId="6" hidden="1">#REF!</definedName>
    <definedName name="Z_504A8F9D_2C46_439E_975A_DF1C1FA56E7B_.wvu.PrintArea" hidden="1">#REF!</definedName>
    <definedName name="Z_504A8F9D_2C46_439E_975A_DF1C1FA56E7B_.wvu.PrintTitles" localSheetId="6" hidden="1">#REF!</definedName>
    <definedName name="Z_504A8F9D_2C46_439E_975A_DF1C1FA56E7B_.wvu.PrintTitles" hidden="1">#REF!</definedName>
    <definedName name="Z_653348E7_CDAD_4F62_A236_641A4BB6425A_.wvu.FilterData" localSheetId="6" hidden="1">#REF!</definedName>
    <definedName name="Z_653348E7_CDAD_4F62_A236_641A4BB6425A_.wvu.FilterData" hidden="1">#REF!</definedName>
    <definedName name="Z_653348E7_CDAD_4F62_A236_641A4BB6425A_.wvu.PrintArea" localSheetId="6" hidden="1">#REF!</definedName>
    <definedName name="Z_653348E7_CDAD_4F62_A236_641A4BB6425A_.wvu.PrintArea" hidden="1">#REF!</definedName>
    <definedName name="Z_653348E7_CDAD_4F62_A236_641A4BB6425A_.wvu.PrintTitles" localSheetId="6" hidden="1">#REF!</definedName>
    <definedName name="Z_653348E7_CDAD_4F62_A236_641A4BB6425A_.wvu.PrintTitles" hidden="1">#REF!</definedName>
    <definedName name="Z_68C48519_C8C2_4287_96F6_0F561F815CE8_.wvu.FilterData" localSheetId="6" hidden="1">#REF!</definedName>
    <definedName name="Z_68C48519_C8C2_4287_96F6_0F561F815CE8_.wvu.FilterData" hidden="1">#REF!</definedName>
    <definedName name="Z_68C48519_C8C2_4287_96F6_0F561F815CE8_.wvu.PrintArea" localSheetId="6" hidden="1">#REF!</definedName>
    <definedName name="Z_68C48519_C8C2_4287_96F6_0F561F815CE8_.wvu.PrintArea" hidden="1">#REF!</definedName>
    <definedName name="Z_68C48519_C8C2_4287_96F6_0F561F815CE8_.wvu.PrintTitles" localSheetId="6" hidden="1">#REF!</definedName>
    <definedName name="Z_68C48519_C8C2_4287_96F6_0F561F815CE8_.wvu.PrintTitles" hidden="1">#REF!</definedName>
    <definedName name="Z_6BA141F2_E104_11DA_B6F6_00609720E0A1_.wvu.FilterData" localSheetId="6" hidden="1">#REF!</definedName>
    <definedName name="Z_6BA141F2_E104_11DA_B6F6_00609720E0A1_.wvu.FilterData" hidden="1">#REF!</definedName>
    <definedName name="Z_6BA141F2_E104_11DA_B6F6_00609720E0A1_.wvu.PrintArea" localSheetId="6" hidden="1">#REF!</definedName>
    <definedName name="Z_6BA141F2_E104_11DA_B6F6_00609720E0A1_.wvu.PrintArea" hidden="1">#REF!</definedName>
    <definedName name="Z_6BA141F2_E104_11DA_B6F6_00609720E0A1_.wvu.PrintTitles" localSheetId="6" hidden="1">#REF!</definedName>
    <definedName name="Z_6BA141F2_E104_11DA_B6F6_00609720E0A1_.wvu.PrintTitles" hidden="1">#REF!</definedName>
    <definedName name="Z_6BA141F3_E104_11DA_B6F6_00609720E0A1_.wvu.FilterData" localSheetId="6" hidden="1">#REF!</definedName>
    <definedName name="Z_6BA141F3_E104_11DA_B6F6_00609720E0A1_.wvu.FilterData" hidden="1">#REF!</definedName>
    <definedName name="Z_6BA141F3_E104_11DA_B6F6_00609720E0A1_.wvu.PrintArea" localSheetId="6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localSheetId="6" hidden="1">#REF!</definedName>
    <definedName name="Z_6BA141F4_E104_11DA_B6F6_00609720E0A1_.wvu.FilterData" hidden="1">#REF!</definedName>
    <definedName name="Z_6BA141F4_E104_11DA_B6F6_00609720E0A1_.wvu.PrintArea" localSheetId="6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localSheetId="6" hidden="1">#REF!</definedName>
    <definedName name="Z_6BA141F5_E104_11DA_B6F6_00609720E0A1_.wvu.FilterData" hidden="1">#REF!</definedName>
    <definedName name="Z_6BA141F5_E104_11DA_B6F6_00609720E0A1_.wvu.PrintArea" localSheetId="6" hidden="1">#REF!</definedName>
    <definedName name="Z_6BA141F5_E104_11DA_B6F6_00609720E0A1_.wvu.PrintArea" hidden="1">#REF!</definedName>
    <definedName name="Z_6BA141F5_E104_11DA_B6F6_00609720E0A1_.wvu.PrintTitles" localSheetId="6" hidden="1">#REF!</definedName>
    <definedName name="Z_6BA141F5_E104_11DA_B6F6_00609720E0A1_.wvu.PrintTitles" hidden="1">#REF!</definedName>
    <definedName name="Z_6BA141F6_E104_11DA_B6F6_00609720E0A1_.wvu.FilterData" localSheetId="6" hidden="1">#REF!</definedName>
    <definedName name="Z_6BA141F6_E104_11DA_B6F6_00609720E0A1_.wvu.FilterData" hidden="1">#REF!</definedName>
    <definedName name="Z_6BA141F6_E104_11DA_B6F6_00609720E0A1_.wvu.PrintArea" localSheetId="6" hidden="1">#REF!</definedName>
    <definedName name="Z_6BA141F6_E104_11DA_B6F6_00609720E0A1_.wvu.PrintArea" hidden="1">#REF!</definedName>
    <definedName name="Z_6BA141F6_E104_11DA_B6F6_00609720E0A1_.wvu.PrintTitles" localSheetId="6" hidden="1">#REF!</definedName>
    <definedName name="Z_6BA141F6_E104_11DA_B6F6_00609720E0A1_.wvu.PrintTitles" hidden="1">#REF!</definedName>
    <definedName name="Z_726673D2_C579_4EF3_83C7_45DC3792EA6A_.wvu.FilterData" localSheetId="6" hidden="1">#REF!</definedName>
    <definedName name="Z_726673D2_C579_4EF3_83C7_45DC3792EA6A_.wvu.FilterData" hidden="1">#REF!</definedName>
    <definedName name="Z_726673D2_C579_4EF3_83C7_45DC3792EA6A_.wvu.PrintArea" localSheetId="6" hidden="1">#REF!</definedName>
    <definedName name="Z_726673D2_C579_4EF3_83C7_45DC3792EA6A_.wvu.PrintArea" hidden="1">#REF!</definedName>
    <definedName name="Z_726673D2_C579_4EF3_83C7_45DC3792EA6A_.wvu.PrintTitles" localSheetId="6" hidden="1">#REF!</definedName>
    <definedName name="Z_726673D2_C579_4EF3_83C7_45DC3792EA6A_.wvu.PrintTitles" hidden="1">#REF!</definedName>
    <definedName name="Z_729969D8_DFDA_47B9_ADA2_E05CF62B3DEF_.wvu.FilterData" localSheetId="6" hidden="1">#REF!</definedName>
    <definedName name="Z_729969D8_DFDA_47B9_ADA2_E05CF62B3DEF_.wvu.FilterData" hidden="1">#REF!</definedName>
    <definedName name="Z_729969D8_DFDA_47B9_ADA2_E05CF62B3DEF_.wvu.PrintArea" localSheetId="6" hidden="1">#REF!</definedName>
    <definedName name="Z_729969D8_DFDA_47B9_ADA2_E05CF62B3DEF_.wvu.PrintArea" hidden="1">#REF!</definedName>
    <definedName name="Z_729969D8_DFDA_47B9_ADA2_E05CF62B3DEF_.wvu.PrintTitles" localSheetId="6" hidden="1">#REF!</definedName>
    <definedName name="Z_729969D8_DFDA_47B9_ADA2_E05CF62B3DEF_.wvu.PrintTitles" hidden="1">#REF!</definedName>
    <definedName name="Z_75EDDC88_CA8C_4671_911D_25D74F37EC47_.wvu.FilterData" localSheetId="6" hidden="1">#REF!</definedName>
    <definedName name="Z_75EDDC88_CA8C_4671_911D_25D74F37EC47_.wvu.FilterData" hidden="1">#REF!</definedName>
    <definedName name="Z_75EDDC88_CA8C_4671_911D_25D74F37EC47_.wvu.PrintArea" localSheetId="6" hidden="1">#REF!</definedName>
    <definedName name="Z_75EDDC88_CA8C_4671_911D_25D74F37EC47_.wvu.PrintArea" hidden="1">#REF!</definedName>
    <definedName name="Z_75EDDC88_CA8C_4671_911D_25D74F37EC47_.wvu.PrintTitles" localSheetId="6" hidden="1">#REF!</definedName>
    <definedName name="Z_75EDDC88_CA8C_4671_911D_25D74F37EC47_.wvu.PrintTitles" hidden="1">#REF!</definedName>
    <definedName name="Z_80573755_2D8B_4158_BD3A_CC331B950748_.wvu.FilterData" localSheetId="6" hidden="1">#REF!</definedName>
    <definedName name="Z_80573755_2D8B_4158_BD3A_CC331B950748_.wvu.FilterData" hidden="1">#REF!</definedName>
    <definedName name="Z_80573755_2D8B_4158_BD3A_CC331B950748_.wvu.PrintArea" localSheetId="6" hidden="1">#REF!</definedName>
    <definedName name="Z_80573755_2D8B_4158_BD3A_CC331B950748_.wvu.PrintArea" hidden="1">#REF!</definedName>
    <definedName name="Z_80573755_2D8B_4158_BD3A_CC331B950748_.wvu.PrintTitles" localSheetId="6" hidden="1">#REF!</definedName>
    <definedName name="Z_80573755_2D8B_4158_BD3A_CC331B950748_.wvu.PrintTitles" hidden="1">#REF!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  <definedName name="Z_9C7B0D6D_4DDE_4C72_B23F_2E183F63ECB1_.wvu.FilterData" localSheetId="6" hidden="1">#REF!</definedName>
    <definedName name="Z_9C7B0D6D_4DDE_4C72_B23F_2E183F63ECB1_.wvu.FilterData" hidden="1">#REF!</definedName>
    <definedName name="Z_9C7B0D6D_4DDE_4C72_B23F_2E183F63ECB1_.wvu.PrintArea" localSheetId="6" hidden="1">#REF!</definedName>
    <definedName name="Z_9C7B0D6D_4DDE_4C72_B23F_2E183F63ECB1_.wvu.PrintArea" hidden="1">#REF!</definedName>
    <definedName name="Z_9C7B0D6D_4DDE_4C72_B23F_2E183F63ECB1_.wvu.PrintTitles" localSheetId="6" hidden="1">#REF!</definedName>
    <definedName name="Z_9C7B0D6D_4DDE_4C72_B23F_2E183F63ECB1_.wvu.PrintTitles" hidden="1">#REF!</definedName>
    <definedName name="Z_9C8B6436_249F_426A_96DC_EEE5E7CB7D1B_.wvu.FilterData" localSheetId="6" hidden="1">#REF!</definedName>
    <definedName name="Z_9C8B6436_249F_426A_96DC_EEE5E7CB7D1B_.wvu.FilterData" hidden="1">#REF!</definedName>
    <definedName name="Z_9C8B6436_249F_426A_96DC_EEE5E7CB7D1B_.wvu.PrintArea" localSheetId="6" hidden="1">#REF!</definedName>
    <definedName name="Z_9C8B6436_249F_426A_96DC_EEE5E7CB7D1B_.wvu.PrintArea" hidden="1">#REF!</definedName>
    <definedName name="Z_9C8B6436_249F_426A_96DC_EEE5E7CB7D1B_.wvu.PrintTitles" localSheetId="6" hidden="1">#REF!</definedName>
    <definedName name="Z_9C8B6436_249F_426A_96DC_EEE5E7CB7D1B_.wvu.PrintTitles" hidden="1">#REF!</definedName>
    <definedName name="Z_9FCFD0D5_270B_4F36_B422_02EF7A3700B8_.wvu.FilterData" localSheetId="6" hidden="1">#REF!</definedName>
    <definedName name="Z_9FCFD0D5_270B_4F36_B422_02EF7A3700B8_.wvu.FilterData" hidden="1">#REF!</definedName>
    <definedName name="Z_9FCFD0D5_270B_4F36_B422_02EF7A3700B8_.wvu.PrintArea" localSheetId="6" hidden="1">#REF!</definedName>
    <definedName name="Z_9FCFD0D5_270B_4F36_B422_02EF7A3700B8_.wvu.PrintArea" hidden="1">#REF!</definedName>
    <definedName name="Z_9FCFD0D5_270B_4F36_B422_02EF7A3700B8_.wvu.PrintTitles" localSheetId="6" hidden="1">#REF!</definedName>
    <definedName name="Z_9FCFD0D5_270B_4F36_B422_02EF7A3700B8_.wvu.PrintTitles" hidden="1">#REF!</definedName>
    <definedName name="Z_9FE8FF3F_4486_44D6_9AFB_43CC5B824BF9_.wvu.FilterData" localSheetId="6" hidden="1">#REF!</definedName>
    <definedName name="Z_9FE8FF3F_4486_44D6_9AFB_43CC5B824BF9_.wvu.FilterData" hidden="1">#REF!</definedName>
    <definedName name="Z_9FE8FF3F_4486_44D6_9AFB_43CC5B824BF9_.wvu.PrintArea" localSheetId="6" hidden="1">#REF!</definedName>
    <definedName name="Z_9FE8FF3F_4486_44D6_9AFB_43CC5B824BF9_.wvu.PrintArea" hidden="1">#REF!</definedName>
    <definedName name="Z_9FE8FF3F_4486_44D6_9AFB_43CC5B824BF9_.wvu.PrintTitles" localSheetId="6" hidden="1">#REF!</definedName>
    <definedName name="Z_9FE8FF3F_4486_44D6_9AFB_43CC5B824BF9_.wvu.PrintTitles" hidden="1">#REF!</definedName>
    <definedName name="Z_A3DE26BA_CF48_4654_9BE9_FAEB3C301C95_.wvu.FilterData" localSheetId="6" hidden="1">#REF!</definedName>
    <definedName name="Z_A3DE26BA_CF48_4654_9BE9_FAEB3C301C95_.wvu.FilterData" hidden="1">#REF!</definedName>
    <definedName name="Z_A3DE26BA_CF48_4654_9BE9_FAEB3C301C95_.wvu.PrintArea" localSheetId="6" hidden="1">#REF!</definedName>
    <definedName name="Z_A3DE26BA_CF48_4654_9BE9_FAEB3C301C95_.wvu.PrintArea" hidden="1">#REF!</definedName>
    <definedName name="Z_A3DE26BA_CF48_4654_9BE9_FAEB3C301C95_.wvu.PrintTitles" localSheetId="6" hidden="1">#REF!</definedName>
    <definedName name="Z_A3DE26BA_CF48_4654_9BE9_FAEB3C301C95_.wvu.PrintTitles" hidden="1">#REF!</definedName>
    <definedName name="Z_AAA1DD33_F1E3_423A_B1F2_E8567F4D95A5_.wvu.FilterData" localSheetId="6" hidden="1">#REF!</definedName>
    <definedName name="Z_AAA1DD33_F1E3_423A_B1F2_E8567F4D95A5_.wvu.FilterData" hidden="1">#REF!</definedName>
    <definedName name="Z_AAA1DD33_F1E3_423A_B1F2_E8567F4D95A5_.wvu.PrintArea" localSheetId="6" hidden="1">#REF!</definedName>
    <definedName name="Z_AAA1DD33_F1E3_423A_B1F2_E8567F4D95A5_.wvu.PrintArea" hidden="1">#REF!</definedName>
    <definedName name="Z_AAA1DD33_F1E3_423A_B1F2_E8567F4D95A5_.wvu.PrintTitles" localSheetId="6" hidden="1">#REF!</definedName>
    <definedName name="Z_AAA1DD33_F1E3_423A_B1F2_E8567F4D95A5_.wvu.PrintTitles" hidden="1">#REF!</definedName>
    <definedName name="Z_B4899972_EBDC_11DA_B6F6_00609720E0A1_.wvu.FilterData" localSheetId="6" hidden="1">#REF!</definedName>
    <definedName name="Z_B4899972_EBDC_11DA_B6F6_00609720E0A1_.wvu.FilterData" hidden="1">#REF!</definedName>
    <definedName name="Z_B4899972_EBDC_11DA_B6F6_00609720E0A1_.wvu.PrintArea" localSheetId="6" hidden="1">#REF!</definedName>
    <definedName name="Z_B4899972_EBDC_11DA_B6F6_00609720E0A1_.wvu.PrintArea" hidden="1">#REF!</definedName>
    <definedName name="Z_B4899972_EBDC_11DA_B6F6_00609720E0A1_.wvu.PrintTitles" localSheetId="6" hidden="1">#REF!</definedName>
    <definedName name="Z_B4899972_EBDC_11DA_B6F6_00609720E0A1_.wvu.PrintTitles" hidden="1">#REF!</definedName>
    <definedName name="Z_B4899973_EBDC_11DA_B6F6_00609720E0A1_.wvu.FilterData" localSheetId="6" hidden="1">#REF!</definedName>
    <definedName name="Z_B4899973_EBDC_11DA_B6F6_00609720E0A1_.wvu.FilterData" hidden="1">#REF!</definedName>
    <definedName name="Z_B4899973_EBDC_11DA_B6F6_00609720E0A1_.wvu.PrintArea" localSheetId="6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localSheetId="6" hidden="1">#REF!</definedName>
    <definedName name="Z_B4899974_EBDC_11DA_B6F6_00609720E0A1_.wvu.FilterData" hidden="1">#REF!</definedName>
    <definedName name="Z_B4899974_EBDC_11DA_B6F6_00609720E0A1_.wvu.PrintArea" localSheetId="6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localSheetId="6" hidden="1">#REF!</definedName>
    <definedName name="Z_B4899975_EBDC_11DA_B6F6_00609720E0A1_.wvu.FilterData" hidden="1">#REF!</definedName>
    <definedName name="Z_B4899975_EBDC_11DA_B6F6_00609720E0A1_.wvu.PrintArea" localSheetId="6" hidden="1">#REF!</definedName>
    <definedName name="Z_B4899975_EBDC_11DA_B6F6_00609720E0A1_.wvu.PrintArea" hidden="1">#REF!</definedName>
    <definedName name="Z_B4899975_EBDC_11DA_B6F6_00609720E0A1_.wvu.PrintTitles" localSheetId="6" hidden="1">#REF!</definedName>
    <definedName name="Z_B4899975_EBDC_11DA_B6F6_00609720E0A1_.wvu.PrintTitles" hidden="1">#REF!</definedName>
    <definedName name="Z_B4899976_EBDC_11DA_B6F6_00609720E0A1_.wvu.FilterData" localSheetId="6" hidden="1">#REF!</definedName>
    <definedName name="Z_B4899976_EBDC_11DA_B6F6_00609720E0A1_.wvu.FilterData" hidden="1">#REF!</definedName>
    <definedName name="Z_B4899976_EBDC_11DA_B6F6_00609720E0A1_.wvu.PrintArea" localSheetId="6" hidden="1">#REF!</definedName>
    <definedName name="Z_B4899976_EBDC_11DA_B6F6_00609720E0A1_.wvu.PrintArea" hidden="1">#REF!</definedName>
    <definedName name="Z_B4899976_EBDC_11DA_B6F6_00609720E0A1_.wvu.PrintTitles" localSheetId="6" hidden="1">#REF!</definedName>
    <definedName name="Z_B4899976_EBDC_11DA_B6F6_00609720E0A1_.wvu.PrintTitles" hidden="1">#REF!</definedName>
    <definedName name="Z_C24E6469_C4CC_430B_8814_72DD019DF2C8_.wvu.FilterData" localSheetId="6" hidden="1">#REF!</definedName>
    <definedName name="Z_C24E6469_C4CC_430B_8814_72DD019DF2C8_.wvu.FilterData" hidden="1">#REF!</definedName>
    <definedName name="Z_C24E6469_C4CC_430B_8814_72DD019DF2C8_.wvu.PrintArea" localSheetId="6" hidden="1">#REF!</definedName>
    <definedName name="Z_C24E6469_C4CC_430B_8814_72DD019DF2C8_.wvu.PrintArea" hidden="1">#REF!</definedName>
    <definedName name="Z_C24E6469_C4CC_430B_8814_72DD019DF2C8_.wvu.PrintTitles" localSheetId="6" hidden="1">#REF!</definedName>
    <definedName name="Z_C24E6469_C4CC_430B_8814_72DD019DF2C8_.wvu.PrintTitles" hidden="1">#REF!</definedName>
    <definedName name="Z_CA61CA57_E7CE_4A4D_974A_F3124BCA2797_.wvu.FilterData" localSheetId="6" hidden="1">#REF!</definedName>
    <definedName name="Z_CA61CA57_E7CE_4A4D_974A_F3124BCA2797_.wvu.FilterData" hidden="1">#REF!</definedName>
    <definedName name="Z_CA61CA57_E7CE_4A4D_974A_F3124BCA2797_.wvu.PrintArea" localSheetId="6" hidden="1">#REF!</definedName>
    <definedName name="Z_CA61CA57_E7CE_4A4D_974A_F3124BCA2797_.wvu.PrintArea" hidden="1">#REF!</definedName>
    <definedName name="Z_CA61CA57_E7CE_4A4D_974A_F3124BCA2797_.wvu.PrintTitles" localSheetId="6" hidden="1">#REF!</definedName>
    <definedName name="Z_CA61CA57_E7CE_4A4D_974A_F3124BCA2797_.wvu.PrintTitles" hidden="1">#REF!</definedName>
    <definedName name="Z_D55C8B2E_861A_459E_9D09_3AF38A1DE99E_.wvu.Rows" localSheetId="6" hidden="1">#REF!</definedName>
    <definedName name="Z_D55C8B2E_861A_459E_9D09_3AF38A1DE99E_.wvu.Rows" hidden="1">#REF!</definedName>
    <definedName name="Z_DA4D5A8F_12FA_42F5_A8BB_526600E97433_.wvu.FilterData" localSheetId="6" hidden="1">#REF!</definedName>
    <definedName name="Z_DA4D5A8F_12FA_42F5_A8BB_526600E97433_.wvu.FilterData" hidden="1">#REF!</definedName>
    <definedName name="Z_DA4D5A8F_12FA_42F5_A8BB_526600E97433_.wvu.PrintArea" localSheetId="6" hidden="1">#REF!</definedName>
    <definedName name="Z_DA4D5A8F_12FA_42F5_A8BB_526600E97433_.wvu.PrintArea" hidden="1">#REF!</definedName>
    <definedName name="Z_DA4D5A8F_12FA_42F5_A8BB_526600E97433_.wvu.PrintTitles" localSheetId="6" hidden="1">#REF!</definedName>
    <definedName name="Z_DA4D5A8F_12FA_42F5_A8BB_526600E97433_.wvu.PrintTitles" hidden="1">#REF!</definedName>
    <definedName name="Z_DFB4C5EB_A8D3_475E_B627_EA98F95F9220_.wvu.FilterData" localSheetId="6" hidden="1">#REF!</definedName>
    <definedName name="Z_DFB4C5EB_A8D3_475E_B627_EA98F95F9220_.wvu.FilterData" hidden="1">#REF!</definedName>
    <definedName name="Z_DFB4C5EB_A8D3_475E_B627_EA98F95F9220_.wvu.PrintArea" localSheetId="6" hidden="1">#REF!</definedName>
    <definedName name="Z_DFB4C5EB_A8D3_475E_B627_EA98F95F9220_.wvu.PrintArea" hidden="1">#REF!</definedName>
    <definedName name="Z_DFB4C5EB_A8D3_475E_B627_EA98F95F9220_.wvu.PrintTitles" localSheetId="6" hidden="1">#REF!</definedName>
    <definedName name="Z_DFB4C5EB_A8D3_475E_B627_EA98F95F9220_.wvu.PrintTitles" hidden="1">#REF!</definedName>
    <definedName name="Z_F2B990A1_57B3_4766_8C3D_4D3A5265BAEF_.wvu.FilterData" localSheetId="6" hidden="1">#REF!</definedName>
    <definedName name="Z_F2B990A1_57B3_4766_8C3D_4D3A5265BAEF_.wvu.FilterData" hidden="1">#REF!</definedName>
    <definedName name="Z_F2B990A1_57B3_4766_8C3D_4D3A5265BAEF_.wvu.PrintArea" localSheetId="6" hidden="1">#REF!</definedName>
    <definedName name="Z_F2B990A1_57B3_4766_8C3D_4D3A5265BAEF_.wvu.PrintArea" hidden="1">#REF!</definedName>
    <definedName name="Z_F2B990A1_57B3_4766_8C3D_4D3A5265BAEF_.wvu.PrintTitles" localSheetId="6" hidden="1">#REF!</definedName>
    <definedName name="Z_F2B990A1_57B3_4766_8C3D_4D3A5265BAEF_.wvu.PrintTitles" hidden="1">#REF!</definedName>
    <definedName name="Z_F540D718_D9AA_403F_AE49_60D937FD77E5_.wvu.Rows" localSheetId="6" hidden="1">#REF!</definedName>
    <definedName name="Z_F540D718_D9AA_403F_AE49_60D937FD77E5_.wvu.Rows" hidden="1">#REF!</definedName>
    <definedName name="Z_F9482E1F_92B8_43D8_949A_7DDCF2E63A19_.wvu.FilterData" localSheetId="6" hidden="1">#REF!</definedName>
    <definedName name="Z_F9482E1F_92B8_43D8_949A_7DDCF2E63A19_.wvu.FilterData" hidden="1">#REF!</definedName>
    <definedName name="Z_F9482E1F_92B8_43D8_949A_7DDCF2E63A19_.wvu.PrintArea" localSheetId="6" hidden="1">#REF!</definedName>
    <definedName name="Z_F9482E1F_92B8_43D8_949A_7DDCF2E63A19_.wvu.PrintArea" hidden="1">#REF!</definedName>
    <definedName name="Z_F9482E1F_92B8_43D8_949A_7DDCF2E63A19_.wvu.PrintTitles" localSheetId="6" hidden="1">#REF!</definedName>
    <definedName name="Z_F9482E1F_92B8_43D8_949A_7DDCF2E63A19_.wvu.PrintTitles" hidden="1">#REF!</definedName>
    <definedName name="zdervr" localSheetId="3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19" l="1"/>
  <c r="G1114" i="27"/>
  <c r="G1113" i="27"/>
  <c r="G1112" i="27"/>
  <c r="A1112" i="27"/>
  <c r="G1145" i="27"/>
  <c r="G1144" i="27"/>
  <c r="E1143" i="27"/>
  <c r="G1143" i="27" s="1"/>
  <c r="G1146" i="27" s="1"/>
  <c r="E1117" i="27" s="1"/>
  <c r="G1117" i="27" s="1"/>
  <c r="G1119" i="27" s="1"/>
  <c r="G1140" i="27"/>
  <c r="G1139" i="27"/>
  <c r="G1138" i="27"/>
  <c r="G1137" i="27"/>
  <c r="G1133" i="27"/>
  <c r="G1132" i="27"/>
  <c r="E1131" i="27"/>
  <c r="G1131" i="27" s="1"/>
  <c r="G1130" i="27"/>
  <c r="E1130" i="27"/>
  <c r="E1129" i="27"/>
  <c r="G1129" i="27" s="1"/>
  <c r="E1128" i="27"/>
  <c r="G1128" i="27" s="1"/>
  <c r="E1127" i="27"/>
  <c r="G1127" i="27" s="1"/>
  <c r="E1126" i="27"/>
  <c r="G1126" i="27" s="1"/>
  <c r="E1125" i="27"/>
  <c r="G1125" i="27" s="1"/>
  <c r="E1124" i="27"/>
  <c r="G1124" i="27" s="1"/>
  <c r="E1123" i="27"/>
  <c r="G1123" i="27" s="1"/>
  <c r="G1122" i="27"/>
  <c r="G1118" i="27"/>
  <c r="G1111" i="27"/>
  <c r="G1088" i="27"/>
  <c r="E1093" i="27"/>
  <c r="G1093" i="27" s="1"/>
  <c r="E1092" i="27"/>
  <c r="G1092" i="27" s="1"/>
  <c r="E1091" i="27"/>
  <c r="G1091" i="27" s="1"/>
  <c r="E1090" i="27"/>
  <c r="G1090" i="27" s="1"/>
  <c r="E1089" i="27"/>
  <c r="G1089" i="27" s="1"/>
  <c r="E1088" i="27"/>
  <c r="E1087" i="27"/>
  <c r="G1087" i="27" s="1"/>
  <c r="E1025" i="27"/>
  <c r="G1025" i="27" s="1"/>
  <c r="E1059" i="27"/>
  <c r="G1059" i="27" s="1"/>
  <c r="E1058" i="27"/>
  <c r="G1058" i="27" s="1"/>
  <c r="E1057" i="27"/>
  <c r="G1057" i="27" s="1"/>
  <c r="E1070" i="27"/>
  <c r="G1070" i="27" s="1"/>
  <c r="E1030" i="27"/>
  <c r="G1030" i="27" s="1"/>
  <c r="E1029" i="27"/>
  <c r="G1029" i="27" s="1"/>
  <c r="E1028" i="27"/>
  <c r="G1028" i="27" s="1"/>
  <c r="E1040" i="27"/>
  <c r="G1040" i="27" s="1"/>
  <c r="E1027" i="27"/>
  <c r="G1027" i="27" s="1"/>
  <c r="E1026" i="27"/>
  <c r="G1026" i="27" s="1"/>
  <c r="E917" i="27"/>
  <c r="G917" i="27" s="1"/>
  <c r="E1008" i="27"/>
  <c r="G1008" i="27" s="1"/>
  <c r="E991" i="27"/>
  <c r="G991" i="27" s="1"/>
  <c r="E990" i="27"/>
  <c r="G990" i="27" s="1"/>
  <c r="E989" i="27"/>
  <c r="G989" i="27" s="1"/>
  <c r="E988" i="27"/>
  <c r="G988" i="27" s="1"/>
  <c r="E996" i="27"/>
  <c r="G996" i="27" s="1"/>
  <c r="E995" i="27"/>
  <c r="G995" i="27" s="1"/>
  <c r="E994" i="27"/>
  <c r="G994" i="27" s="1"/>
  <c r="E993" i="27"/>
  <c r="G993" i="27" s="1"/>
  <c r="E992" i="27"/>
  <c r="G992" i="27" s="1"/>
  <c r="E987" i="27"/>
  <c r="G987" i="27" s="1"/>
  <c r="E957" i="27"/>
  <c r="G957" i="27" s="1"/>
  <c r="E953" i="27"/>
  <c r="G953" i="27" s="1"/>
  <c r="E912" i="27"/>
  <c r="E952" i="27"/>
  <c r="G952" i="27" s="1"/>
  <c r="E951" i="27"/>
  <c r="G951" i="27" s="1"/>
  <c r="E950" i="27"/>
  <c r="G950" i="27" s="1"/>
  <c r="E970" i="27"/>
  <c r="G970" i="27" s="1"/>
  <c r="E958" i="27"/>
  <c r="G958" i="27" s="1"/>
  <c r="E956" i="27"/>
  <c r="G956" i="27" s="1"/>
  <c r="E955" i="27"/>
  <c r="G955" i="27" s="1"/>
  <c r="E954" i="27"/>
  <c r="G954" i="27" s="1"/>
  <c r="E949" i="27"/>
  <c r="G949" i="27" s="1"/>
  <c r="E918" i="27"/>
  <c r="G918" i="27" s="1"/>
  <c r="E916" i="27"/>
  <c r="G916" i="27" s="1"/>
  <c r="E915" i="27"/>
  <c r="G915" i="27" s="1"/>
  <c r="E909" i="27"/>
  <c r="G909" i="27" s="1"/>
  <c r="E914" i="27"/>
  <c r="G914" i="27" s="1"/>
  <c r="E913" i="27"/>
  <c r="G913" i="27" s="1"/>
  <c r="G912" i="27"/>
  <c r="E911" i="27"/>
  <c r="G911" i="27" s="1"/>
  <c r="E910" i="27"/>
  <c r="G910" i="27" s="1"/>
  <c r="G919" i="27"/>
  <c r="G920" i="27"/>
  <c r="G1079" i="27"/>
  <c r="G1078" i="27"/>
  <c r="G1077" i="27"/>
  <c r="A1077" i="27"/>
  <c r="G1107" i="27"/>
  <c r="G1106" i="27"/>
  <c r="E1105" i="27"/>
  <c r="G1105" i="27" s="1"/>
  <c r="G1101" i="27"/>
  <c r="G1100" i="27"/>
  <c r="G1099" i="27"/>
  <c r="G1095" i="27"/>
  <c r="G1094" i="27"/>
  <c r="G1083" i="27"/>
  <c r="G1076" i="27"/>
  <c r="G1049" i="27"/>
  <c r="G1048" i="27"/>
  <c r="G1047" i="27"/>
  <c r="A1047" i="27"/>
  <c r="G1072" i="27"/>
  <c r="G1071" i="27"/>
  <c r="G1066" i="27"/>
  <c r="G1065" i="27"/>
  <c r="G1064" i="27"/>
  <c r="G1060" i="27"/>
  <c r="G1053" i="27"/>
  <c r="G1046" i="27"/>
  <c r="G1017" i="27"/>
  <c r="G1016" i="27"/>
  <c r="G1015" i="27"/>
  <c r="A1015" i="27"/>
  <c r="G1042" i="27"/>
  <c r="G1041" i="27"/>
  <c r="G1036" i="27"/>
  <c r="G1035" i="27"/>
  <c r="G1034" i="27"/>
  <c r="G1021" i="27"/>
  <c r="G1014" i="27"/>
  <c r="G979" i="27"/>
  <c r="G978" i="27"/>
  <c r="G977" i="27"/>
  <c r="A977" i="27"/>
  <c r="G1010" i="27"/>
  <c r="G1009" i="27"/>
  <c r="G1004" i="27"/>
  <c r="G1003" i="27"/>
  <c r="G1002" i="27"/>
  <c r="G998" i="27"/>
  <c r="G997" i="27"/>
  <c r="G983" i="27"/>
  <c r="G976" i="27"/>
  <c r="G941" i="27"/>
  <c r="G940" i="27"/>
  <c r="G939" i="27"/>
  <c r="A939" i="27"/>
  <c r="G972" i="27"/>
  <c r="G971" i="27"/>
  <c r="G966" i="27"/>
  <c r="G965" i="27"/>
  <c r="G964" i="27"/>
  <c r="G960" i="27"/>
  <c r="G959" i="27"/>
  <c r="G945" i="27"/>
  <c r="G938" i="27"/>
  <c r="G901" i="27"/>
  <c r="G900" i="27"/>
  <c r="G899" i="27"/>
  <c r="A899" i="27"/>
  <c r="G934" i="27"/>
  <c r="G933" i="27"/>
  <c r="E932" i="27"/>
  <c r="G932" i="27" s="1"/>
  <c r="G928" i="27"/>
  <c r="G927" i="27"/>
  <c r="G926" i="27"/>
  <c r="G922" i="27"/>
  <c r="G921" i="27"/>
  <c r="G905" i="27"/>
  <c r="G898" i="27"/>
  <c r="G1134" i="27" l="1"/>
  <c r="G1147" i="27" s="1"/>
  <c r="G1043" i="27"/>
  <c r="E1020" i="27" s="1"/>
  <c r="G1020" i="27" s="1"/>
  <c r="G1022" i="27" s="1"/>
  <c r="G973" i="27"/>
  <c r="E944" i="27" s="1"/>
  <c r="G944" i="27" s="1"/>
  <c r="G946" i="27" s="1"/>
  <c r="G1073" i="27"/>
  <c r="E1052" i="27" s="1"/>
  <c r="G1052" i="27" s="1"/>
  <c r="G1054" i="27" s="1"/>
  <c r="G1061" i="27"/>
  <c r="G923" i="27"/>
  <c r="G1096" i="27"/>
  <c r="G1031" i="27"/>
  <c r="G1102" i="27"/>
  <c r="G935" i="27"/>
  <c r="E904" i="27" s="1"/>
  <c r="G904" i="27" s="1"/>
  <c r="G906" i="27" s="1"/>
  <c r="G1011" i="27"/>
  <c r="E982" i="27" s="1"/>
  <c r="G982" i="27" s="1"/>
  <c r="G984" i="27" s="1"/>
  <c r="G1108" i="27"/>
  <c r="E1082" i="27" s="1"/>
  <c r="G1082" i="27" s="1"/>
  <c r="G1084" i="27" s="1"/>
  <c r="G999" i="27"/>
  <c r="G1067" i="27"/>
  <c r="G961" i="27"/>
  <c r="G1037" i="27"/>
  <c r="G967" i="27"/>
  <c r="G1005" i="27"/>
  <c r="G929" i="27"/>
  <c r="G1012" i="27" l="1"/>
  <c r="G974" i="27"/>
  <c r="G1074" i="27"/>
  <c r="G1044" i="27"/>
  <c r="G1109" i="27"/>
  <c r="G936" i="27"/>
  <c r="F47" i="26" l="1"/>
  <c r="F105" i="26"/>
  <c r="F106" i="26"/>
  <c r="F107" i="26"/>
  <c r="F108" i="26"/>
  <c r="H5" i="19" l="1"/>
  <c r="H24" i="19"/>
  <c r="H25" i="19"/>
  <c r="H26" i="19"/>
  <c r="H27" i="19"/>
  <c r="H20" i="19"/>
  <c r="H21" i="19"/>
  <c r="H22" i="19"/>
  <c r="H23" i="19"/>
  <c r="H19" i="19"/>
  <c r="H18" i="19"/>
  <c r="H15" i="19"/>
  <c r="H16" i="19"/>
  <c r="H14" i="19"/>
  <c r="H6" i="19"/>
  <c r="H7" i="19"/>
  <c r="H8" i="19"/>
  <c r="F568" i="27" l="1"/>
  <c r="E498" i="27"/>
  <c r="G32" i="29" l="1"/>
  <c r="G31" i="29"/>
  <c r="D12" i="36" l="1"/>
  <c r="C22" i="19"/>
  <c r="C21" i="19"/>
  <c r="D5" i="29"/>
  <c r="C19" i="19"/>
  <c r="F48" i="21"/>
  <c r="D47" i="21"/>
  <c r="D46" i="21"/>
  <c r="E45" i="21"/>
  <c r="D45" i="21" s="1"/>
  <c r="D44" i="21"/>
  <c r="F41" i="21"/>
  <c r="E41" i="21"/>
  <c r="D40" i="21"/>
  <c r="D39" i="21"/>
  <c r="D38" i="21"/>
  <c r="F35" i="21"/>
  <c r="E35" i="21"/>
  <c r="D34" i="21"/>
  <c r="D33" i="21"/>
  <c r="D32" i="21"/>
  <c r="F50" i="21" l="1"/>
  <c r="D48" i="21"/>
  <c r="E48" i="21"/>
  <c r="E50" i="21" s="1"/>
  <c r="C7" i="21" s="1"/>
  <c r="D35" i="21"/>
  <c r="D41" i="21"/>
  <c r="F13" i="21" l="1"/>
  <c r="G13" i="21" s="1"/>
  <c r="F24" i="21"/>
  <c r="G24" i="21" s="1"/>
  <c r="F16" i="21"/>
  <c r="G16" i="21" s="1"/>
  <c r="F25" i="21"/>
  <c r="G25" i="21" s="1"/>
  <c r="D5" i="19"/>
  <c r="D9" i="36"/>
  <c r="D6" i="19"/>
  <c r="D5" i="36"/>
  <c r="D7" i="19"/>
  <c r="D8" i="19"/>
  <c r="D9" i="19"/>
  <c r="F26" i="21"/>
  <c r="G26" i="21" s="1"/>
  <c r="D39" i="36"/>
  <c r="D35" i="36"/>
  <c r="D34" i="36"/>
  <c r="D33" i="36"/>
  <c r="D31" i="36"/>
  <c r="F20" i="21"/>
  <c r="G20" i="21" s="1"/>
  <c r="D30" i="36"/>
  <c r="F21" i="21"/>
  <c r="G21" i="21" s="1"/>
  <c r="D24" i="36"/>
  <c r="F22" i="21"/>
  <c r="G22" i="21" s="1"/>
  <c r="D17" i="36"/>
  <c r="F17" i="21"/>
  <c r="G17" i="21" s="1"/>
  <c r="F11" i="21"/>
  <c r="G11" i="21" s="1"/>
  <c r="F15" i="21"/>
  <c r="G15" i="21" s="1"/>
  <c r="F19" i="21"/>
  <c r="G19" i="21" s="1"/>
  <c r="F23" i="21"/>
  <c r="G23" i="21" s="1"/>
  <c r="F27" i="21"/>
  <c r="G27" i="21" s="1"/>
  <c r="F12" i="21"/>
  <c r="G12" i="21" s="1"/>
  <c r="D50" i="21"/>
  <c r="F10" i="21"/>
  <c r="G10" i="21" s="1"/>
  <c r="F14" i="21"/>
  <c r="G14" i="21" s="1"/>
  <c r="F18" i="21"/>
  <c r="G18" i="21" s="1"/>
  <c r="C5" i="19"/>
  <c r="C18" i="19"/>
  <c r="C23" i="19" l="1"/>
  <c r="C7" i="19"/>
  <c r="C6" i="19"/>
  <c r="C8" i="19"/>
  <c r="C9" i="19"/>
  <c r="C20" i="19"/>
  <c r="D32" i="36"/>
  <c r="D27" i="36"/>
  <c r="D16" i="36"/>
  <c r="D7" i="36"/>
  <c r="D42" i="36"/>
  <c r="D15" i="36"/>
  <c r="D25" i="36"/>
  <c r="D23" i="36"/>
  <c r="D4" i="36"/>
  <c r="D19" i="36"/>
  <c r="G19" i="36"/>
  <c r="E4" i="36"/>
  <c r="F45" i="35" l="1"/>
  <c r="E45" i="35"/>
  <c r="D45" i="35"/>
  <c r="J45" i="35" l="1"/>
  <c r="I45" i="35"/>
  <c r="H45" i="35"/>
  <c r="G45" i="35"/>
  <c r="D7" i="29" l="1"/>
  <c r="F19" i="29" s="1"/>
  <c r="E18" i="29"/>
  <c r="G34" i="29"/>
  <c r="G35" i="29" s="1"/>
  <c r="G33" i="29"/>
  <c r="E34" i="29" s="1"/>
  <c r="E33" i="29"/>
  <c r="E32" i="29"/>
  <c r="D18" i="29"/>
  <c r="F15" i="29"/>
  <c r="F20" i="29" l="1"/>
  <c r="F18" i="29"/>
  <c r="H18" i="29" s="1"/>
  <c r="F16" i="29"/>
  <c r="F14" i="29"/>
  <c r="F17" i="29"/>
  <c r="J20" i="35" l="1"/>
  <c r="I20" i="35"/>
  <c r="H20" i="35"/>
  <c r="G20" i="35"/>
  <c r="F20" i="35"/>
  <c r="E20" i="35"/>
  <c r="D20" i="35"/>
  <c r="J14" i="35"/>
  <c r="I14" i="35"/>
  <c r="H14" i="35"/>
  <c r="G14" i="35"/>
  <c r="F14" i="35"/>
  <c r="E14" i="35"/>
  <c r="D14" i="35"/>
  <c r="D8" i="33" l="1"/>
  <c r="E8" i="33" s="1"/>
  <c r="F8" i="33" s="1"/>
  <c r="I6" i="33"/>
  <c r="G8" i="33" l="1"/>
  <c r="I8" i="33" s="1"/>
  <c r="H104" i="20"/>
  <c r="F1937" i="27" l="1"/>
  <c r="G1937" i="27" s="1"/>
  <c r="E1931" i="27"/>
  <c r="E710" i="27"/>
  <c r="G710" i="27" s="1"/>
  <c r="E709" i="27"/>
  <c r="G709" i="27" s="1"/>
  <c r="E708" i="27"/>
  <c r="G708" i="27" s="1"/>
  <c r="G711" i="27"/>
  <c r="F23" i="19" l="1"/>
  <c r="F27" i="19"/>
  <c r="F26" i="19"/>
  <c r="F25" i="19"/>
  <c r="F24" i="19"/>
  <c r="F22" i="19"/>
  <c r="F21" i="19"/>
  <c r="F20" i="19"/>
  <c r="F19" i="19"/>
  <c r="F18" i="19"/>
  <c r="F15" i="19"/>
  <c r="F14" i="19"/>
  <c r="F12" i="19"/>
  <c r="F9" i="19"/>
  <c r="H9" i="19" s="1"/>
  <c r="F8" i="19"/>
  <c r="F7" i="19"/>
  <c r="F6" i="19"/>
  <c r="G1709" i="27"/>
  <c r="G1708" i="27"/>
  <c r="G1707" i="27"/>
  <c r="G1680" i="27"/>
  <c r="G1679" i="27"/>
  <c r="G1678" i="27"/>
  <c r="G1651" i="27"/>
  <c r="G1650" i="27"/>
  <c r="G1649" i="27"/>
  <c r="G1622" i="27"/>
  <c r="G1621" i="27"/>
  <c r="G1620" i="27"/>
  <c r="G1593" i="27"/>
  <c r="G1592" i="27"/>
  <c r="G1591" i="27"/>
  <c r="G1564" i="27"/>
  <c r="G1563" i="27"/>
  <c r="G1562" i="27"/>
  <c r="G1539" i="27"/>
  <c r="G1538" i="27"/>
  <c r="G1537" i="27"/>
  <c r="G1514" i="27"/>
  <c r="G1513" i="27"/>
  <c r="G1512" i="27"/>
  <c r="G1480" i="27"/>
  <c r="G1479" i="27"/>
  <c r="G1478" i="27"/>
  <c r="G1452" i="27"/>
  <c r="G1451" i="27"/>
  <c r="G1450" i="27"/>
  <c r="G1422" i="27"/>
  <c r="G1423" i="27"/>
  <c r="G1424" i="27"/>
  <c r="G1396" i="27"/>
  <c r="G1395" i="27"/>
  <c r="G1394" i="27"/>
  <c r="G1366" i="27"/>
  <c r="G1339" i="27"/>
  <c r="G1338" i="27"/>
  <c r="F301" i="27"/>
  <c r="E12" i="36"/>
  <c r="F189" i="27"/>
  <c r="E42" i="36"/>
  <c r="E39" i="36"/>
  <c r="E35" i="36"/>
  <c r="E34" i="36"/>
  <c r="E33" i="36"/>
  <c r="E32" i="36"/>
  <c r="E31" i="36"/>
  <c r="E30" i="36"/>
  <c r="E27" i="36"/>
  <c r="E25" i="36"/>
  <c r="E24" i="36"/>
  <c r="E23" i="36"/>
  <c r="E19" i="36"/>
  <c r="E17" i="36"/>
  <c r="E16" i="36"/>
  <c r="E15" i="36"/>
  <c r="E47" i="36" s="1"/>
  <c r="A10" i="36"/>
  <c r="A11" i="36" s="1"/>
  <c r="A12" i="36" s="1"/>
  <c r="A13" i="36" s="1"/>
  <c r="A14" i="36" s="1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A45" i="36" s="1"/>
  <c r="A46" i="36" s="1"/>
  <c r="A47" i="36" s="1"/>
  <c r="E9" i="36"/>
  <c r="E7" i="36"/>
  <c r="E6" i="36"/>
  <c r="E5" i="36"/>
  <c r="E46" i="36" s="1"/>
  <c r="E96" i="27"/>
  <c r="J49" i="35"/>
  <c r="I49" i="35"/>
  <c r="H49" i="35"/>
  <c r="G49" i="35"/>
  <c r="F49" i="35"/>
  <c r="E49" i="35"/>
  <c r="D49" i="35"/>
  <c r="J44" i="35"/>
  <c r="I44" i="35"/>
  <c r="H44" i="35"/>
  <c r="G44" i="35"/>
  <c r="F44" i="35"/>
  <c r="E44" i="35"/>
  <c r="D44" i="35"/>
  <c r="J42" i="35"/>
  <c r="I42" i="35"/>
  <c r="H42" i="35"/>
  <c r="G42" i="35"/>
  <c r="F42" i="35"/>
  <c r="E42" i="35"/>
  <c r="D42" i="35"/>
  <c r="J40" i="35"/>
  <c r="I40" i="35"/>
  <c r="H40" i="35"/>
  <c r="G40" i="35"/>
  <c r="F40" i="35"/>
  <c r="E40" i="35"/>
  <c r="D40" i="35"/>
  <c r="J38" i="35"/>
  <c r="I38" i="35"/>
  <c r="H38" i="35"/>
  <c r="G38" i="35"/>
  <c r="F38" i="35"/>
  <c r="E38" i="35"/>
  <c r="D38" i="35"/>
  <c r="H36" i="35"/>
  <c r="J36" i="35"/>
  <c r="I36" i="35"/>
  <c r="G36" i="35"/>
  <c r="F36" i="35"/>
  <c r="E36" i="35"/>
  <c r="D36" i="35"/>
  <c r="H34" i="35"/>
  <c r="E34" i="35"/>
  <c r="J34" i="35"/>
  <c r="I34" i="35"/>
  <c r="G34" i="35"/>
  <c r="F34" i="35"/>
  <c r="D34" i="35"/>
  <c r="E32" i="35"/>
  <c r="D32" i="35"/>
  <c r="J32" i="35"/>
  <c r="I32" i="35"/>
  <c r="H32" i="35"/>
  <c r="G32" i="35"/>
  <c r="F32" i="35"/>
  <c r="E30" i="35"/>
  <c r="J30" i="35"/>
  <c r="I30" i="35"/>
  <c r="H30" i="35"/>
  <c r="G30" i="35"/>
  <c r="F30" i="35"/>
  <c r="D30" i="35"/>
  <c r="J28" i="35"/>
  <c r="I28" i="35"/>
  <c r="H28" i="35"/>
  <c r="G28" i="35"/>
  <c r="F28" i="35"/>
  <c r="E28" i="35"/>
  <c r="D28" i="35"/>
  <c r="J26" i="35"/>
  <c r="I26" i="35"/>
  <c r="H26" i="35"/>
  <c r="G26" i="35"/>
  <c r="F26" i="35"/>
  <c r="E26" i="35"/>
  <c r="D26" i="35"/>
  <c r="I24" i="35"/>
  <c r="G24" i="35"/>
  <c r="E24" i="35"/>
  <c r="D24" i="35"/>
  <c r="J22" i="35"/>
  <c r="I22" i="35"/>
  <c r="H22" i="35"/>
  <c r="G22" i="35"/>
  <c r="F22" i="35"/>
  <c r="E22" i="35"/>
  <c r="D22" i="35"/>
  <c r="J18" i="35"/>
  <c r="I18" i="35"/>
  <c r="H18" i="35"/>
  <c r="G18" i="35"/>
  <c r="F18" i="35"/>
  <c r="E18" i="35"/>
  <c r="D18" i="35"/>
  <c r="J16" i="35"/>
  <c r="I16" i="35"/>
  <c r="H16" i="35"/>
  <c r="G16" i="35"/>
  <c r="F16" i="35"/>
  <c r="E16" i="35"/>
  <c r="D16" i="35"/>
  <c r="J12" i="35"/>
  <c r="I12" i="35"/>
  <c r="H12" i="35"/>
  <c r="G12" i="35"/>
  <c r="F12" i="35"/>
  <c r="E12" i="35"/>
  <c r="D12" i="35"/>
  <c r="J10" i="35"/>
  <c r="I10" i="35"/>
  <c r="H10" i="35"/>
  <c r="G10" i="35"/>
  <c r="F10" i="35"/>
  <c r="E10" i="35"/>
  <c r="D10" i="35"/>
  <c r="J8" i="35"/>
  <c r="I8" i="35"/>
  <c r="H8" i="35"/>
  <c r="G8" i="35"/>
  <c r="F8" i="35"/>
  <c r="E8" i="35"/>
  <c r="D8" i="35"/>
  <c r="J6" i="35"/>
  <c r="I6" i="35"/>
  <c r="H6" i="35"/>
  <c r="G6" i="35"/>
  <c r="F6" i="35"/>
  <c r="E6" i="35"/>
  <c r="D6" i="35"/>
  <c r="E26" i="36" l="1"/>
  <c r="E37" i="36" s="1"/>
  <c r="E44" i="36"/>
  <c r="F136" i="27"/>
  <c r="F1170" i="27"/>
  <c r="F162" i="27"/>
  <c r="F110" i="27"/>
  <c r="E601" i="27"/>
  <c r="E1506" i="27"/>
  <c r="E18" i="36"/>
  <c r="E41" i="36" s="1"/>
  <c r="E14" i="36"/>
  <c r="E22" i="36"/>
  <c r="D46" i="35"/>
  <c r="G46" i="35"/>
  <c r="I46" i="35"/>
  <c r="E46" i="35"/>
  <c r="F662" i="27"/>
  <c r="F546" i="27"/>
  <c r="F721" i="27"/>
  <c r="F631" i="27"/>
  <c r="F1473" i="27"/>
  <c r="F1893" i="27"/>
  <c r="F688" i="27"/>
  <c r="E11" i="36"/>
  <c r="E38" i="36"/>
  <c r="E8" i="36"/>
  <c r="E20" i="36"/>
  <c r="E13" i="36"/>
  <c r="E21" i="36"/>
  <c r="E43" i="36"/>
  <c r="E10" i="36"/>
  <c r="E28" i="36" s="1"/>
  <c r="E29" i="36"/>
  <c r="F222" i="27" s="1"/>
  <c r="F24" i="35"/>
  <c r="F46" i="35" s="1"/>
  <c r="H24" i="35"/>
  <c r="H46" i="35" s="1"/>
  <c r="J24" i="35"/>
  <c r="J46" i="35" s="1"/>
  <c r="F59" i="27" l="1"/>
  <c r="F84" i="27"/>
  <c r="F1276" i="27"/>
  <c r="F1249" i="27"/>
  <c r="F1222" i="27"/>
  <c r="E1584" i="27"/>
  <c r="E1671" i="27"/>
  <c r="F1303" i="27"/>
  <c r="E892" i="27"/>
  <c r="E1642" i="27"/>
  <c r="E1613" i="27"/>
  <c r="E863" i="27"/>
  <c r="E834" i="27"/>
  <c r="E805" i="27"/>
  <c r="E1729" i="27"/>
  <c r="E775" i="27"/>
  <c r="E1700" i="27"/>
  <c r="F278" i="27"/>
  <c r="E40" i="36"/>
  <c r="E600" i="27"/>
  <c r="E480" i="27"/>
  <c r="F439" i="27"/>
  <c r="E1505" i="27"/>
  <c r="F1788" i="27"/>
  <c r="F305" i="27"/>
  <c r="F2002" i="27"/>
  <c r="F1812" i="27"/>
  <c r="F1444" i="27"/>
  <c r="F333" i="27"/>
  <c r="F1974" i="27"/>
  <c r="F1416" i="27"/>
  <c r="F1947" i="27"/>
  <c r="F1557" i="27"/>
  <c r="F747" i="27"/>
  <c r="E1758" i="27"/>
  <c r="F1532" i="27"/>
  <c r="F1919" i="27"/>
  <c r="F1388" i="27"/>
  <c r="E250" i="27"/>
  <c r="F30" i="27"/>
  <c r="F1360" i="27"/>
  <c r="F1332" i="27"/>
  <c r="F412" i="27"/>
  <c r="F387" i="27"/>
  <c r="F362" i="27"/>
  <c r="E46" i="27" l="1"/>
  <c r="E45" i="27"/>
  <c r="E44" i="27"/>
  <c r="E43" i="27"/>
  <c r="G74" i="27"/>
  <c r="E31" i="27"/>
  <c r="A667" i="27" l="1"/>
  <c r="A637" i="27"/>
  <c r="A608" i="27"/>
  <c r="A573" i="27"/>
  <c r="A551" i="27"/>
  <c r="A516" i="27"/>
  <c r="A487" i="27"/>
  <c r="B498" i="27" s="1"/>
  <c r="A446" i="27"/>
  <c r="A418" i="27"/>
  <c r="A393" i="27"/>
  <c r="A368" i="27"/>
  <c r="A339" i="27"/>
  <c r="A284" i="27"/>
  <c r="A258" i="27"/>
  <c r="A228" i="27"/>
  <c r="A197" i="27"/>
  <c r="A169" i="27"/>
  <c r="A142" i="27"/>
  <c r="A116" i="27"/>
  <c r="A90" i="27"/>
  <c r="A64" i="27"/>
  <c r="A37" i="27"/>
  <c r="A4" i="27"/>
  <c r="A311" i="27"/>
  <c r="H17" i="20"/>
  <c r="H27" i="20"/>
  <c r="A1980" i="27"/>
  <c r="G2002" i="27"/>
  <c r="G2003" i="27" s="1"/>
  <c r="E1985" i="27" s="1"/>
  <c r="G1985" i="27" s="1"/>
  <c r="G1998" i="27"/>
  <c r="G1997" i="27"/>
  <c r="G1993" i="27"/>
  <c r="G1992" i="27"/>
  <c r="G1991" i="27"/>
  <c r="G1987" i="27"/>
  <c r="G1986" i="27"/>
  <c r="G1979" i="27"/>
  <c r="F1959" i="27"/>
  <c r="G1959" i="27" s="1"/>
  <c r="A1953" i="27"/>
  <c r="G1974" i="27"/>
  <c r="G1976" i="27" s="1"/>
  <c r="F1958" i="27" s="1"/>
  <c r="G1958" i="27" s="1"/>
  <c r="G1970" i="27"/>
  <c r="G1969" i="27"/>
  <c r="G1965" i="27"/>
  <c r="G1964" i="27"/>
  <c r="G1960" i="27"/>
  <c r="G1952" i="27"/>
  <c r="A1925" i="27"/>
  <c r="G1947" i="27"/>
  <c r="G1949" i="27" s="1"/>
  <c r="F1930" i="27" s="1"/>
  <c r="G1930" i="27" s="1"/>
  <c r="G1943" i="27"/>
  <c r="G1942" i="27"/>
  <c r="G1938" i="27"/>
  <c r="G1936" i="27"/>
  <c r="G1932" i="27"/>
  <c r="G1931" i="27"/>
  <c r="G1924" i="27"/>
  <c r="A1898" i="27"/>
  <c r="G1919" i="27"/>
  <c r="G1921" i="27" s="1"/>
  <c r="F1903" i="27" s="1"/>
  <c r="G1903" i="27" s="1"/>
  <c r="G1915" i="27"/>
  <c r="G1914" i="27"/>
  <c r="G1910" i="27"/>
  <c r="G1909" i="27"/>
  <c r="G1905" i="27"/>
  <c r="G1904" i="27"/>
  <c r="G1897" i="27"/>
  <c r="A1868" i="27"/>
  <c r="G1893" i="27"/>
  <c r="G1894" i="27" s="1"/>
  <c r="E1873" i="27" s="1"/>
  <c r="G1873" i="27" s="1"/>
  <c r="G1889" i="27"/>
  <c r="G1890" i="27" s="1"/>
  <c r="G1885" i="27"/>
  <c r="G1884" i="27"/>
  <c r="G1883" i="27"/>
  <c r="G1882" i="27"/>
  <c r="G1881" i="27"/>
  <c r="G1880" i="27"/>
  <c r="G1879" i="27"/>
  <c r="G1875" i="27"/>
  <c r="G1874" i="27"/>
  <c r="G1867" i="27"/>
  <c r="A1846" i="27"/>
  <c r="B1863" i="27" s="1"/>
  <c r="G1863" i="27"/>
  <c r="G1864" i="27" s="1"/>
  <c r="G1859" i="27"/>
  <c r="G1860" i="27" s="1"/>
  <c r="G1855" i="27"/>
  <c r="G1856" i="27" s="1"/>
  <c r="G1851" i="27"/>
  <c r="G1852" i="27" s="1"/>
  <c r="G1845" i="27"/>
  <c r="A1818" i="27"/>
  <c r="B1829" i="27" s="1"/>
  <c r="G1841" i="27"/>
  <c r="G1840" i="27"/>
  <c r="G1836" i="27"/>
  <c r="G1835" i="27"/>
  <c r="G1834" i="27"/>
  <c r="G1830" i="27"/>
  <c r="G1829" i="27"/>
  <c r="G1825" i="27"/>
  <c r="G1824" i="27"/>
  <c r="G1823" i="27"/>
  <c r="G1817" i="27"/>
  <c r="A1793" i="27"/>
  <c r="G1812" i="27"/>
  <c r="G1813" i="27" s="1"/>
  <c r="E1798" i="27" s="1"/>
  <c r="G1798" i="27" s="1"/>
  <c r="G1808" i="27"/>
  <c r="G1809" i="27" s="1"/>
  <c r="G1804" i="27"/>
  <c r="G1805" i="27" s="1"/>
  <c r="G1800" i="27"/>
  <c r="G1799" i="27"/>
  <c r="G1792" i="27"/>
  <c r="A1765" i="27"/>
  <c r="G1788" i="27"/>
  <c r="G1789" i="27" s="1"/>
  <c r="E1770" i="27" s="1"/>
  <c r="G1770" i="27" s="1"/>
  <c r="G1784" i="27"/>
  <c r="G1785" i="27" s="1"/>
  <c r="E1780" i="27"/>
  <c r="G1780" i="27" s="1"/>
  <c r="G1779" i="27"/>
  <c r="G1778" i="27"/>
  <c r="G1777" i="27"/>
  <c r="G1776" i="27"/>
  <c r="G1772" i="27"/>
  <c r="G1771" i="27"/>
  <c r="G1764" i="27"/>
  <c r="A1736" i="27"/>
  <c r="G1760" i="27"/>
  <c r="G1759" i="27"/>
  <c r="G1758" i="27"/>
  <c r="G1754" i="27"/>
  <c r="G1753" i="27"/>
  <c r="G1752" i="27"/>
  <c r="G1748" i="27"/>
  <c r="G1747" i="27"/>
  <c r="G1746" i="27"/>
  <c r="G1742" i="27"/>
  <c r="G1735" i="27"/>
  <c r="A1707" i="27"/>
  <c r="G1731" i="27"/>
  <c r="G1730" i="27"/>
  <c r="G1729" i="27"/>
  <c r="G1725" i="27"/>
  <c r="G1724" i="27"/>
  <c r="G1723" i="27"/>
  <c r="G1719" i="27"/>
  <c r="G1718" i="27"/>
  <c r="G1717" i="27"/>
  <c r="G1713" i="27"/>
  <c r="G1706" i="27"/>
  <c r="A1678" i="27"/>
  <c r="G1702" i="27"/>
  <c r="G1701" i="27"/>
  <c r="G1700" i="27"/>
  <c r="G1696" i="27"/>
  <c r="G1695" i="27"/>
  <c r="G1694" i="27"/>
  <c r="G1690" i="27"/>
  <c r="G1689" i="27"/>
  <c r="G1688" i="27"/>
  <c r="G1684" i="27"/>
  <c r="G1677" i="27"/>
  <c r="A1649" i="27"/>
  <c r="G1673" i="27"/>
  <c r="G1672" i="27"/>
  <c r="G1671" i="27"/>
  <c r="G1667" i="27"/>
  <c r="G1666" i="27"/>
  <c r="G1665" i="27"/>
  <c r="G1661" i="27"/>
  <c r="G1660" i="27"/>
  <c r="G1659" i="27"/>
  <c r="G1655" i="27"/>
  <c r="G1648" i="27"/>
  <c r="A1620" i="27"/>
  <c r="A1591" i="27"/>
  <c r="G1644" i="27"/>
  <c r="G1643" i="27"/>
  <c r="G1642" i="27"/>
  <c r="G1638" i="27"/>
  <c r="G1637" i="27"/>
  <c r="G1636" i="27"/>
  <c r="G1632" i="27"/>
  <c r="G1631" i="27"/>
  <c r="G1630" i="27"/>
  <c r="G1626" i="27"/>
  <c r="G1619" i="27"/>
  <c r="G1615" i="27"/>
  <c r="G1614" i="27"/>
  <c r="G1613" i="27"/>
  <c r="G1609" i="27"/>
  <c r="G1608" i="27"/>
  <c r="G1603" i="27"/>
  <c r="G1602" i="27"/>
  <c r="G1607" i="27"/>
  <c r="G1601" i="27"/>
  <c r="G1597" i="27"/>
  <c r="G1590" i="27"/>
  <c r="A1562" i="27"/>
  <c r="G1586" i="27"/>
  <c r="G1585" i="27"/>
  <c r="G1584" i="27"/>
  <c r="G1580" i="27"/>
  <c r="G1579" i="27"/>
  <c r="G1574" i="27"/>
  <c r="F1573" i="27"/>
  <c r="F1578" i="27" s="1"/>
  <c r="G1578" i="27" s="1"/>
  <c r="G1572" i="27"/>
  <c r="G1568" i="27"/>
  <c r="G1561" i="27"/>
  <c r="G1548" i="27"/>
  <c r="A1537" i="27"/>
  <c r="G1557" i="27"/>
  <c r="G1558" i="27" s="1"/>
  <c r="E1542" i="27" s="1"/>
  <c r="G1542" i="27" s="1"/>
  <c r="G1553" i="27"/>
  <c r="G1554" i="27" s="1"/>
  <c r="G1549" i="27"/>
  <c r="E1547" i="27"/>
  <c r="G1547" i="27" s="1"/>
  <c r="G1543" i="27"/>
  <c r="G1536" i="27"/>
  <c r="A1512" i="27"/>
  <c r="G1532" i="27"/>
  <c r="G1533" i="27" s="1"/>
  <c r="E1517" i="27" s="1"/>
  <c r="G1517" i="27" s="1"/>
  <c r="G1528" i="27"/>
  <c r="G1529" i="27" s="1"/>
  <c r="G1524" i="27"/>
  <c r="G1523" i="27"/>
  <c r="F1522" i="27"/>
  <c r="E1522" i="27"/>
  <c r="G1518" i="27"/>
  <c r="G1511" i="27"/>
  <c r="A1478" i="27"/>
  <c r="G1507" i="27"/>
  <c r="G1506" i="27"/>
  <c r="G1505" i="27"/>
  <c r="G1501" i="27"/>
  <c r="G1500" i="27"/>
  <c r="G1499" i="27"/>
  <c r="G1495" i="27"/>
  <c r="G1494" i="27"/>
  <c r="G1493" i="27"/>
  <c r="G1492" i="27"/>
  <c r="G1491" i="27"/>
  <c r="G1490" i="27"/>
  <c r="G1489" i="27"/>
  <c r="G1485" i="27"/>
  <c r="G1484" i="27"/>
  <c r="G1477" i="27"/>
  <c r="A1450" i="27"/>
  <c r="G1473" i="27"/>
  <c r="G1474" i="27" s="1"/>
  <c r="E1455" i="27" s="1"/>
  <c r="G1455" i="27" s="1"/>
  <c r="G1469" i="27"/>
  <c r="G1470" i="27" s="1"/>
  <c r="G1465" i="27"/>
  <c r="G1464" i="27"/>
  <c r="G1463" i="27"/>
  <c r="G1462" i="27"/>
  <c r="G1461" i="27"/>
  <c r="G1457" i="27"/>
  <c r="F1456" i="27"/>
  <c r="G1456" i="27" s="1"/>
  <c r="G1449" i="27"/>
  <c r="A694" i="27"/>
  <c r="A1422" i="27"/>
  <c r="A1394" i="27"/>
  <c r="G1444" i="27"/>
  <c r="G1445" i="27" s="1"/>
  <c r="E1427" i="27" s="1"/>
  <c r="G1427" i="27" s="1"/>
  <c r="G1440" i="27"/>
  <c r="G1441" i="27" s="1"/>
  <c r="E1436" i="27"/>
  <c r="G1436" i="27" s="1"/>
  <c r="G1435" i="27"/>
  <c r="G1434" i="27"/>
  <c r="G1433" i="27"/>
  <c r="G1429" i="27"/>
  <c r="G1428" i="27"/>
  <c r="G1421" i="27"/>
  <c r="G1416" i="27"/>
  <c r="G1417" i="27" s="1"/>
  <c r="E1399" i="27" s="1"/>
  <c r="G1399" i="27" s="1"/>
  <c r="G1412" i="27"/>
  <c r="G1413" i="27" s="1"/>
  <c r="E1408" i="27"/>
  <c r="G1408" i="27" s="1"/>
  <c r="G1407" i="27"/>
  <c r="G1406" i="27"/>
  <c r="G1405" i="27"/>
  <c r="G1401" i="27"/>
  <c r="G1400" i="27"/>
  <c r="G1393" i="27"/>
  <c r="A1366" i="27"/>
  <c r="G1388" i="27"/>
  <c r="G1389" i="27" s="1"/>
  <c r="E1371" i="27" s="1"/>
  <c r="G1371" i="27" s="1"/>
  <c r="G1384" i="27"/>
  <c r="G1385" i="27" s="1"/>
  <c r="G1380" i="27"/>
  <c r="G1379" i="27"/>
  <c r="G1378" i="27"/>
  <c r="G1377" i="27"/>
  <c r="G1373" i="27"/>
  <c r="G1372" i="27"/>
  <c r="G1365" i="27"/>
  <c r="A1338" i="27"/>
  <c r="G1360" i="27"/>
  <c r="G1361" i="27" s="1"/>
  <c r="E1343" i="27" s="1"/>
  <c r="G1343" i="27" s="1"/>
  <c r="G1356" i="27"/>
  <c r="G1357" i="27" s="1"/>
  <c r="G1352" i="27"/>
  <c r="G1351" i="27"/>
  <c r="G1350" i="27"/>
  <c r="G1349" i="27"/>
  <c r="G1345" i="27"/>
  <c r="G1344" i="27"/>
  <c r="G1337" i="27"/>
  <c r="A1309" i="27"/>
  <c r="G1332" i="27"/>
  <c r="G1333" i="27" s="1"/>
  <c r="E1314" i="27" s="1"/>
  <c r="G1314" i="27" s="1"/>
  <c r="G1328" i="27"/>
  <c r="G1329" i="27" s="1"/>
  <c r="E1324" i="27"/>
  <c r="G1324" i="27" s="1"/>
  <c r="G1323" i="27"/>
  <c r="G1322" i="27"/>
  <c r="G1321" i="27"/>
  <c r="G1320" i="27"/>
  <c r="G1316" i="27"/>
  <c r="G1315" i="27"/>
  <c r="G1308" i="27"/>
  <c r="A1283" i="27"/>
  <c r="G1303" i="27"/>
  <c r="G1304" i="27" s="1"/>
  <c r="E1288" i="27" s="1"/>
  <c r="G1288" i="27" s="1"/>
  <c r="F1299" i="27"/>
  <c r="G1299" i="27" s="1"/>
  <c r="G1300" i="27" s="1"/>
  <c r="E1295" i="27"/>
  <c r="F1294" i="27"/>
  <c r="F1295" i="27" s="1"/>
  <c r="G1290" i="27"/>
  <c r="G1289" i="27"/>
  <c r="G1282" i="27"/>
  <c r="A1256" i="27"/>
  <c r="G1277" i="27"/>
  <c r="G1276" i="27"/>
  <c r="F1271" i="27"/>
  <c r="F1272" i="27" s="1"/>
  <c r="G1272" i="27" s="1"/>
  <c r="G1267" i="27"/>
  <c r="G1266" i="27"/>
  <c r="G1262" i="27"/>
  <c r="G1255" i="27"/>
  <c r="A1227" i="27"/>
  <c r="G1251" i="27"/>
  <c r="G1250" i="27"/>
  <c r="G1249" i="27"/>
  <c r="G1245" i="27"/>
  <c r="G1244" i="27"/>
  <c r="G1240" i="27"/>
  <c r="G1241" i="27" s="1"/>
  <c r="G1236" i="27"/>
  <c r="G1235" i="27"/>
  <c r="G1234" i="27"/>
  <c r="G1233" i="27"/>
  <c r="G1226" i="27"/>
  <c r="A1200" i="27"/>
  <c r="G1222" i="27"/>
  <c r="G1223" i="27" s="1"/>
  <c r="E1205" i="27" s="1"/>
  <c r="G1205" i="27" s="1"/>
  <c r="G1218" i="27"/>
  <c r="G1217" i="27"/>
  <c r="G1213" i="27"/>
  <c r="G1214" i="27" s="1"/>
  <c r="G1209" i="27"/>
  <c r="G1208" i="27"/>
  <c r="E1207" i="27"/>
  <c r="G1207" i="27" s="1"/>
  <c r="G1206" i="27"/>
  <c r="G1199" i="27"/>
  <c r="A1177" i="27"/>
  <c r="G1196" i="27"/>
  <c r="G1191" i="27"/>
  <c r="G1190" i="27"/>
  <c r="G1186" i="27"/>
  <c r="G1187" i="27" s="1"/>
  <c r="G1182" i="27"/>
  <c r="G1183" i="27" s="1"/>
  <c r="G1176" i="27"/>
  <c r="A1150" i="27"/>
  <c r="G1171" i="27"/>
  <c r="G1170" i="27"/>
  <c r="F1166" i="27"/>
  <c r="G1166" i="27" s="1"/>
  <c r="G1165" i="27"/>
  <c r="G1161" i="27"/>
  <c r="G1160" i="27"/>
  <c r="G1156" i="27"/>
  <c r="G1149" i="27"/>
  <c r="G1944" i="27" l="1"/>
  <c r="G1999" i="27"/>
  <c r="G1966" i="27"/>
  <c r="G1916" i="27"/>
  <c r="G1994" i="27"/>
  <c r="G1988" i="27"/>
  <c r="G1971" i="27"/>
  <c r="G1961" i="27"/>
  <c r="G1911" i="27"/>
  <c r="G1939" i="27"/>
  <c r="G1933" i="27"/>
  <c r="G1906" i="27"/>
  <c r="G1886" i="27"/>
  <c r="G1876" i="27"/>
  <c r="G1826" i="27"/>
  <c r="G1842" i="27"/>
  <c r="G1865" i="27"/>
  <c r="G1837" i="27"/>
  <c r="G1831" i="27"/>
  <c r="G1801" i="27"/>
  <c r="G1814" i="27" s="1"/>
  <c r="G1773" i="27"/>
  <c r="G1761" i="27"/>
  <c r="E1741" i="27" s="1"/>
  <c r="G1741" i="27" s="1"/>
  <c r="G1743" i="27" s="1"/>
  <c r="G1781" i="27"/>
  <c r="G1755" i="27"/>
  <c r="G1749" i="27"/>
  <c r="G1726" i="27"/>
  <c r="G1616" i="27"/>
  <c r="E1596" i="27" s="1"/>
  <c r="G1596" i="27" s="1"/>
  <c r="G1598" i="27" s="1"/>
  <c r="G1639" i="27"/>
  <c r="G1674" i="27"/>
  <c r="E1654" i="27" s="1"/>
  <c r="G1654" i="27" s="1"/>
  <c r="G1656" i="27" s="1"/>
  <c r="G1703" i="27"/>
  <c r="E1683" i="27" s="1"/>
  <c r="G1683" i="27" s="1"/>
  <c r="G1685" i="27" s="1"/>
  <c r="G1720" i="27"/>
  <c r="G1732" i="27"/>
  <c r="E1712" i="27" s="1"/>
  <c r="G1712" i="27" s="1"/>
  <c r="G1714" i="27" s="1"/>
  <c r="G1668" i="27"/>
  <c r="G1697" i="27"/>
  <c r="G1691" i="27"/>
  <c r="G1610" i="27"/>
  <c r="G1662" i="27"/>
  <c r="G1645" i="27"/>
  <c r="E1625" i="27" s="1"/>
  <c r="G1625" i="27" s="1"/>
  <c r="G1627" i="27" s="1"/>
  <c r="G1633" i="27"/>
  <c r="G1573" i="27"/>
  <c r="G1575" i="27" s="1"/>
  <c r="G1604" i="27"/>
  <c r="G1581" i="27"/>
  <c r="G1587" i="27"/>
  <c r="E1567" i="27" s="1"/>
  <c r="G1567" i="27" s="1"/>
  <c r="G1569" i="27" s="1"/>
  <c r="G1519" i="27"/>
  <c r="G1550" i="27"/>
  <c r="G1544" i="27"/>
  <c r="G1502" i="27"/>
  <c r="G1522" i="27"/>
  <c r="G1525" i="27" s="1"/>
  <c r="G1508" i="27"/>
  <c r="E1483" i="27" s="1"/>
  <c r="G1483" i="27" s="1"/>
  <c r="G1486" i="27" s="1"/>
  <c r="G1496" i="27"/>
  <c r="G1458" i="27"/>
  <c r="G1466" i="27"/>
  <c r="G1402" i="27"/>
  <c r="G1409" i="27"/>
  <c r="G1430" i="27"/>
  <c r="G1437" i="27"/>
  <c r="G1381" i="27"/>
  <c r="G1295" i="27"/>
  <c r="G1374" i="27"/>
  <c r="G1325" i="27"/>
  <c r="G1353" i="27"/>
  <c r="G1167" i="27"/>
  <c r="G1219" i="27"/>
  <c r="G1346" i="27"/>
  <c r="G1246" i="27"/>
  <c r="G1268" i="27"/>
  <c r="G1317" i="27"/>
  <c r="G1291" i="27"/>
  <c r="G1278" i="27"/>
  <c r="F1261" i="27" s="1"/>
  <c r="G1261" i="27" s="1"/>
  <c r="G1263" i="27" s="1"/>
  <c r="G1271" i="27"/>
  <c r="G1273" i="27" s="1"/>
  <c r="G1294" i="27"/>
  <c r="G1192" i="27"/>
  <c r="G1197" i="27" s="1"/>
  <c r="G1252" i="27"/>
  <c r="F1232" i="27" s="1"/>
  <c r="G1232" i="27" s="1"/>
  <c r="G1237" i="27" s="1"/>
  <c r="G1210" i="27"/>
  <c r="G1162" i="27"/>
  <c r="G1172" i="27"/>
  <c r="F1155" i="27" s="1"/>
  <c r="G1155" i="27" s="1"/>
  <c r="G1157" i="27" s="1"/>
  <c r="G2004" i="27" l="1"/>
  <c r="G1950" i="27"/>
  <c r="G1977" i="27"/>
  <c r="G1534" i="27"/>
  <c r="G1922" i="27"/>
  <c r="G1895" i="27"/>
  <c r="G1843" i="27"/>
  <c r="G1790" i="27"/>
  <c r="G1762" i="27"/>
  <c r="G1675" i="27"/>
  <c r="G1704" i="27"/>
  <c r="G1617" i="27"/>
  <c r="G1646" i="27"/>
  <c r="G1733" i="27"/>
  <c r="G1588" i="27"/>
  <c r="G1559" i="27"/>
  <c r="G1509" i="27"/>
  <c r="G1296" i="27"/>
  <c r="G1305" i="27" s="1"/>
  <c r="G1446" i="27"/>
  <c r="G1475" i="27"/>
  <c r="G1418" i="27"/>
  <c r="G1390" i="27"/>
  <c r="G1279" i="27"/>
  <c r="G1334" i="27"/>
  <c r="G1224" i="27"/>
  <c r="G1253" i="27"/>
  <c r="G1362" i="27"/>
  <c r="G1173" i="27"/>
  <c r="F94" i="26" l="1"/>
  <c r="A870" i="27"/>
  <c r="G894" i="27"/>
  <c r="G893" i="27"/>
  <c r="G892" i="27"/>
  <c r="G888" i="27"/>
  <c r="G887" i="27"/>
  <c r="G886" i="27"/>
  <c r="G882" i="27"/>
  <c r="G881" i="27"/>
  <c r="G880" i="27"/>
  <c r="G876" i="27"/>
  <c r="G869" i="27"/>
  <c r="A841" i="27"/>
  <c r="G865" i="27"/>
  <c r="G864" i="27"/>
  <c r="G863" i="27"/>
  <c r="G859" i="27"/>
  <c r="G858" i="27"/>
  <c r="G857" i="27"/>
  <c r="G853" i="27"/>
  <c r="G852" i="27"/>
  <c r="G851" i="27"/>
  <c r="G847" i="27"/>
  <c r="G840" i="27"/>
  <c r="G822" i="27"/>
  <c r="A812" i="27"/>
  <c r="G836" i="27"/>
  <c r="G835" i="27"/>
  <c r="G834" i="27"/>
  <c r="G830" i="27"/>
  <c r="G829" i="27"/>
  <c r="G828" i="27"/>
  <c r="G824" i="27"/>
  <c r="G823" i="27"/>
  <c r="G818" i="27"/>
  <c r="G811" i="27"/>
  <c r="A783" i="27"/>
  <c r="G807" i="27"/>
  <c r="G806" i="27"/>
  <c r="G805" i="27"/>
  <c r="G801" i="27"/>
  <c r="G800" i="27"/>
  <c r="G795" i="27"/>
  <c r="G794" i="27"/>
  <c r="G799" i="27"/>
  <c r="G793" i="27"/>
  <c r="G789" i="27"/>
  <c r="G782" i="27"/>
  <c r="G802" i="27" l="1"/>
  <c r="G831" i="27"/>
  <c r="G866" i="27"/>
  <c r="E846" i="27" s="1"/>
  <c r="G846" i="27" s="1"/>
  <c r="G848" i="27" s="1"/>
  <c r="G895" i="27"/>
  <c r="E875" i="27" s="1"/>
  <c r="G875" i="27" s="1"/>
  <c r="G877" i="27" s="1"/>
  <c r="G808" i="27"/>
  <c r="E788" i="27" s="1"/>
  <c r="G788" i="27" s="1"/>
  <c r="G790" i="27" s="1"/>
  <c r="G860" i="27"/>
  <c r="G889" i="27"/>
  <c r="G883" i="27"/>
  <c r="G854" i="27"/>
  <c r="G837" i="27"/>
  <c r="E817" i="27" s="1"/>
  <c r="G817" i="27" s="1"/>
  <c r="G819" i="27" s="1"/>
  <c r="G825" i="27"/>
  <c r="G796" i="27"/>
  <c r="G809" i="27" l="1"/>
  <c r="G867" i="27"/>
  <c r="G896" i="27"/>
  <c r="G838" i="27"/>
  <c r="A753" i="27"/>
  <c r="G777" i="27"/>
  <c r="G776" i="27"/>
  <c r="G775" i="27"/>
  <c r="G771" i="27"/>
  <c r="G770" i="27"/>
  <c r="G765" i="27"/>
  <c r="F764" i="27"/>
  <c r="F769" i="27" s="1"/>
  <c r="G769" i="27" s="1"/>
  <c r="G763" i="27"/>
  <c r="G759" i="27"/>
  <c r="G752" i="27"/>
  <c r="A726" i="27"/>
  <c r="G747" i="27"/>
  <c r="G748" i="27" s="1"/>
  <c r="E731" i="27" s="1"/>
  <c r="G731" i="27" s="1"/>
  <c r="G743" i="27"/>
  <c r="G744" i="27" s="1"/>
  <c r="G739" i="27"/>
  <c r="G738" i="27"/>
  <c r="F737" i="27"/>
  <c r="G737" i="27" s="1"/>
  <c r="G736" i="27"/>
  <c r="G732" i="27"/>
  <c r="G725" i="27"/>
  <c r="G721" i="27"/>
  <c r="G722" i="27" s="1"/>
  <c r="E699" i="27" s="1"/>
  <c r="G699" i="27" s="1"/>
  <c r="G717" i="27"/>
  <c r="G718" i="27" s="1"/>
  <c r="G713" i="27"/>
  <c r="G712" i="27"/>
  <c r="G707" i="27"/>
  <c r="G706" i="27"/>
  <c r="G705" i="27"/>
  <c r="G701" i="27"/>
  <c r="F700" i="27"/>
  <c r="G700" i="27" s="1"/>
  <c r="G693" i="27"/>
  <c r="G602" i="27"/>
  <c r="G601" i="27"/>
  <c r="G600" i="27"/>
  <c r="G596" i="27"/>
  <c r="G595" i="27"/>
  <c r="G594" i="27"/>
  <c r="G590" i="27"/>
  <c r="G589" i="27"/>
  <c r="G588" i="27"/>
  <c r="G587" i="27"/>
  <c r="G586" i="27"/>
  <c r="G585" i="27"/>
  <c r="G584" i="27"/>
  <c r="G580" i="27"/>
  <c r="G579" i="27"/>
  <c r="G572" i="27"/>
  <c r="G568" i="27"/>
  <c r="G569" i="27" s="1"/>
  <c r="G564" i="27"/>
  <c r="G565" i="27" s="1"/>
  <c r="G560" i="27"/>
  <c r="G561" i="27" s="1"/>
  <c r="G556" i="27"/>
  <c r="G557" i="27" s="1"/>
  <c r="B568" i="27"/>
  <c r="G550" i="27"/>
  <c r="G6" i="27"/>
  <c r="G688" i="27"/>
  <c r="G689" i="27" s="1"/>
  <c r="E672" i="27" s="1"/>
  <c r="G672" i="27" s="1"/>
  <c r="G684" i="27"/>
  <c r="G685" i="27" s="1"/>
  <c r="G680" i="27"/>
  <c r="G679" i="27"/>
  <c r="F678" i="27"/>
  <c r="G674" i="27"/>
  <c r="F673" i="27"/>
  <c r="G673" i="27" s="1"/>
  <c r="G666" i="27"/>
  <c r="G546" i="27"/>
  <c r="G547" i="27" s="1"/>
  <c r="E521" i="27" s="1"/>
  <c r="G521" i="27" s="1"/>
  <c r="G542" i="27"/>
  <c r="G543" i="27" s="1"/>
  <c r="G538" i="27"/>
  <c r="G537" i="27"/>
  <c r="G536" i="27"/>
  <c r="G535" i="27"/>
  <c r="G534" i="27"/>
  <c r="G533" i="27"/>
  <c r="G532" i="27"/>
  <c r="G531" i="27"/>
  <c r="G530" i="27"/>
  <c r="G529" i="27"/>
  <c r="G528" i="27"/>
  <c r="G527" i="27"/>
  <c r="G523" i="27"/>
  <c r="G522" i="27"/>
  <c r="G515" i="27"/>
  <c r="G662" i="27"/>
  <c r="G663" i="27" s="1"/>
  <c r="E642" i="27" s="1"/>
  <c r="G642" i="27" s="1"/>
  <c r="G658" i="27"/>
  <c r="G659" i="27" s="1"/>
  <c r="G654" i="27"/>
  <c r="G653" i="27"/>
  <c r="G652" i="27"/>
  <c r="G651" i="27"/>
  <c r="G650" i="27"/>
  <c r="G649" i="27"/>
  <c r="G648" i="27"/>
  <c r="G644" i="27"/>
  <c r="G643" i="27"/>
  <c r="G636" i="27"/>
  <c r="G439" i="27"/>
  <c r="G435" i="27"/>
  <c r="G434" i="27"/>
  <c r="G430" i="27"/>
  <c r="G431" i="27" s="1"/>
  <c r="G425" i="27"/>
  <c r="G424" i="27"/>
  <c r="G417" i="27"/>
  <c r="G412" i="27"/>
  <c r="G413" i="27" s="1"/>
  <c r="E398" i="27" s="1"/>
  <c r="G398" i="27" s="1"/>
  <c r="G408" i="27"/>
  <c r="G409" i="27" s="1"/>
  <c r="G404" i="27"/>
  <c r="G405" i="27" s="1"/>
  <c r="G400" i="27"/>
  <c r="F399" i="27"/>
  <c r="G399" i="27" s="1"/>
  <c r="G392" i="27"/>
  <c r="G85" i="27"/>
  <c r="G84" i="27"/>
  <c r="F79" i="27"/>
  <c r="G79" i="27" s="1"/>
  <c r="G75" i="27"/>
  <c r="G70" i="27"/>
  <c r="G63" i="27"/>
  <c r="G111" i="27"/>
  <c r="G110" i="27"/>
  <c r="F106" i="27"/>
  <c r="G106" i="27" s="1"/>
  <c r="G105" i="27"/>
  <c r="G101" i="27"/>
  <c r="G100" i="27"/>
  <c r="G96" i="27"/>
  <c r="G89" i="27"/>
  <c r="G631" i="27"/>
  <c r="G632" i="27" s="1"/>
  <c r="E613" i="27" s="1"/>
  <c r="G613" i="27" s="1"/>
  <c r="G627" i="27"/>
  <c r="G628" i="27" s="1"/>
  <c r="G623" i="27"/>
  <c r="G622" i="27"/>
  <c r="G621" i="27"/>
  <c r="G620" i="27"/>
  <c r="G619" i="27"/>
  <c r="G615" i="27"/>
  <c r="G614" i="27"/>
  <c r="G607" i="27"/>
  <c r="G510" i="27"/>
  <c r="G509" i="27"/>
  <c r="G505" i="27"/>
  <c r="G504" i="27"/>
  <c r="G503" i="27"/>
  <c r="G499" i="27"/>
  <c r="G498" i="27"/>
  <c r="G494" i="27"/>
  <c r="G493" i="27"/>
  <c r="G492" i="27"/>
  <c r="G486" i="27"/>
  <c r="G481" i="27"/>
  <c r="G480" i="27"/>
  <c r="G476" i="27"/>
  <c r="G475" i="27"/>
  <c r="G474" i="27"/>
  <c r="G470" i="27"/>
  <c r="G469" i="27"/>
  <c r="G468" i="27"/>
  <c r="G467" i="27"/>
  <c r="G466" i="27"/>
  <c r="G465" i="27"/>
  <c r="G464" i="27"/>
  <c r="G463" i="27"/>
  <c r="G462" i="27"/>
  <c r="G461" i="27"/>
  <c r="G460" i="27"/>
  <c r="G459" i="27"/>
  <c r="G458" i="27"/>
  <c r="G457" i="27"/>
  <c r="G453" i="27"/>
  <c r="G452" i="27"/>
  <c r="G445" i="27"/>
  <c r="G387" i="27"/>
  <c r="G388" i="27" s="1"/>
  <c r="E373" i="27" s="1"/>
  <c r="G373" i="27" s="1"/>
  <c r="G383" i="27"/>
  <c r="G384" i="27" s="1"/>
  <c r="G379" i="27"/>
  <c r="G380" i="27" s="1"/>
  <c r="G375" i="27"/>
  <c r="G374" i="27"/>
  <c r="G367" i="27"/>
  <c r="G362" i="27"/>
  <c r="G363" i="27" s="1"/>
  <c r="E344" i="27" s="1"/>
  <c r="G344" i="27" s="1"/>
  <c r="G358" i="27"/>
  <c r="G359" i="27" s="1"/>
  <c r="E354" i="27"/>
  <c r="G354" i="27" s="1"/>
  <c r="G353" i="27"/>
  <c r="G352" i="27"/>
  <c r="G351" i="27"/>
  <c r="G350" i="27"/>
  <c r="G346" i="27"/>
  <c r="G345" i="27"/>
  <c r="G338" i="27"/>
  <c r="G333" i="27"/>
  <c r="G334" i="27" s="1"/>
  <c r="E316" i="27" s="1"/>
  <c r="G316" i="27" s="1"/>
  <c r="G329" i="27"/>
  <c r="G330" i="27" s="1"/>
  <c r="G325" i="27"/>
  <c r="G324" i="27"/>
  <c r="G323" i="27"/>
  <c r="G322" i="27"/>
  <c r="G318" i="27"/>
  <c r="G317" i="27"/>
  <c r="G310" i="27"/>
  <c r="G305" i="27"/>
  <c r="G306" i="27" s="1"/>
  <c r="E289" i="27" s="1"/>
  <c r="G289" i="27" s="1"/>
  <c r="G301" i="27"/>
  <c r="G302" i="27" s="1"/>
  <c r="F297" i="27"/>
  <c r="G296" i="27"/>
  <c r="G295" i="27"/>
  <c r="G291" i="27"/>
  <c r="G290" i="27"/>
  <c r="G283" i="27"/>
  <c r="G278" i="27"/>
  <c r="G279" i="27" s="1"/>
  <c r="E263" i="27" s="1"/>
  <c r="G263" i="27" s="1"/>
  <c r="F274" i="27"/>
  <c r="G274" i="27" s="1"/>
  <c r="G275" i="27" s="1"/>
  <c r="E270" i="27"/>
  <c r="F269" i="27"/>
  <c r="G265" i="27"/>
  <c r="G264" i="27"/>
  <c r="G257" i="27"/>
  <c r="G252" i="27"/>
  <c r="G251" i="27"/>
  <c r="G250" i="27"/>
  <c r="G246" i="27"/>
  <c r="G245" i="27"/>
  <c r="G244" i="27"/>
  <c r="G240" i="27"/>
  <c r="G239" i="27"/>
  <c r="G238" i="27"/>
  <c r="G234" i="27"/>
  <c r="G227" i="27"/>
  <c r="G222" i="27"/>
  <c r="G223" i="27" s="1"/>
  <c r="E202" i="27" s="1"/>
  <c r="G202" i="27" s="1"/>
  <c r="G218" i="27"/>
  <c r="G217" i="27"/>
  <c r="G216" i="27"/>
  <c r="G212" i="27"/>
  <c r="G211" i="27"/>
  <c r="G210" i="27"/>
  <c r="G209" i="27"/>
  <c r="F208" i="27"/>
  <c r="G208" i="27" s="1"/>
  <c r="G203" i="27"/>
  <c r="G196" i="27"/>
  <c r="G191" i="27"/>
  <c r="G190" i="27"/>
  <c r="G189" i="27"/>
  <c r="G185" i="27"/>
  <c r="G184" i="27"/>
  <c r="G180" i="27"/>
  <c r="G181" i="27" s="1"/>
  <c r="G176" i="27"/>
  <c r="G175" i="27"/>
  <c r="G168" i="27"/>
  <c r="G163" i="27"/>
  <c r="G162" i="27"/>
  <c r="F158" i="27"/>
  <c r="G158" i="27" s="1"/>
  <c r="G157" i="27"/>
  <c r="G153" i="27"/>
  <c r="G152" i="27"/>
  <c r="G148" i="27"/>
  <c r="G141" i="27"/>
  <c r="G137" i="27"/>
  <c r="G136" i="27"/>
  <c r="F132" i="27"/>
  <c r="G132" i="27" s="1"/>
  <c r="G131" i="27"/>
  <c r="G127" i="27"/>
  <c r="G126" i="27"/>
  <c r="G122" i="27"/>
  <c r="G115" i="27"/>
  <c r="G59" i="27"/>
  <c r="G60" i="27" s="1"/>
  <c r="E42" i="27" s="1"/>
  <c r="G42" i="27" s="1"/>
  <c r="G55" i="27"/>
  <c r="G54" i="27"/>
  <c r="G50" i="27"/>
  <c r="G51" i="27" s="1"/>
  <c r="G46" i="27"/>
  <c r="G45" i="27"/>
  <c r="G44" i="27"/>
  <c r="G43" i="27"/>
  <c r="G36" i="27"/>
  <c r="G32" i="27"/>
  <c r="G31" i="27"/>
  <c r="G30" i="27"/>
  <c r="G26" i="27"/>
  <c r="G25" i="27"/>
  <c r="G21" i="27"/>
  <c r="G20" i="27"/>
  <c r="G19" i="27"/>
  <c r="G18" i="27"/>
  <c r="G17" i="27"/>
  <c r="G16" i="27"/>
  <c r="G12" i="27"/>
  <c r="G11" i="27"/>
  <c r="G10" i="27"/>
  <c r="G3" i="27"/>
  <c r="F42" i="26" l="1"/>
  <c r="G772" i="27"/>
  <c r="G778" i="27"/>
  <c r="E758" i="27" s="1"/>
  <c r="G758" i="27" s="1"/>
  <c r="G760" i="27" s="1"/>
  <c r="G764" i="27"/>
  <c r="G766" i="27" s="1"/>
  <c r="G733" i="27"/>
  <c r="G740" i="27"/>
  <c r="G597" i="27"/>
  <c r="G702" i="27"/>
  <c r="G714" i="27"/>
  <c r="G603" i="27"/>
  <c r="E578" i="27" s="1"/>
  <c r="G578" i="27" s="1"/>
  <c r="G581" i="27" s="1"/>
  <c r="G591" i="27"/>
  <c r="G570" i="27"/>
  <c r="G56" i="27"/>
  <c r="F80" i="27"/>
  <c r="G80" i="27" s="1"/>
  <c r="G81" i="27" s="1"/>
  <c r="G477" i="27"/>
  <c r="G205" i="27"/>
  <c r="G247" i="27"/>
  <c r="G297" i="27"/>
  <c r="G298" i="27" s="1"/>
  <c r="G192" i="27"/>
  <c r="F174" i="27" s="1"/>
  <c r="G174" i="27" s="1"/>
  <c r="G177" i="27" s="1"/>
  <c r="G138" i="27"/>
  <c r="F121" i="27" s="1"/>
  <c r="G121" i="27" s="1"/>
  <c r="G123" i="27" s="1"/>
  <c r="G154" i="27"/>
  <c r="G164" i="27"/>
  <c r="F147" i="27" s="1"/>
  <c r="G147" i="27" s="1"/>
  <c r="G149" i="27" s="1"/>
  <c r="G347" i="27"/>
  <c r="G355" i="27"/>
  <c r="G33" i="27"/>
  <c r="F9" i="27" s="1"/>
  <c r="G9" i="27" s="1"/>
  <c r="G13" i="27" s="1"/>
  <c r="G266" i="27"/>
  <c r="G500" i="27"/>
  <c r="G524" i="27"/>
  <c r="G241" i="27"/>
  <c r="G76" i="27"/>
  <c r="G678" i="27"/>
  <c r="G681" i="27" s="1"/>
  <c r="G133" i="27"/>
  <c r="G186" i="27"/>
  <c r="G495" i="27"/>
  <c r="G511" i="27"/>
  <c r="G645" i="27"/>
  <c r="G292" i="27"/>
  <c r="G159" i="27"/>
  <c r="G22" i="27"/>
  <c r="G27" i="27"/>
  <c r="G128" i="27"/>
  <c r="G213" i="27"/>
  <c r="G616" i="27"/>
  <c r="G112" i="27"/>
  <c r="F95" i="27" s="1"/>
  <c r="G95" i="27" s="1"/>
  <c r="G97" i="27" s="1"/>
  <c r="G471" i="27"/>
  <c r="G624" i="27"/>
  <c r="G655" i="27"/>
  <c r="G219" i="27"/>
  <c r="G253" i="27"/>
  <c r="E233" i="27" s="1"/>
  <c r="G233" i="27" s="1"/>
  <c r="G235" i="27" s="1"/>
  <c r="G482" i="27"/>
  <c r="E451" i="27" s="1"/>
  <c r="G451" i="27" s="1"/>
  <c r="G454" i="27" s="1"/>
  <c r="G102" i="27"/>
  <c r="G107" i="27"/>
  <c r="G436" i="27"/>
  <c r="G319" i="27"/>
  <c r="G326" i="27"/>
  <c r="G47" i="27"/>
  <c r="F270" i="27"/>
  <c r="G270" i="27" s="1"/>
  <c r="G269" i="27"/>
  <c r="G376" i="27"/>
  <c r="G389" i="27" s="1"/>
  <c r="G506" i="27"/>
  <c r="G401" i="27"/>
  <c r="G414" i="27" s="1"/>
  <c r="G539" i="27"/>
  <c r="G675" i="27"/>
  <c r="E7" i="34" l="1"/>
  <c r="G779" i="27"/>
  <c r="G749" i="27"/>
  <c r="G723" i="27"/>
  <c r="G604" i="27"/>
  <c r="G61" i="27"/>
  <c r="G307" i="27"/>
  <c r="G165" i="27"/>
  <c r="G548" i="27"/>
  <c r="G254" i="27"/>
  <c r="G364" i="27"/>
  <c r="G483" i="27"/>
  <c r="G193" i="27"/>
  <c r="G690" i="27"/>
  <c r="G139" i="27"/>
  <c r="G34" i="27"/>
  <c r="G512" i="27"/>
  <c r="G633" i="27"/>
  <c r="G664" i="27"/>
  <c r="G224" i="27"/>
  <c r="G113" i="27"/>
  <c r="G271" i="27"/>
  <c r="G280" i="27" s="1"/>
  <c r="G335" i="27"/>
  <c r="F14" i="26" l="1"/>
  <c r="F18" i="26"/>
  <c r="F16" i="26"/>
  <c r="E5" i="34"/>
  <c r="E10" i="34"/>
  <c r="F39" i="26"/>
  <c r="G441" i="27"/>
  <c r="F423" i="27" s="1"/>
  <c r="G423" i="27" s="1"/>
  <c r="G427" i="27" s="1"/>
  <c r="G442" i="27" s="1"/>
  <c r="G86" i="27"/>
  <c r="F69" i="27" s="1"/>
  <c r="G69" i="27" s="1"/>
  <c r="G71" i="27" s="1"/>
  <c r="G87" i="27" s="1"/>
  <c r="F20" i="26" l="1"/>
  <c r="F82" i="26"/>
  <c r="E4" i="34"/>
  <c r="F31" i="26"/>
  <c r="F27" i="26"/>
  <c r="E8" i="34" s="1"/>
  <c r="F89" i="26"/>
  <c r="E9" i="34" l="1"/>
  <c r="F7" i="26"/>
  <c r="F6" i="26" s="1"/>
  <c r="F56" i="26"/>
  <c r="F81" i="26"/>
  <c r="G5" i="20" l="1"/>
  <c r="H5" i="20" s="1"/>
  <c r="G6" i="20"/>
  <c r="H6" i="20" s="1"/>
  <c r="H7" i="20"/>
  <c r="H8" i="20"/>
  <c r="H9" i="20"/>
  <c r="H10" i="20"/>
  <c r="H11" i="20"/>
  <c r="H12" i="20"/>
  <c r="H18" i="20"/>
  <c r="G19" i="20"/>
  <c r="H19" i="20" s="1"/>
  <c r="H20" i="20"/>
  <c r="G21" i="20"/>
  <c r="H21" i="20" s="1"/>
  <c r="H22" i="20"/>
  <c r="H23" i="20"/>
  <c r="H24" i="20"/>
  <c r="G25" i="20"/>
  <c r="H25" i="20" s="1"/>
  <c r="G26" i="20"/>
  <c r="H28" i="20"/>
  <c r="H29" i="20"/>
  <c r="G30" i="20"/>
  <c r="H30" i="20" s="1"/>
  <c r="G31" i="20"/>
  <c r="H31" i="20" s="1"/>
  <c r="H32" i="20"/>
  <c r="G33" i="20"/>
  <c r="H33" i="20" s="1"/>
  <c r="G34" i="20"/>
  <c r="H34" i="20" s="1"/>
  <c r="G35" i="20"/>
  <c r="H35" i="20" s="1"/>
  <c r="G36" i="20"/>
  <c r="H36" i="20" s="1"/>
  <c r="G37" i="20"/>
  <c r="H37" i="20" s="1"/>
  <c r="G38" i="20"/>
  <c r="H38" i="20" s="1"/>
  <c r="G39" i="20"/>
  <c r="H39" i="20" s="1"/>
  <c r="H40" i="20"/>
  <c r="H41" i="20"/>
  <c r="G42" i="20"/>
  <c r="H42" i="20" s="1"/>
  <c r="G43" i="20"/>
  <c r="H43" i="20" s="1"/>
  <c r="G44" i="20"/>
  <c r="H44" i="20" s="1"/>
  <c r="G45" i="20"/>
  <c r="H45" i="20" s="1"/>
  <c r="G46" i="20"/>
  <c r="H46" i="20" s="1"/>
  <c r="G47" i="20"/>
  <c r="H47" i="20" s="1"/>
  <c r="G48" i="20"/>
  <c r="H48" i="20" s="1"/>
  <c r="H49" i="20"/>
  <c r="G50" i="20"/>
  <c r="H50" i="20" s="1"/>
  <c r="G51" i="20"/>
  <c r="H51" i="20" s="1"/>
  <c r="G52" i="20"/>
  <c r="H52" i="20" s="1"/>
  <c r="G53" i="20"/>
  <c r="H53" i="20" s="1"/>
  <c r="G54" i="20"/>
  <c r="G55" i="20"/>
  <c r="G56" i="20"/>
  <c r="G57" i="20"/>
  <c r="H57" i="20" s="1"/>
  <c r="G58" i="20"/>
  <c r="H58" i="20" s="1"/>
  <c r="H59" i="20"/>
  <c r="H64" i="20"/>
  <c r="G65" i="20"/>
  <c r="H65" i="20" s="1"/>
  <c r="H66" i="20"/>
  <c r="H67" i="20"/>
  <c r="G68" i="20"/>
  <c r="H68" i="20" s="1"/>
  <c r="H69" i="20"/>
  <c r="H70" i="20"/>
  <c r="H71" i="20"/>
  <c r="H72" i="20"/>
  <c r="G73" i="20"/>
  <c r="H73" i="20" s="1"/>
  <c r="G74" i="20"/>
  <c r="H74" i="20" s="1"/>
  <c r="H75" i="20"/>
  <c r="H76" i="20"/>
  <c r="G77" i="20"/>
  <c r="H77" i="20" s="1"/>
  <c r="G78" i="20"/>
  <c r="H78" i="20" s="1"/>
  <c r="H79" i="20"/>
  <c r="H80" i="20"/>
  <c r="H81" i="20"/>
  <c r="G82" i="20"/>
  <c r="H83" i="20"/>
  <c r="H84" i="20"/>
  <c r="H85" i="20"/>
  <c r="H86" i="20"/>
  <c r="G87" i="20"/>
  <c r="H87" i="20" s="1"/>
  <c r="H88" i="20"/>
  <c r="G93" i="20"/>
  <c r="H93" i="20" s="1"/>
  <c r="G94" i="20"/>
  <c r="H94" i="20" s="1"/>
  <c r="G95" i="20"/>
  <c r="H95" i="20" s="1"/>
  <c r="G96" i="20"/>
  <c r="G97" i="20"/>
  <c r="H97" i="20" s="1"/>
  <c r="G98" i="20"/>
  <c r="H98" i="20" s="1"/>
  <c r="G99" i="20"/>
  <c r="H99" i="20" s="1"/>
  <c r="G100" i="20"/>
  <c r="G101" i="20"/>
  <c r="H101" i="20" s="1"/>
  <c r="G102" i="20"/>
  <c r="H102" i="20" s="1"/>
  <c r="G103" i="20"/>
  <c r="H103" i="20" s="1"/>
  <c r="G105" i="20"/>
  <c r="H105" i="20" s="1"/>
  <c r="H106" i="20"/>
  <c r="H100" i="20" l="1"/>
  <c r="H96" i="20"/>
  <c r="H82" i="20"/>
  <c r="H89" i="20" s="1"/>
  <c r="H26" i="20"/>
  <c r="H54" i="20"/>
  <c r="H13" i="20"/>
  <c r="H107" i="20" l="1"/>
  <c r="H55" i="20"/>
  <c r="H56" i="20"/>
  <c r="H60" i="20" l="1"/>
  <c r="H109" i="20" l="1"/>
  <c r="H12" i="19" l="1"/>
  <c r="F55" i="26" l="1"/>
  <c r="F99" i="26" l="1"/>
  <c r="H37" i="19" s="1"/>
  <c r="E6" i="34" l="1"/>
  <c r="H39" i="19"/>
  <c r="E59" i="35"/>
  <c r="E12" i="34"/>
  <c r="J6" i="33"/>
  <c r="G7" i="33" s="1"/>
  <c r="G14" i="33" l="1"/>
  <c r="H18" i="33"/>
  <c r="C57" i="35"/>
  <c r="E11" i="34" l="1"/>
  <c r="E13" i="34" s="1"/>
  <c r="F7" i="34" l="1"/>
  <c r="G4" i="35" s="1"/>
  <c r="F4" i="34"/>
  <c r="D4" i="35" s="1"/>
  <c r="D50" i="35" s="1"/>
  <c r="F10" i="34"/>
  <c r="J4" i="35" s="1"/>
  <c r="F6" i="34"/>
  <c r="F4" i="35" s="1"/>
  <c r="F5" i="34"/>
  <c r="E4" i="35" s="1"/>
  <c r="E50" i="35" s="1"/>
  <c r="F9" i="34"/>
  <c r="I4" i="35" s="1"/>
  <c r="F8" i="34"/>
  <c r="H4" i="35" s="1"/>
  <c r="F50" i="35" l="1"/>
  <c r="G50" i="35"/>
  <c r="H50" i="35"/>
  <c r="I50" i="35"/>
  <c r="J50" i="35"/>
  <c r="C50" i="35" l="1"/>
  <c r="D56" i="35" l="1"/>
  <c r="D57" i="35"/>
  <c r="E57" i="35" s="1"/>
  <c r="D54" i="35"/>
  <c r="D55" i="35"/>
  <c r="D7" i="33"/>
  <c r="C54" i="35" s="1"/>
  <c r="E7" i="33"/>
  <c r="F7" i="33"/>
  <c r="G18" i="33" s="1"/>
  <c r="J8" i="33"/>
  <c r="G13" i="33" s="1"/>
  <c r="C55" i="35" l="1"/>
  <c r="E55" i="35" s="1"/>
  <c r="F18" i="33"/>
  <c r="D11" i="33"/>
  <c r="D14" i="33" s="1"/>
  <c r="E18" i="33"/>
  <c r="E11" i="33"/>
  <c r="E14" i="33" s="1"/>
  <c r="E13" i="33" s="1"/>
  <c r="D9" i="33"/>
  <c r="E9" i="33" s="1"/>
  <c r="F9" i="33" s="1"/>
  <c r="G9" i="33" s="1"/>
  <c r="C56" i="35"/>
  <c r="E56" i="35" s="1"/>
  <c r="F11" i="33"/>
  <c r="F14" i="33" s="1"/>
  <c r="E54" i="35"/>
  <c r="J11" i="33" l="1"/>
  <c r="I11" i="33" s="1"/>
  <c r="J13" i="33"/>
  <c r="D16" i="33"/>
  <c r="E16" i="33" s="1"/>
  <c r="F16" i="33" s="1"/>
  <c r="D13" i="33"/>
  <c r="E58" i="35"/>
  <c r="F13" i="33"/>
  <c r="E60" i="35" l="1"/>
  <c r="G16" i="33"/>
  <c r="J15" i="33" s="1"/>
  <c r="J18" i="33"/>
  <c r="E19" i="33"/>
  <c r="F19" i="33" s="1"/>
  <c r="G19" i="33" s="1"/>
  <c r="H19" i="33" s="1"/>
  <c r="J19" i="33" s="1"/>
  <c r="I13" i="33"/>
  <c r="D15" i="33"/>
  <c r="E15" i="33" s="1"/>
  <c r="F15" i="33" s="1"/>
  <c r="G15" i="33" l="1"/>
  <c r="I15" i="33" s="1"/>
  <c r="E122" i="26" l="1"/>
  <c r="F102" i="26"/>
  <c r="H29" i="19"/>
  <c r="H33" i="19"/>
  <c r="H31" i="19"/>
  <c r="H32" i="19"/>
  <c r="E15" i="29"/>
  <c r="H15" i="29" s="1"/>
  <c r="E19" i="29"/>
  <c r="H19" i="29" s="1"/>
  <c r="E17" i="29"/>
  <c r="H17" i="29" s="1"/>
  <c r="D9" i="29"/>
  <c r="E20" i="29"/>
  <c r="H20" i="29"/>
  <c r="E16" i="29"/>
  <c r="H16" i="29" s="1"/>
  <c r="H34" i="19"/>
  <c r="F119" i="26"/>
  <c r="E14" i="29"/>
  <c r="H14" i="29" s="1"/>
  <c r="H30" i="19"/>
  <c r="H21" i="29" l="1"/>
  <c r="H35" i="19"/>
  <c r="F38" i="19" s="1"/>
  <c r="F41" i="19" l="1"/>
  <c r="H38" i="19"/>
  <c r="H40" i="19" s="1"/>
  <c r="H42" i="19" s="1"/>
  <c r="H23" i="29"/>
  <c r="H24" i="29"/>
  <c r="D26" i="29" l="1"/>
  <c r="F109" i="26"/>
  <c r="F104" i="26" s="1"/>
</calcChain>
</file>

<file path=xl/sharedStrings.xml><?xml version="1.0" encoding="utf-8"?>
<sst xmlns="http://schemas.openxmlformats.org/spreadsheetml/2006/main" count="5007" uniqueCount="1038">
  <si>
    <t>PRESUPUESTO DE OBRA</t>
  </si>
  <si>
    <t>ITEM</t>
  </si>
  <si>
    <t>DESCRIPCION</t>
  </si>
  <si>
    <t>UNIDAD</t>
  </si>
  <si>
    <t>CANTIDAD</t>
  </si>
  <si>
    <t>VALOR UNITARIO</t>
  </si>
  <si>
    <t xml:space="preserve">VALOR TOTAL </t>
  </si>
  <si>
    <t>MANTENIMIENTO A DIFERENTES INSTITUCIONES EDUCATIVAS DEL MUNICIPIO DE ENVIGADO</t>
  </si>
  <si>
    <t>1.1</t>
  </si>
  <si>
    <t>ACTIVIDADES PRELIMINARES</t>
  </si>
  <si>
    <t>1.1.1</t>
  </si>
  <si>
    <t>Instalación de CERRAMIENTO PROVISIONAL en tela verde polietileno de alta densidad y resistencia 65 gr/m2 con una altura de 2,10 m, estacones de madera común para fijación vertical de altura de 2,50 m puesto mínimo cada 2,0 m y para apuntalamiento mínimo cada 10 m y cada cambio de dirección, arranques y terminación, diámetro aproximado 0,10 m, elementos de fijación, Incluye: suministro, transporte, instalación, excavación, concreto de fundación preparado en Obra de 17.5 Mpa - 2500 psi, diámetro aproximado 0,30 m y profundidad aproximada 0,50 m, cable o alambre tensor parte inferior y superior horizontal, mantenimiento, desmonte y todos los demás elementos necesarios para su correcta instalación y operación.  cargue transporte y botada de material sobrante en botaderos oficiales.</t>
  </si>
  <si>
    <t>m</t>
  </si>
  <si>
    <t>1.1.2</t>
  </si>
  <si>
    <t>Demolición de enchapes y/o revoques. Incluye demolición del mortero de nivelación espesor máximo 0.03 m, el transporte interno hasta el sitio de acopio que indique la interventoría y/o la botada del material hasta el botadero oficial autorizado. Incluye andamios certificados, equipos de seguridad, empacada de escombros en costales, cargue, transporte y botada de escombros en botaderos oficiales, transporte hasta el sitio que lo indique la supervisión.</t>
  </si>
  <si>
    <t>m2</t>
  </si>
  <si>
    <t>1.1.3</t>
  </si>
  <si>
    <t>Demolición piso en cerámica, incluye la demolición del mortero de pega. sobre terreno. cargue, transporte y botada de escombros, incluye demolición del mortero de nivelación espesor máximo 0.07m, refuerzo e instalaciones embebidas. además recuperación de los materiales aprovechables o su transporte hasta el sitio que lo indique la interventoría.</t>
  </si>
  <si>
    <t>1.1.4</t>
  </si>
  <si>
    <t>Desmonte y retiro de cubierta existente en mal estado (teja metálica y/o aluminio, policarbonato, asbesto cemento o similar) incluye el traslado del material al sitio donde indique la interventoría y/o su disposición final. Medido a cinta pegada sobre pendiente. No incluye el retiro de la estructura de soporte.</t>
  </si>
  <si>
    <t>1.1.5</t>
  </si>
  <si>
    <t>Retiro de ruanas en mal estado. Incluye transporte interno al sitio de acopio para el cargue.</t>
  </si>
  <si>
    <t>1.1.6</t>
  </si>
  <si>
    <t>Retiro de canoas en mal estado. Incluye transporte interno al sitio de acopio para el cargue.</t>
  </si>
  <si>
    <t>1.2</t>
  </si>
  <si>
    <t>EXCAVACIONES</t>
  </si>
  <si>
    <t>1.2.1</t>
  </si>
  <si>
    <t>Excavación manual de material heterogéneo hasta 2m de profunidad., bajo cualquier grado de humedad. Incluye: roca descompuesta, bolas de roca de volumen inferior a 0.5 m³., incluye botada, cargue y transporte interno y su medida será en el sitio. No incluye entibado.</t>
  </si>
  <si>
    <t>m3</t>
  </si>
  <si>
    <t>1.3</t>
  </si>
  <si>
    <t>CONCRETOS</t>
  </si>
  <si>
    <t>1.3.1</t>
  </si>
  <si>
    <t>Construcción de placa contrapiso en concreto de 21 MPa. con espesor de 0.15m. Adicionado con fibra nikon e impermeabilizante integral tipo Plastocrete Dm o equivalente calidad. Incluye suministro, transporte y colocación del concreto, formaleta, vibrado, protección, curado y todos los demás elementos necesarios para su correcta construcción. El entresuelo y el acero de refuerzo se pagará en su respectivo ítem.</t>
  </si>
  <si>
    <t>1.4</t>
  </si>
  <si>
    <t>ACEROS DE REFUERZO Y ESTRUCTURA METÁLICA</t>
  </si>
  <si>
    <t>1.4.1</t>
  </si>
  <si>
    <t>Suministro, transporte e instalación de malla electrosoldada tipo D84. Incluye el suministro y el transporte del material y todos los elementos necesarios para su correcta colocación.</t>
  </si>
  <si>
    <t>1.5</t>
  </si>
  <si>
    <t>MAMPOSTERIAS, REVOQUES, ESTUCOS Y PINTURAS</t>
  </si>
  <si>
    <t>1.5.1</t>
  </si>
  <si>
    <t>Revoque impermeabilizado 1:4:0,25  (cemento, arena, cal hidraulica) para muros exteriores hasta 4,50 m. muros baños. Incluye: Sika 1 o similar, ranuras, filetes, dilataciones y fajas.</t>
  </si>
  <si>
    <t>1.5.2</t>
  </si>
  <si>
    <t>Suministro, transporte y colocación de estuco acrílico profesional para interiores sobre muros y cielos revocados, 2 manos mínimo hasta obtener una superficie pareja y homogénea. Incluye ranuras, filetes, dilataciones y todos los elementos necesarios para su correcta aplicación y funcionamiento. Trabajos en altura hasta 5.0 m. Incluye personal y andamios certificados para trabajos en alturas.</t>
  </si>
  <si>
    <t>1.5.3</t>
  </si>
  <si>
    <t>Aplicación de pintura a base de agua en muros y cielos, con vinilo tipo 1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supervisión. Trabajos en altura hasta 3.0 m. Incluye personal y andamios certificados para trabajos en alturas.</t>
  </si>
  <si>
    <t>1.5.4</t>
  </si>
  <si>
    <t>Suministro, transporte y aplicación en exteriores de pintura vinilo tipo exterior Koraza profesional o similar en muros y columnas, en color requerido por diseño o especificación del proyecto; de acuerdo a especificación técnica del fabricante, en preparación de superficie, preparación del producto y aplicación en tres manos para obtener una superficie pareja y homogénea. Incluye andamiaje y todos los elementos necesarios para su correcta aplicación. Trabajos en altura hasta 3.0 m. Incluye personal y andamios certificados para trabajos en alturas.</t>
  </si>
  <si>
    <t>1.5.5</t>
  </si>
  <si>
    <t>Resane de grietas con sellador elástico pintable para fisuras. Tipo Sika Sello Pintores Sika Flex o similar.</t>
  </si>
  <si>
    <t>1.5.6</t>
  </si>
  <si>
    <t>Rasqueteado sobre muros. Incluye botada de material, personal y andamios certificados para trabajos en alturas.</t>
  </si>
  <si>
    <t>1.6</t>
  </si>
  <si>
    <t>INSTALACIONES HIDROSANITARIAS</t>
  </si>
  <si>
    <t>1.6.1</t>
  </si>
  <si>
    <t>Suministro, transporte e instalación de abrazaderas de diàmetros 2", 3" y 4" para fijación de tuberías. Incluye retiro de la existente, chazos , tornillos y todos los elementos necesarios para su correcta instalación.</t>
  </si>
  <si>
    <t>un</t>
  </si>
  <si>
    <t>1.6.2</t>
  </si>
  <si>
    <t>Suministro y colocación de tubería PVC Ø =  4" para bajantes de aguas lluvias . Incluye: accesorios, abrazaderas con empaque de caucho y fijación mecánica, limpiador y soldadura, y pintura abase de aceite (de uso esxterior) para acabado final , color a definir por la interventoria.</t>
  </si>
  <si>
    <t>1.6.3</t>
  </si>
  <si>
    <t>Limpieza, lavado y desobstrucción de cárcamo y tuberías de desagües de aguas lluvias existentes, con equipo mecánico o manual, incluye mangueras, sondas flexibles y herramienta menor, el retiro y reinstalación de tapas y rejillas, la recolección y botada del material extraído. (desobstrucción de cajas, redes ALL y AR , tuberias y lavado de estructura metalica cancha y graderias)</t>
  </si>
  <si>
    <t>1.7</t>
  </si>
  <si>
    <t>ESTRUCTURA METÁLICA Y CUBIERTA</t>
  </si>
  <si>
    <t>1.7.1</t>
  </si>
  <si>
    <t>Suministro, transporte y colocación de cubierta en teja sin traslapo en acero galvanizado tipo Standing Seam de Acesco o equivalente, de 11/2" (38.1 mm.), calibre 26, sistema sencillo.  Incluye Clips de fijación, tornillos y todo lo necesario para su correcta instalación y funcionamiento.  Según diseño de cubierta. Incluye personal y andamios certificados para trabajos en alturas.</t>
  </si>
  <si>
    <t>1.7.2</t>
  </si>
  <si>
    <t>Mantenimiento de techo en teja de barro, incluye:  retiro de tejas en un 100 %, retiro de impermeabilización en un 100 %, retiro de tablilla en un 100 %, retiro de alfardas en un  27 %; suministro y colocación de alfardas de 2" x 5", suministro y colocación de tablilla de pino en un 100 %, suministro y colocación de impermeabilización con fieltro Permofit en un 100 %, suministro y reemplazo de tejas de barro hasta un máximo de 20% donde sea necesario y cargue y botada de escombros</t>
  </si>
  <si>
    <t>1.7.3</t>
  </si>
  <si>
    <t>Suministro, transporte y colocación de canoa en lámina galvanizada calibre 24, moldurada desarrollo 0,70 m.  incluye embudo galvanizado calibre 16 y codo galvanizado calibre 26 aproximadamente cada 5 m., pintura anticorrosiva, esmalte base aceite y todos los elementos necesarios para su correcta instalación. Incluye personal y andamios certificados para trabajos en alturas.</t>
  </si>
  <si>
    <t>1.7.4</t>
  </si>
  <si>
    <t>Mantenimiento de canoas: Incluye: limpeza, cargue y botada de escombros ,pintura anticorrosivo y pintura base de aceite y soldaduras donde se necesario.</t>
  </si>
  <si>
    <t xml:space="preserve">m </t>
  </si>
  <si>
    <t>1.7.5</t>
  </si>
  <si>
    <t>Suministro, transporte y colocación de ruana en lámina galvanizada calibre 24, desarrollo 55 cm. Incluye  pintura anticorrosiva y a base de aceite, pestaña de 5 cm, y todos los elementos necesarios para su correcta construcción. Según diseño de cubierta. Incluye personal y andamios certificados para trabajos en alturas.</t>
  </si>
  <si>
    <t>1.7.6</t>
  </si>
  <si>
    <t>Mantenimiento de cubiertas metálicas, Incluye el barrido y retiro de basuras en la parte interna entre cubierta y cielo falso. y en la parte exterior se realizará el lavado con agua y champú neutro, cambio de sellos, recuperación y reposición de grafes en general; Y todos los elementos necesarios para la correcta ejecución de la actividad. Trabajos en  alturas mayores a 10 mts. Incluye personal certificado para trabajos en alturas.</t>
  </si>
  <si>
    <t>1.7.7</t>
  </si>
  <si>
    <t>Mantenimiento y reparación bajantes de cualquier diametro: Incluye revisión de cada bajante, limpieza, reparación y empalme, pintura y fijación.</t>
  </si>
  <si>
    <t>1.8</t>
  </si>
  <si>
    <t>PISOS</t>
  </si>
  <si>
    <t>1.8.1</t>
  </si>
  <si>
    <t>Reparación de piso en baldosa en ceramica existente, incluye demolición de mortero, recorte, colocación y lechada de baldosa, transporte interno hasta sitio de acopio.</t>
  </si>
  <si>
    <t>1.8.2</t>
  </si>
  <si>
    <t>Construcción de Mortero 1:4, espesor 5cm,  para nivelación de pisos. Incluye todos los elementos para su correcta construcción y funcionamiento.</t>
  </si>
  <si>
    <t>OBRAS VARIAS</t>
  </si>
  <si>
    <t>1.9.1</t>
  </si>
  <si>
    <t>Suministro , transporte y instalación de lagrimal prefabricado en concreto de 21mpa , espesor= 0.25 m, longitud 0.50m, incluye: cortagotera, mortero de pega impermebailizado , andamios certificados, equipo de trabajo en alturas (PRECIO PROYECTADO - PENDIENTE ELABORACIÓN APU)</t>
  </si>
  <si>
    <t>1.9.2</t>
  </si>
  <si>
    <t>Suministro, transporte y colocación de base granular de máximo Ø 1½", aplicación manual, para estructura de andenes, escalas o parcheos de pavimento, compactada con canguro, incluye el transporte interno de materiales y todo lo necesario para su correcta colocación y funcionamiento Su medida será tomada en sitio ya compactado (PRECIO PROYECTADO - PENDIENTE ELABORACIÓN APU)</t>
  </si>
  <si>
    <t>1.9.3</t>
  </si>
  <si>
    <t>Retiro de ventiladores existentes</t>
  </si>
  <si>
    <t>1.9.4</t>
  </si>
  <si>
    <t>Suministro, transporte e instalación de piso en gres 30x30, incluye todo lo necesario para su correcta construcción.</t>
  </si>
  <si>
    <t>INSTALACIONES ELECTRICAS</t>
  </si>
  <si>
    <t>1.10.1</t>
  </si>
  <si>
    <t>Suministro e instalación de caja 20x20 con tomacorriente doble en tuberías EMT 1", incluyendo todos los elementos y accesorios necesarios para garantizar una instalación segura y funcional.</t>
  </si>
  <si>
    <t>1.10.2</t>
  </si>
  <si>
    <t>Suministro e instalación de caja 20x20 con tomacorriente doble en tuberías EMT 1 1⁄2", incluyendo todos los elementos y accesorios necesarios para garantizar una instalación segura y funcional.</t>
  </si>
  <si>
    <t>1.10.3</t>
  </si>
  <si>
    <t>Suministro e instalación de caja 20x20 con tomacorriente doble en tuberías IMC 1⁄2", incluyendo todos los elementos y accesorios necesarios para garantizar una instalación segura y funcional.</t>
  </si>
  <si>
    <t>1.10.4</t>
  </si>
  <si>
    <t>Suministro e instalación de acometidas eléctricas en cable #8 (circuito extractor) y cable #6 (alimentación de cavas), incluyendo conectores y materiales para garantizar una conexión segura y cumplimiento normativo.</t>
  </si>
  <si>
    <t>1.10.5</t>
  </si>
  <si>
    <t>Adecuación del gabinete general existente, realizando ajustes, reemplazo de piezas y trabajos complementarios para su funcionamiento adecuado.</t>
  </si>
  <si>
    <t>1.10.6</t>
  </si>
  <si>
    <t>Suministro e instalación del sistema de puesta a tierra, incluyendo varilla, conductor y accesorios para garantizar la resistencia exigida.</t>
  </si>
  <si>
    <t>1.10.7</t>
  </si>
  <si>
    <t>Suministro e instalación de caja 20x20 con tomacorriente GFCI en tuberías IMC 1⁄2", incluyendo todos los elementos y accesorios necesarios para garantizar una instalación segura y funcional.</t>
  </si>
  <si>
    <t>MANTENIMIENTO A DIFERENTES RESTAURANTES ESCOLARES DEL MUNICIPIO DE ENVIGADO</t>
  </si>
  <si>
    <t>2.1</t>
  </si>
  <si>
    <t>2.1.1</t>
  </si>
  <si>
    <t>2.1.2</t>
  </si>
  <si>
    <t>Cargue manual, transporte y botada de material sobrante de movimientos de tierra, excavaciones, demoliciones y otros retiros. Incluye transportes internos, paleros, derecho de botadero. Se debe hacer en botaderos oficiales autorizados por la entidad competente o hasta el sitio que indique la interventoría. Su medida será en sitio.</t>
  </si>
  <si>
    <t>2.1.3</t>
  </si>
  <si>
    <t>Demolición de enchapes, revoques. Incluye demolición del mortero de nivelación espesor máximo 0.03 m, el transporte interno hasta el sitio de acopio que indique la interventoría y/o la botada del material hasta el botadero oficial autorizado.</t>
  </si>
  <si>
    <t>2.1.4</t>
  </si>
  <si>
    <t>Desmonte y retiro de remates laterales, frontales y canoas metálicas en mal estado existentes en cubiertas; Incluye el retiro y el  traslado  del  material  al  sitio  donde indique  la interventoría y/o su disposición final. Trabajos en  alturas mayores  a  10  mts.  Incluye  personal  certificado  para trabajos en alturas.</t>
  </si>
  <si>
    <t>2.1.5</t>
  </si>
  <si>
    <t>2.1.6</t>
  </si>
  <si>
    <t>Demolición estructuras de concreto de cualquier resistencia, reforzado o ciclópeo, y en cualquier clase de estructura. incluye retiro de refuerzo y cualquier tipo de acabado (revoques y enchapes) o piso (en losas) e instalaciones embebidas, compresor neumático con martillo, además recuperación de los materiales aprovechables o su transporte hasta el sitio que lo indique la interventoría y/o el cargue, transporte y botada de escombros manual o mecánicamente.</t>
  </si>
  <si>
    <t>2.1.7</t>
  </si>
  <si>
    <t>Demolición de muros en ladrillo de espesor  15 a 20 cm, en altura superior a 2.50 m. Incluye cortes con medio mecánico hasta 2", andamios y todos los elementos de protección personal requeridos, así como personal certificado cuando se trate de trabajo en alturas, el transporte y la botada del material.</t>
  </si>
  <si>
    <t>2.1.8</t>
  </si>
  <si>
    <t>Suministro, transporte y colocación de revoque para muros interiores,  mortero 1:4 impermeabilizado con Sika 1 o equivalente. Incluye fajas, ranuras, filetes, y todos los demás elementos necesarios para su correcta construcción.</t>
  </si>
  <si>
    <t>2.1.9</t>
  </si>
  <si>
    <t>Aplicación de pintura vinilo tipo exterior Koraza profesional, en cielos o techos de madera en alturas hasta 5.0 m, incluye alfardas, tablilla tablas, en color requerido por diseño o especificación del proyecto; de acuerdo a especificación técnica del fabricante, en preparación de superficie, preparación del producto y aplicación en tres manos para obtener una superficie pareja y homogénea. Incluye andamiaje y todos los elementos necesarios para su correcta aplicación. Trabajos en altura hasta 5.0 m. Incluye personal y andamios certificados para trabajos en alturas.</t>
  </si>
  <si>
    <t>2.1.10</t>
  </si>
  <si>
    <t>Aplicación de pintura a base de agua en muros, con vinilo tipo 1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interventoría. Trabajos en altura hasta 3.0 m. Incluye personal y andamios certificados para trabajos en alturas.</t>
  </si>
  <si>
    <t>2.1.11</t>
  </si>
  <si>
    <t>Aplicación de pintura a base de agua en cielos, con vinilo tipo 1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interventoría. Para muros y cielos en alturas mayores a 3 m. Incluye personal y andamios certificados para trabajos en alturas.</t>
  </si>
  <si>
    <t>2.1.12</t>
  </si>
  <si>
    <t>Matenimiento general  de todo tipo de ventanas.  Incluye: Desmonte,  limpieza,  anticorrosivo,  pintura  tipo  esmalte, andamiaje  y  todos  los  elementos  necesarios  para  su correcta aplicación  y reinstalación final.</t>
  </si>
  <si>
    <t>2.1.13</t>
  </si>
  <si>
    <t>Mantenimiento  general  de  puertas,  incluye  desmonte, resane,  aplicación  de  pintura  anticorrosiva  donde  sea necesario y aplicación de esmalte alquídico color similar a toda la puerta, incluyendo el marco, incluye ajuste de perfil inferior atrapa polvo y demás actividades para su correcto funcionamiento y reinstalación.</t>
  </si>
  <si>
    <t>2.1.14</t>
  </si>
  <si>
    <t>Aplicación de pintura para canoas metálicas con esmalte alquídico Pintulux ó similar para elementos metálicos en interiores y exteriores que contenga anticorrosivo; hasta 3 m de altura de acuerdo a especificación técnica del fabricante, en preparación de superficie, preparación del producto y aplicación, según color requerido en sitio, Incluye la pintura del marco. Color a definir, aprobado por la interventoría. Se debe adecuar la superficie en caso de ser necesario. Incluye personal y andamios certificados para trabajos en alturas.</t>
  </si>
  <si>
    <t>2.1.15</t>
  </si>
  <si>
    <t>2.1.16</t>
  </si>
  <si>
    <t>Mantenimiento de canoa metálica existente, incluye el retiro de basuras, la aplicación a dos manos de pintura anticorrosiva Wash Primer, reposición de soportes y todos los elementos necesarios para la correcta ejecución de la actividad. Trabajos en  alturas mayores a 10 mts. Incluye personal certificado para trabajos en alturas.</t>
  </si>
  <si>
    <t>2.1.17</t>
  </si>
  <si>
    <t>Lavado de pisos duros con acido e hidrolavadora, incluye todo lo necesario  para  su  correcta  ejecución,  entrega  a satisfacción.</t>
  </si>
  <si>
    <t>2.1.18</t>
  </si>
  <si>
    <t>Reparación   de   piso   en  gres existente,   incluye demolición  de mortero,  recorte,  colocación  y lechada  de baldosa, transporte interno hasta sitio de acopio.</t>
  </si>
  <si>
    <t>2.1.19</t>
  </si>
  <si>
    <t>2.1.20</t>
  </si>
  <si>
    <t>Fabricación e instalación de malla de nylon ref 210/54 impermeabilizada, de color negro y ojo cuadrado, mas soportes en L en tuberia cuadrada de 50mmx50mm en 2mm de espesor,mas pintura en anticorrosivo cromato de zinc y acabados en esmalte negro</t>
  </si>
  <si>
    <t>m²</t>
  </si>
  <si>
    <t>2.1.21</t>
  </si>
  <si>
    <t>Suministro, transporte e instalación de puerta metálica, un (1)   ala   batiente   en   lámina   cold   rolled   calibre   18, entamborada    lisa,    rellena    con    porón    (poliuretano expandido),  con  bastidor  perimetral  en  tubería  PTS  de 40x40x2 mm. y refuerzos horizontales en tubería metálica de  40x40x2  mm.,  marco  metálico  en  lámina  cold  rolled calibre 18 color establecido por interventoria,  Incluye  dos (2) manijas en acero inoxidable de Ø= 3/4" L= 250 mm., cerradura de seguridad calidad ref OLIMPIA PH1206-AL ó equivalente,  cuatro(4)  bisagras  metálicas  de  taco  para trabajo  pesado  de  ½"  ,  soldadura,  pintura  anticorrosiva gris, pintura a base de aceite color ref.  astro lunar NE277- P de pintuco o similar  y todo lo necesario para su correcta instalación y funcionamiento. P-1   0.60/0.75 x 2.10 m. e = 15/20 cm. Una ala</t>
  </si>
  <si>
    <t>2.1.22</t>
  </si>
  <si>
    <t>Suministro,   transporte   y   aplicación   de   pintura   epoxica PINTUCOAT  de pintuco o similar en piso de cocina. Incluye; preparación  de superficie ,limpieza con  ácido para encontrar perfil de anclaje y garantizar completa adherencia de la pintura y resanes necesarios</t>
  </si>
  <si>
    <t>2.1.23</t>
  </si>
  <si>
    <t>Construcción  de  media  caña  en  concreto  de  21  MPa.  con sección de 0.1 x 0.1m. Incluye: suministro y transporte interno y externo de los materiales.</t>
  </si>
  <si>
    <t>2.1.24</t>
  </si>
  <si>
    <t>Suministro,   transporte   y   aplicación   de   pintura   epoxica PINTUCOAT de pintuco para media caña.Incluye preparacion de superficie y resanes</t>
  </si>
  <si>
    <t>INSTITUCIÓN EDUCATIVA LA MORENA</t>
  </si>
  <si>
    <t>3.1</t>
  </si>
  <si>
    <t>3.1.1</t>
  </si>
  <si>
    <t>3.1.2</t>
  </si>
  <si>
    <t>Suministro, transporte y colocación de estuco acrílico profesional para interiores sobre muros y cielos revocados, 2 manos mínimo hasta obtener una superficie pareja y homogénea. Incluye ranuras, filetes, dilataciones y todos los elementos necesarios para su correcta aplicación y funcionamiento. Trabajos en altura hasta 5.0 m. Incluye personal y andamios certificados para trabajos en alturas. (30% del area total de la losa)</t>
  </si>
  <si>
    <t>3.1.3</t>
  </si>
  <si>
    <t>Suministro, transporte y aplicación en exteriores de pintura vinilo tipo exterior Koraza profesional o similar en muros y columnas, en color requerido por diseño o especificación del proyecto; de acuerdo a especificación técnica del fabricante, en preparación de superficie, preparación del producto y aplicación en tres manos para obtener una superficie pareja y homogénea. Incluye andamiaje y todos los elementos necesarios para su correcta aplicación. Trabajos en altura hasta 3.0 m. Incluye personal y andamios certificados para trabajos en alturas.  (100% del area total de la losa)</t>
  </si>
  <si>
    <t>3.1.4</t>
  </si>
  <si>
    <t>Mantenimiento de malla y tableros de baloncesto, incluye pintura e instalacion de aros y malla nueva si es necesario.</t>
  </si>
  <si>
    <t>3.1.5</t>
  </si>
  <si>
    <t>3.1.6</t>
  </si>
  <si>
    <t>3.2</t>
  </si>
  <si>
    <t>3.2.1</t>
  </si>
  <si>
    <t xml:space="preserve">Mantenimiento de techo en teja de barro, incluye:  retiro de tejas en un 100 %, retiro de impermeabilización en un 100 %, retiro de tablilla en un 100 %, retiro de alfardas en un  27 %; suministro y colocación de alfardas de 2" x 5", suministro y colocación de tablilla de pino en un 100 %, suministro y colocación de impermeabilización con fieltro Permofit en un 100 %, suministro y reemplazo de tejas de barro hasta un máximo de 20% donde sea necesario y cargue y botada de escombros. </t>
  </si>
  <si>
    <t>3.2.2</t>
  </si>
  <si>
    <t>3.2.3</t>
  </si>
  <si>
    <t>3.2.4</t>
  </si>
  <si>
    <t>3.3</t>
  </si>
  <si>
    <t>3.3.1</t>
  </si>
  <si>
    <t xml:space="preserve">S.T.I de Champeado para taludes </t>
  </si>
  <si>
    <t>3.3.2</t>
  </si>
  <si>
    <t xml:space="preserve">Reflector LED 400W 6500K de iluminacion potente y eficiente para placa multifuncional </t>
  </si>
  <si>
    <t>3.3.3</t>
  </si>
  <si>
    <t>Llenos con material seleccionado proveniente de las excavaciones, compactados mecánicamente hasta obtener una densidad del 95% de la máxima obtenida en el ensayo del próctor modificado. Incluye el suministro, transportes externo e interno del material y su medida será compactado en sitio.</t>
  </si>
  <si>
    <t>3.3.4</t>
  </si>
  <si>
    <t>Impermeabilización con producto cementicio flexible (Terraza sobre ludoteca ) Descarificación y limpieza de piso existente + suministro de instalación de vulken 45 , aplicado en dilataciones y aristas + suministro e instalación de producto cementicio flexible Metic Lastic plus + suministro e instalación de malla alcalina de 160 gramos + suministro e intalación de dos manos de metic lastic plus + suministro e instalación de pintura elastomerica color gris como acabado final.</t>
  </si>
  <si>
    <t>COSTO DIRECTO</t>
  </si>
  <si>
    <t>PORCENTAJE AU</t>
  </si>
  <si>
    <t>COSTOS INDIRECTOS</t>
  </si>
  <si>
    <t xml:space="preserve">TOTAL COSTO DIRECTO + AU </t>
  </si>
  <si>
    <t>COSTOS REEMBOLSABLES</t>
  </si>
  <si>
    <t>Implementación Social (Ver anexo "Subanálisis AU")</t>
  </si>
  <si>
    <t>Implementación Plan de Manejo Ambiental (Ver anexo PMA)</t>
  </si>
  <si>
    <t>Implementación Plan de Manejo de Tránsito (Ver anexo PMT)</t>
  </si>
  <si>
    <t>Implementación SST (Ver anexo "Subanálisis AU")</t>
  </si>
  <si>
    <t>Pólizas  (Ver anexo "Póliza")</t>
  </si>
  <si>
    <t>COSTO TOTAL</t>
  </si>
  <si>
    <t>ANALISIS DETALLADO ADMINISTRACIÓN</t>
  </si>
  <si>
    <t>DESCRIPCCIÓN</t>
  </si>
  <si>
    <t>SALARIO BASE</t>
  </si>
  <si>
    <t>FACTOR PRESTACIONAL</t>
  </si>
  <si>
    <t>%DEDICACIÒN MENSUAL</t>
  </si>
  <si>
    <t xml:space="preserve">DURACION (meses) </t>
  </si>
  <si>
    <t>VALOR TOTAL</t>
  </si>
  <si>
    <t>1.0</t>
  </si>
  <si>
    <t>PERSONAL PROFESIONAL Y ADMINISTRATIVOS.</t>
  </si>
  <si>
    <t>Profesionales de Obra Civil</t>
  </si>
  <si>
    <r>
      <rPr>
        <b/>
        <sz val="10"/>
        <rFont val="Swis721 LtCn BT"/>
        <family val="2"/>
      </rPr>
      <t xml:space="preserve">Director de Obra </t>
    </r>
    <r>
      <rPr>
        <sz val="10"/>
        <rFont val="Swis721 LtCn BT"/>
        <family val="2"/>
      </rPr>
      <t>(Ingeniero Civil o Arquitecto)</t>
    </r>
  </si>
  <si>
    <r>
      <rPr>
        <b/>
        <sz val="10"/>
        <rFont val="Swis721 LtCn BT"/>
        <family val="2"/>
      </rPr>
      <t xml:space="preserve">Residente de Obra </t>
    </r>
    <r>
      <rPr>
        <sz val="10"/>
        <rFont val="Swis721 LtCn BT"/>
        <family val="2"/>
      </rPr>
      <t>(Ingeniero Civil o Arquitecto)</t>
    </r>
  </si>
  <si>
    <t>Residente Socio Ambiental</t>
  </si>
  <si>
    <t>Tecnólogo en seguridad social y salud en el trabajo</t>
  </si>
  <si>
    <r>
      <t xml:space="preserve">Auxiliar de Ingeniería </t>
    </r>
    <r>
      <rPr>
        <sz val="10"/>
        <color theme="1"/>
        <rFont val="Swis721 LtCn BT"/>
        <family val="2"/>
      </rPr>
      <t>(Ingeniero Civil o Arquitecto)</t>
    </r>
  </si>
  <si>
    <t>2.0</t>
  </si>
  <si>
    <t>INSTALACIONES PROVISIONALES, SEÑALIZACIÓN Y SISOMA</t>
  </si>
  <si>
    <t>Instalaciones provisionales</t>
  </si>
  <si>
    <t>Servicios pùblicos y/o provisionales</t>
  </si>
  <si>
    <t>Papelería y Equipos de Oficina</t>
  </si>
  <si>
    <t>Papelería, tinta, fotocopias, copias heliograficas, planos, ploteos, fotografías, maquetas, grabaciones y otros)</t>
  </si>
  <si>
    <t>Planes celulares</t>
  </si>
  <si>
    <t xml:space="preserve">Planos record </t>
  </si>
  <si>
    <t>3.0</t>
  </si>
  <si>
    <t>GASTOS FIJOS OFICINA</t>
  </si>
  <si>
    <t>Gerente</t>
  </si>
  <si>
    <t>Asesor contable</t>
  </si>
  <si>
    <t>3.4</t>
  </si>
  <si>
    <t>Secretaría</t>
  </si>
  <si>
    <t>3.5</t>
  </si>
  <si>
    <t>Conductor</t>
  </si>
  <si>
    <t>3.6</t>
  </si>
  <si>
    <t>Vigilante</t>
  </si>
  <si>
    <t>3.7</t>
  </si>
  <si>
    <t>Profesional SST</t>
  </si>
  <si>
    <t>3.8</t>
  </si>
  <si>
    <t>Pago arriendo</t>
  </si>
  <si>
    <t>3.9</t>
  </si>
  <si>
    <t>Pago servicios públicos (Energia, agua y internet)</t>
  </si>
  <si>
    <t>3.10</t>
  </si>
  <si>
    <t>Planes celurares</t>
  </si>
  <si>
    <t>3.11</t>
  </si>
  <si>
    <t>Papeleria, fotocopias, equipos de computo</t>
  </si>
  <si>
    <t>4.0</t>
  </si>
  <si>
    <t>IMPUESTOS</t>
  </si>
  <si>
    <t>Base gravable</t>
  </si>
  <si>
    <t>4.1</t>
  </si>
  <si>
    <t>Impuesto 4*1000</t>
  </si>
  <si>
    <t>4.2</t>
  </si>
  <si>
    <t>Contribucion especial ley 1106</t>
  </si>
  <si>
    <t>4.3</t>
  </si>
  <si>
    <t>4.4</t>
  </si>
  <si>
    <t>4.5</t>
  </si>
  <si>
    <t>Estampilla Universidad de Envigado</t>
  </si>
  <si>
    <t>4.6</t>
  </si>
  <si>
    <t>Estampilla Adulto Mayor</t>
  </si>
  <si>
    <t>SUBTOTAL GASTOS ADMINISTRATIVOS</t>
  </si>
  <si>
    <t>VALOR TOTAL COSTOS DIRECTOS DE LA OBRA</t>
  </si>
  <si>
    <t>PORCENTAJE ADMINISTRACIÒN. [A]</t>
  </si>
  <si>
    <t>(A)</t>
  </si>
  <si>
    <t>UTILIDAD. [U]</t>
  </si>
  <si>
    <t>(U)</t>
  </si>
  <si>
    <t>SUBTOTAL AU</t>
  </si>
  <si>
    <t>PORCENTAJE TOTAL A.U.</t>
  </si>
  <si>
    <t>Cálculo del Subanalisis de AU. 
Gestión Social, Ambiental, Seguridad y Salud en el Trabajo, PMT</t>
  </si>
  <si>
    <t>1. COMPONENTE SOCIAL</t>
  </si>
  <si>
    <t>Accion Social</t>
  </si>
  <si>
    <t>Programa al cual pertenece en el PASAO</t>
  </si>
  <si>
    <t>Detalle</t>
  </si>
  <si>
    <t>Valor Unitario</t>
  </si>
  <si>
    <t>Valor Total</t>
  </si>
  <si>
    <t>SOCIALIZACION</t>
  </si>
  <si>
    <t>Programa de participación ciudadana</t>
  </si>
  <si>
    <t>Reuniones con comunidad inicio,avance y finde obra. Incluye refrigerio,sitio de reunión,silleteria y medio audiovisual requerido. (100 Personas)</t>
  </si>
  <si>
    <t>Un</t>
  </si>
  <si>
    <t>Reuniones y capacitaciones  comité ciudadano de obra. Esto incluye refrigerio, sitio de reunión, silleteria y medio audiovisual requerido.</t>
  </si>
  <si>
    <t>mes</t>
  </si>
  <si>
    <t>INFORMACION Y DIVULGACION</t>
  </si>
  <si>
    <t>Programa de información y comunicación a la comunidad</t>
  </si>
  <si>
    <t xml:space="preserve">Afiche según manual de imagen </t>
  </si>
  <si>
    <t>Volantes de obra: papel propalcote mate de 90 gramos, impreso por ambas caras a cuatro tintas, refilados, en tamaño media carta</t>
  </si>
  <si>
    <t>Buzón PQRS</t>
  </si>
  <si>
    <t>Carteleras informativas: madera o corcho de 1 metro x 90 cms.</t>
  </si>
  <si>
    <t>Papeleria y formatos ( conformacion de AZ con información social del contrato, atención a PQRS, actas de reuniones, etc)</t>
  </si>
  <si>
    <t>Global</t>
  </si>
  <si>
    <t>Pendones   institucionales   para  volquetas.   (De  2  x  1 metro)</t>
  </si>
  <si>
    <t>TOTAL COMPONENTE  SOCIAL</t>
  </si>
  <si>
    <t>2. SEGURIDAD INDUSTRIAL Y SALUD EN EL TRABAJO</t>
  </si>
  <si>
    <t>Accion SST</t>
  </si>
  <si>
    <t>Camilla de Emergencia Polietileno 185x45cm</t>
  </si>
  <si>
    <t>Botiquines para campamentos y Frentes de trabajo 18 Pulg.</t>
  </si>
  <si>
    <t>Botiquin tipo B morral 52x36x13cm ECO</t>
  </si>
  <si>
    <t>Suero sales hidratantes</t>
  </si>
  <si>
    <t>Caja por 30</t>
  </si>
  <si>
    <t>Insumos botiquines</t>
  </si>
  <si>
    <t>Unidades</t>
  </si>
  <si>
    <t>Sirena de alta potencia</t>
  </si>
  <si>
    <t>Juego de ferulas inmovilizadoras</t>
  </si>
  <si>
    <t>Extintor de Agente CO2 10 libras</t>
  </si>
  <si>
    <t>Extintor ABC 10 libras</t>
  </si>
  <si>
    <t>Recarga extintores</t>
  </si>
  <si>
    <t>Capacitacion de brigadas de emergencias (15 personas 10% del total del personal)</t>
  </si>
  <si>
    <t>Hr</t>
  </si>
  <si>
    <t>Señalizacion informativa, preventiva y de prohibición laminada o plastificada</t>
  </si>
  <si>
    <t>Unidades sanitarias portátiles</t>
  </si>
  <si>
    <t>Seguridad Industrial</t>
  </si>
  <si>
    <t>Chalecos para personal administrativo</t>
  </si>
  <si>
    <t>Chaleco reflectivo naranja para bandereros</t>
  </si>
  <si>
    <t>Uniformes de obras estampados según manual de imagen</t>
  </si>
  <si>
    <t>Botas de seguridad</t>
  </si>
  <si>
    <t>Cascos</t>
  </si>
  <si>
    <t>Protectores auditivos tipo inserción</t>
  </si>
  <si>
    <t xml:space="preserve">Protector auditivo tipo copa </t>
  </si>
  <si>
    <t>Monogafas Cirene Cyclops Oscura</t>
  </si>
  <si>
    <t>Guantes de vaqueta tipo ingeniero</t>
  </si>
  <si>
    <t>Guantes de Nitrilo corto Cal.6</t>
  </si>
  <si>
    <t>Guantes de Nitrilo largo</t>
  </si>
  <si>
    <t>Guantes de Caucho calibre 35</t>
  </si>
  <si>
    <t>Guantes de Nylon</t>
  </si>
  <si>
    <t>Barbuquejos</t>
  </si>
  <si>
    <t>Mascarilla industrial negra Eco</t>
  </si>
  <si>
    <t>Mascarilla   desechable   tipo  N95  o  equivalente   para material particulado</t>
  </si>
  <si>
    <t>Respirador Facial media cara  7500</t>
  </si>
  <si>
    <t>Filtro respirador 2097</t>
  </si>
  <si>
    <t>Careta para esmerilar</t>
  </si>
  <si>
    <t>Acrilico para careta de esmerilar</t>
  </si>
  <si>
    <t>Impermeable industrial delta T-L HT2 PIEZ</t>
  </si>
  <si>
    <t>Megafono 25w/110v</t>
  </si>
  <si>
    <t>Arnes multiproposito 4 argollas</t>
  </si>
  <si>
    <t>Und.</t>
  </si>
  <si>
    <t>Eslinga doble en Y sin Absorb.</t>
  </si>
  <si>
    <t>Eslinga doble en Y con Absorb.</t>
  </si>
  <si>
    <t>Cuerda Linea de vida comercial 13mm x 30 mts</t>
  </si>
  <si>
    <t>Cuerda Linea de vida comercial 13mm x 50 mts</t>
  </si>
  <si>
    <t>Mosquetones</t>
  </si>
  <si>
    <t>Frenos arrestrador 13mm ojo grande</t>
  </si>
  <si>
    <t>Escalera certificada 3 pasos</t>
  </si>
  <si>
    <t>TOTAL SEGURIDAD INDUSTRIAL Y SALUD EN EL TRABAJO</t>
  </si>
  <si>
    <t>3. PLAN DE GESTION AMBIENTAL</t>
  </si>
  <si>
    <t>Accion Ambiental</t>
  </si>
  <si>
    <t>MANEJO DE AGUAS SUPERFICIALES (LLUVIAS Y RESIDUALES)</t>
  </si>
  <si>
    <t>Prevencion de la contaminación de cuerpos de agua y redes de servicio publico</t>
  </si>
  <si>
    <t>Protección de Sumideros con tela verde</t>
  </si>
  <si>
    <t>Canecas  de  55  galones  para  disposición  de  residuos sólidos (no aprovechables, aprovechables y orgánicos)</t>
  </si>
  <si>
    <t>Canecas  de  5  galones  para  disposición  de  residuos sólidos  (oficinas  contratista  e interventoría  y almacén), (no aprovechables, aprovechables y orgánicos)</t>
  </si>
  <si>
    <t>Punto ecologico de 55 lts de 3 puestos para la separación de residuos (caneca verde, blanca y negra)</t>
  </si>
  <si>
    <t>Bolsas    plásticas    para    los    frentes    de    obra    (no aprovechables, aprovechables, orgánicos y peligrosos)</t>
  </si>
  <si>
    <t>Recolección de residuos sólidos especiales por parte de una empresa autorizada (m3)</t>
  </si>
  <si>
    <t>Costales de fibra para la recolección de residuos u otros elementos</t>
  </si>
  <si>
    <t>Señalizacion en sitios internos ( señalizacion laminada o plastificada)</t>
  </si>
  <si>
    <t>MANEJO DE SUSTANCIAS QUIMICAS</t>
  </si>
  <si>
    <t>Programa manejo de sustancias Quimicas</t>
  </si>
  <si>
    <t>Kit de emergencia para derrames químicos</t>
  </si>
  <si>
    <t>Bomba P/Extraer gasolina - Groz - ACPM x 55 Gl</t>
  </si>
  <si>
    <t>Extintor multiproposito ABC 10 lbs</t>
  </si>
  <si>
    <t>USO Y AHORRO DE AGUA Y ENERGIA</t>
  </si>
  <si>
    <t>Programa de uso y ahorro de agua y energia</t>
  </si>
  <si>
    <t>Señalización aluciva al ahorro de energia y agua</t>
  </si>
  <si>
    <t>Suministro e instalacion de dispositivos ahorradores para mangueras, llaves e hidrolavadora</t>
  </si>
  <si>
    <t>Manguera 1/2" para riego</t>
  </si>
  <si>
    <t>Alquiler de Hidrolavadora</t>
  </si>
  <si>
    <t>ALMACENAMIENTO MATERIALES DE CONSTRUCCION</t>
  </si>
  <si>
    <t>Programa Uso y almacenamiento adecuado de materiales de construcción</t>
  </si>
  <si>
    <t>Teleras  para  construcción  de  acopios  de  materiales como medida de protección del suelo</t>
  </si>
  <si>
    <t>Plásticos  y  elementos  de  protección  de  materiales  y escombros</t>
  </si>
  <si>
    <t>Rollo</t>
  </si>
  <si>
    <t>Teleras  para  cruces  y/o  senderos  peatonales,y  para protección de excavaciones</t>
  </si>
  <si>
    <t xml:space="preserve">Cinta reflectiva de peligro x 500 metros </t>
  </si>
  <si>
    <t>Señalización zonas de acopio laminada o plastificada</t>
  </si>
  <si>
    <t>EMISIONES ATMOSFERICAS</t>
  </si>
  <si>
    <t>Programa manejo de emisiones atmosfericas</t>
  </si>
  <si>
    <t>Cubierta para la zona de concretadora. Incluye largueros y plastico o lona</t>
  </si>
  <si>
    <t>Cubierta para la zona de cortadora. Incluye largueros y plastico o lona</t>
  </si>
  <si>
    <t>MANEJO DE CAMPAMENTOS</t>
  </si>
  <si>
    <t>Programa manejo de campamentos e instalaciones temporales</t>
  </si>
  <si>
    <t>Señalizacion de campamentos e instalaciones temporales (señalizacion laminada o plastificada)</t>
  </si>
  <si>
    <t>Malla tipo polisombra color naranja para delimitacion de zonas verdes y proteccion de árboles</t>
  </si>
  <si>
    <t>Largueros en madera para proteccion de arboles</t>
  </si>
  <si>
    <t>TOTAL GESTION AMBIENTAL</t>
  </si>
  <si>
    <t>4. PLAN DE MANEJO DE TRÁNSITO</t>
  </si>
  <si>
    <t>4.P.M.T</t>
  </si>
  <si>
    <t>SEÑALES PREVENTIVAS EN OBRAS</t>
  </si>
  <si>
    <t>SEÑALES REUTILIZABLES EN OTRAS OBRAS</t>
  </si>
  <si>
    <t>Suministro  de  señal  informativa  según  ficha  técnica marcada como Obra en la vía a 100 m</t>
  </si>
  <si>
    <t>Suministro   de   señal   informativa   móvil   según   ficha técnica marcada como Inicio de Obra</t>
  </si>
  <si>
    <t>Suministro   de   señal   informativa   móvil   según   ficha técnica marcada como Fin de Obra</t>
  </si>
  <si>
    <t>Suministro  de  señal  reglamentaria  móvil  según  ficha técnica Velocidad 20</t>
  </si>
  <si>
    <t>Suministro  de  barrera  plastica  flexible  (maletines  de 2x1x0.5m)</t>
  </si>
  <si>
    <t>Suministro señal Entrada y Salida de volquetas</t>
  </si>
  <si>
    <t>Suministro Señal auxiliar de transito</t>
  </si>
  <si>
    <t>Suministro de señal Transite con precaución</t>
  </si>
  <si>
    <t>Cepillos carreteros</t>
  </si>
  <si>
    <t xml:space="preserve">Chaleco reflectivo naranja </t>
  </si>
  <si>
    <t>Elaboración de PMT</t>
  </si>
  <si>
    <t xml:space="preserve">Silbato tipo transito </t>
  </si>
  <si>
    <t>Brazalete Brigadista</t>
  </si>
  <si>
    <t>TOTAL PLAN DE MANEJO DE TRANSITO</t>
  </si>
  <si>
    <t>VALOR TOTAL DEL PLAN DE GESTION SOCIAL, AMBIENTAL, SISO -(SISOMA)-, PMT</t>
  </si>
  <si>
    <t>ANÁLISIS DE PRECIOS UNITARIOS</t>
  </si>
  <si>
    <t xml:space="preserve">DESCRIPCIÓN: </t>
  </si>
  <si>
    <t>FECHA:</t>
  </si>
  <si>
    <t>UNIDAD:</t>
  </si>
  <si>
    <t>CANTIDAD:</t>
  </si>
  <si>
    <t>ITEM:</t>
  </si>
  <si>
    <t>MAQUINARIA, EQUIPO Y HERRAMIENTA</t>
  </si>
  <si>
    <t>DESCRIPCIÓN</t>
  </si>
  <si>
    <t>CANT. UNIT.</t>
  </si>
  <si>
    <t>PREC. UNIT.</t>
  </si>
  <si>
    <t>VR. PARCIAL</t>
  </si>
  <si>
    <t>Herramienta menor</t>
  </si>
  <si>
    <t>%mo</t>
  </si>
  <si>
    <t/>
  </si>
  <si>
    <t>SUBTOTAL MAQ, EQ Y HTA</t>
  </si>
  <si>
    <t>MATERIALES</t>
  </si>
  <si>
    <t>Taco Madera Común de 3" a 4"</t>
  </si>
  <si>
    <t>und</t>
  </si>
  <si>
    <t>Clavo Común  de 1" y 1½"</t>
  </si>
  <si>
    <t>lb</t>
  </si>
  <si>
    <t>Listón madera común de 2"x1"</t>
  </si>
  <si>
    <t>Alambre Negro Recocido calibre 17</t>
  </si>
  <si>
    <t>kg</t>
  </si>
  <si>
    <t>Concreto Grouting de 17.5 Mpa preparado en obra</t>
  </si>
  <si>
    <t>m³</t>
  </si>
  <si>
    <t>Tela Verde para Cerramiento 2,10m de ancho</t>
  </si>
  <si>
    <t>SUBTOTAL MATERIALES</t>
  </si>
  <si>
    <t>TRANSPORTES</t>
  </si>
  <si>
    <t>Acarreo interno de materiales</t>
  </si>
  <si>
    <t>SUBTOTAL TRANSPORTES</t>
  </si>
  <si>
    <t>MANO DE OBRA</t>
  </si>
  <si>
    <t>PREC.UNIT.</t>
  </si>
  <si>
    <t>Cuadrilla 1 OF + 1 Ayu entendido</t>
  </si>
  <si>
    <t>jor</t>
  </si>
  <si>
    <t>EXCAVACIÓN MANUAL de material heterogéneo DE 0-2 m., bajo cualquier grado de humedad. Incluye: roca descompuesta, bolas de roca de volumen inferior a 0.35 m³., el cargue, transporte interno y externo, botada de material proveniente de las excavaciones en los sitios donde lo indique la interventoría y su medida será en el sitio. No incluye entibado.</t>
  </si>
  <si>
    <t>OBSERVACIONES</t>
  </si>
  <si>
    <t>SUBTOTAL MANO DE OBRA</t>
  </si>
  <si>
    <t>TOTAL COSTO DIRECTO</t>
  </si>
  <si>
    <t>Herramienta menor (5% M.O)</t>
  </si>
  <si>
    <t>(%)mo</t>
  </si>
  <si>
    <t>Taladro demoledor</t>
  </si>
  <si>
    <t>día</t>
  </si>
  <si>
    <t>Extensión eléctrica encauchetada 2 lineas</t>
  </si>
  <si>
    <t>Andamio de carga certificado marco de 1.00 x 1.50 (alto X ancho)</t>
  </si>
  <si>
    <t>Can zunchado en madera común de 5,0cmx20cmx3,0m (alquiler). Incluye transporte.</t>
  </si>
  <si>
    <t>Costal de fibra</t>
  </si>
  <si>
    <t>Cargue (Paleros), transporte de materiales y derechos de botadero y/o almacenamiento en bodega.</t>
  </si>
  <si>
    <t>Transporte interno de materiales</t>
  </si>
  <si>
    <t>Cuadrilla demoliciones (1 Of + 2 Ayu)</t>
  </si>
  <si>
    <t xml:space="preserve"> MATERIALES</t>
  </si>
  <si>
    <t>REND-CANTID</t>
  </si>
  <si>
    <t>1,1,4</t>
  </si>
  <si>
    <t>Andamio certificado</t>
  </si>
  <si>
    <t>Cuadrilla de retiros</t>
  </si>
  <si>
    <t>1,1,5</t>
  </si>
  <si>
    <t>1,1,6</t>
  </si>
  <si>
    <t>%MO</t>
  </si>
  <si>
    <t>Motobomba Eléctrica Sumergible 2" - 30m prof. Incluye manguera flexible 2" (26m), extensión eléctrica encauchetada (50m) y transporte.</t>
  </si>
  <si>
    <t>Cargue, transporte de material y derecho de botadero.</t>
  </si>
  <si>
    <t>Ayudante</t>
  </si>
  <si>
    <t>Vibrador de concreto eléctrico a 110v (alquiler). Tipo aguja</t>
  </si>
  <si>
    <t>Concreto de 28 Mpa preparado en obra</t>
  </si>
  <si>
    <t>Sika plastocrete</t>
  </si>
  <si>
    <t>Sika fibranikon</t>
  </si>
  <si>
    <t>Tabla 1.7 x 0.2</t>
  </si>
  <si>
    <t>Clavo 1"</t>
  </si>
  <si>
    <t>Acarreos Internos</t>
  </si>
  <si>
    <t>Cuadrilla de vaciado de estructuras</t>
  </si>
  <si>
    <t>Cizalla</t>
  </si>
  <si>
    <t>hr</t>
  </si>
  <si>
    <t>Malla d84</t>
  </si>
  <si>
    <t>Alambre recocido C 18</t>
  </si>
  <si>
    <t>Transporte de acero( descargue y transporte interno)</t>
  </si>
  <si>
    <t>Andamio carga 1x1,5 certificado</t>
  </si>
  <si>
    <t>Cortadora de ladrillo / disco y operador</t>
  </si>
  <si>
    <t>Mortero 1:5 en obra + cal</t>
  </si>
  <si>
    <t>Sika 1 - impermeabilizante integral - morteros - concretos.  Presentacion: 1kg. Rendimiento: 1kl x 1 bulto de cemento  o el 3% del peso del cemento</t>
  </si>
  <si>
    <t>Cuadrilla 1 Of + 1 Ayu</t>
  </si>
  <si>
    <t>Jor</t>
  </si>
  <si>
    <t>Lija 400</t>
  </si>
  <si>
    <t>Estopa</t>
  </si>
  <si>
    <t>Estuka Acrílico. Estuco plástico listo para usar en interiores y exteriores. Presentación: 5gl, Rendimiento:2kg/m2 ó 4 m2/galon.</t>
  </si>
  <si>
    <t>1,5,3</t>
  </si>
  <si>
    <t>Estucor</t>
  </si>
  <si>
    <t>gln</t>
  </si>
  <si>
    <t>Pintuta vinilo T1</t>
  </si>
  <si>
    <t>Pintura acrílica tipo Koraza o equivalente, 5 galones, Rendimiento 20m2/gl</t>
  </si>
  <si>
    <t>Sellomax tipo Pintuco o equivalente, rend 18m2/gal a 2 manos</t>
  </si>
  <si>
    <t>Sika seal 119</t>
  </si>
  <si>
    <t xml:space="preserve"> PREC. UNIT.</t>
  </si>
  <si>
    <t>Abrazadera de 2" a 4" con tornilos, aranderas y varilla anclaje</t>
  </si>
  <si>
    <t>Cuadrilla fontaneria</t>
  </si>
  <si>
    <t>Andamio completo + ruedas</t>
  </si>
  <si>
    <t>Tubería PVC-S Ø= 4"</t>
  </si>
  <si>
    <t>Unión PVC-S Ø= 4"</t>
  </si>
  <si>
    <t>Codo 45º PVC-S CxC, Ø= 4".</t>
  </si>
  <si>
    <t>Codo 90º PVC-S CxC, Ø= 4".</t>
  </si>
  <si>
    <t>Yee PVC-S Ø= 4" - Pavco o equivalente.</t>
  </si>
  <si>
    <t>Yee PVC-S Reducida Ø= 4X3" pavco o equivalente</t>
  </si>
  <si>
    <t>Yee PVC-S Reducida Ø= 4X2" pavco o equivalente</t>
  </si>
  <si>
    <t>Tee PVC-S Ø= 4"</t>
  </si>
  <si>
    <t>Tee PVC-S Ø= 4"x3"</t>
  </si>
  <si>
    <t>Abrazadera tipo fijador galvanizado para tubo de Ø= 4" + tornillos marca mecano ref FPAG400 o equivale</t>
  </si>
  <si>
    <t>Pintura acondicionador de superficies Tipo Wash Primer, componente B. Presentación por 1/4 galón</t>
  </si>
  <si>
    <t>Esmalte a Base de Aceite, Rendimiento 30m2/gl</t>
  </si>
  <si>
    <t>Limpiador Removedor PVC x 1/4 de galón.</t>
  </si>
  <si>
    <t>Soldadura PVC (Unión simple) 1/4</t>
  </si>
  <si>
    <t xml:space="preserve">un </t>
  </si>
  <si>
    <t>Teja en mlámina galvanizada de calibre 26", tipo standing seam ancho 0,50</t>
  </si>
  <si>
    <t>Tornillos autopeforante de 2/4</t>
  </si>
  <si>
    <t>Clips en lámina galbanizada calibre 22</t>
  </si>
  <si>
    <t xml:space="preserve">Pernos de 1/2 x 3" </t>
  </si>
  <si>
    <t xml:space="preserve">Tubería de 8X8 de 2mm </t>
  </si>
  <si>
    <t>ml</t>
  </si>
  <si>
    <t xml:space="preserve">Pintura antocorriva </t>
  </si>
  <si>
    <t>gl</t>
  </si>
  <si>
    <t xml:space="preserve">Pintura 3 en 1 pintuco para acbado en esmalte </t>
  </si>
  <si>
    <t>Thiner corriente</t>
  </si>
  <si>
    <t>kl</t>
  </si>
  <si>
    <t xml:space="preserve">Caballete en lámina de calibre 26 </t>
  </si>
  <si>
    <t xml:space="preserve">Platinas 2,5mm en hierro </t>
  </si>
  <si>
    <t xml:space="preserve">Soldaura </t>
  </si>
  <si>
    <t>Kg</t>
  </si>
  <si>
    <t>Cuadrilla Cubierta</t>
  </si>
  <si>
    <t>Equipo de soldadura eléctrica Lincoln AC-225 GLM 110 v. Incluye transporte.</t>
  </si>
  <si>
    <t>Canoa Galvanizada Cal.24, L= 1.20 m.</t>
  </si>
  <si>
    <t>Pintura anticorrosivo gris. Pintuco</t>
  </si>
  <si>
    <t>Disolvente para Pinturas a Base de Aceite.</t>
  </si>
  <si>
    <t>Embudo galvanizado Calibre 24</t>
  </si>
  <si>
    <t>Soporte de canoa</t>
  </si>
  <si>
    <t>Tornillo Autoperforante zincado cabeza hezagonal Nº 10-16-3/4" con arandela de neopreno.</t>
  </si>
  <si>
    <t>Cuadrillla latoneria</t>
  </si>
  <si>
    <t>Anticorrosivo alquidico</t>
  </si>
  <si>
    <t>Cargue, transporte y botada de escombros</t>
  </si>
  <si>
    <t>.1.7.5</t>
  </si>
  <si>
    <t>Ruana lamina galvanizada</t>
  </si>
  <si>
    <t>Tornillo 10-16-3/4</t>
  </si>
  <si>
    <t>Pintura anticorrosiva verde</t>
  </si>
  <si>
    <t>Esmalte base aceite</t>
  </si>
  <si>
    <t>Disolvente pint base aciete</t>
  </si>
  <si>
    <t>Mortero 1:5</t>
  </si>
  <si>
    <t>Emulsion asfaltica sika</t>
  </si>
  <si>
    <t>Champu neutro 20L</t>
  </si>
  <si>
    <t>Sellos y accesorios</t>
  </si>
  <si>
    <t>tubería sanitaria de 3"</t>
  </si>
  <si>
    <t>Tubería sanitaria de 4"</t>
  </si>
  <si>
    <t>Tubería sanitaria de 6"</t>
  </si>
  <si>
    <t>Baldosa existente</t>
  </si>
  <si>
    <t>Mortero 1:5 en obra</t>
  </si>
  <si>
    <t xml:space="preserve">Herramienta menor </t>
  </si>
  <si>
    <t>% mo</t>
  </si>
  <si>
    <t>Mortero 1:4</t>
  </si>
  <si>
    <t>Tabla madera comun</t>
  </si>
  <si>
    <t>Lagrimal prefabricado 30cm</t>
  </si>
  <si>
    <t>Compactador canguro</t>
  </si>
  <si>
    <t>Base granular</t>
  </si>
  <si>
    <t>Transporte de ventiladores donde disponga interventoría</t>
  </si>
  <si>
    <t>Piso en gres</t>
  </si>
  <si>
    <t>Toma doble + Polo a tierra</t>
  </si>
  <si>
    <t>Tubería EMT 1"</t>
  </si>
  <si>
    <t>Curva EMT 1"</t>
  </si>
  <si>
    <t>Unión EMT 1"</t>
  </si>
  <si>
    <t>Adaptador EMT 1"</t>
  </si>
  <si>
    <t>Caja  20x20</t>
  </si>
  <si>
    <t>Conector de empalme.</t>
  </si>
  <si>
    <t>Cable N° 6</t>
  </si>
  <si>
    <t>Cable N° 8</t>
  </si>
  <si>
    <t>Grapa doble ala de 1/2". incluye el chazo y el tornillo</t>
  </si>
  <si>
    <t xml:space="preserve">Cuadrilla electrica </t>
  </si>
  <si>
    <t>Tubería EMT 1 1/2"</t>
  </si>
  <si>
    <t>Curva EMT 1 1/2"</t>
  </si>
  <si>
    <t>Unión EMT 1 1/2"</t>
  </si>
  <si>
    <t>Adaptador EMT 1 1/2"</t>
  </si>
  <si>
    <t>Tubería IMC 1/2"</t>
  </si>
  <si>
    <t>Curva IMC 1/2"</t>
  </si>
  <si>
    <t>Unión IMC 1/2"</t>
  </si>
  <si>
    <t>Adaptador IMC 1/2"</t>
  </si>
  <si>
    <t>Breaker totalizador bifasico de 125 AMP</t>
  </si>
  <si>
    <t>Breaker totalizador bifasico de 60 AMP</t>
  </si>
  <si>
    <t>Breaker totalizador bifasico de 75 AMP</t>
  </si>
  <si>
    <t>Cable THW Nro 4</t>
  </si>
  <si>
    <t>Terminal ponchar Nro 4</t>
  </si>
  <si>
    <t>Breaker Legrand Enchufable 2X30A</t>
  </si>
  <si>
    <t>Breaker Legrand Enchufable 2X20A</t>
  </si>
  <si>
    <t>Varilla puesta a tierra cobre 2.4 m</t>
  </si>
  <si>
    <t>Grapa copperweld</t>
  </si>
  <si>
    <t>Cable N 6 Cobre desnudo</t>
  </si>
  <si>
    <t>Toma Doble Polo A Tierra Gfci 15Amperios Clickme Blanco</t>
  </si>
  <si>
    <t>2,1,1</t>
  </si>
  <si>
    <t>Transporte de material en volqueta+paleros+derecho botada</t>
  </si>
  <si>
    <t>Compresor 1 Martillo – Operario/Combustible-Hora</t>
  </si>
  <si>
    <t>Pulidora manual eléctrica con disco</t>
  </si>
  <si>
    <t>Retroexcavadora</t>
  </si>
  <si>
    <t>Acarreo internode materiales</t>
  </si>
  <si>
    <t>Pintura esmalte</t>
  </si>
  <si>
    <t>Pintura base anticorrosiva</t>
  </si>
  <si>
    <t>Hidrolavadora eléctrica</t>
  </si>
  <si>
    <t>Acido nitrico 20 litros</t>
  </si>
  <si>
    <t>Hidrosolve</t>
  </si>
  <si>
    <t>Baldosa gres</t>
  </si>
  <si>
    <t>Grapas</t>
  </si>
  <si>
    <t>Malla nylon color negro inpermeabilizada +  soportes</t>
  </si>
  <si>
    <t>puerta metálica, un (1)   ala   batiente   en   lámina   cold   rolled   calibre   18, entamborada    lisa,    rellena    con    porón    (poliuretano expandido),  con  bastidor  perimetral  en  tubería  PTS  de 40x40x2 mm. y refuerzos horizontales en tubería metálica de  40x40x2  mm.,  marco  metálico  en  lámina  cold  rolled calibre 18 color establecido por interventoria,  Incluye  dos (2) manijas en acero inoxidable de Ø= 3/4" L= 250 mm., cerradura de seguridad calidad ref OLIMPIA PH1206-AL ó equivalente,  cuatro(4)  bisagras  metálicas  de  taco  para trabajo  pesado  de  ½"  ,  soldadura,  pintura  anticorrosiva gris, pintura a base de aceite color ref.  astro lunar NE277- P de pintuco o similar  y todo lo necesario para su correcta instalación y funcionamiento. P-1   0.60/0.75 x 2.10 m</t>
  </si>
  <si>
    <t>pintura epoxica pintucoat presentación 4,5 galones</t>
  </si>
  <si>
    <t>Concreto 21mpa</t>
  </si>
  <si>
    <t>M2</t>
  </si>
  <si>
    <t>UN</t>
  </si>
  <si>
    <t>Malla y tablero baloncesto</t>
  </si>
  <si>
    <t>M3</t>
  </si>
  <si>
    <t>Mortero 1:5: espesor máximo 3cm</t>
  </si>
  <si>
    <t>Reflector Led Jeta PRO 400W 6500K</t>
  </si>
  <si>
    <t>Cableado en general</t>
  </si>
  <si>
    <t>Gl</t>
  </si>
  <si>
    <t>Acarreo interno materiales</t>
  </si>
  <si>
    <t>Vulkem 45</t>
  </si>
  <si>
    <t>Cuñete</t>
  </si>
  <si>
    <t>Metic lastic plus</t>
  </si>
  <si>
    <t xml:space="preserve">Transporte </t>
  </si>
  <si>
    <t>viaje</t>
  </si>
  <si>
    <t xml:space="preserve">MANO DE OBRA </t>
  </si>
  <si>
    <t>N°</t>
  </si>
  <si>
    <t>CONCEPTO</t>
  </si>
  <si>
    <t>SALARIO 
MENSUAL</t>
  </si>
  <si>
    <t>VALOR DÍA</t>
  </si>
  <si>
    <t>Oficial</t>
  </si>
  <si>
    <t>Comisión topografica</t>
  </si>
  <si>
    <t>dia</t>
  </si>
  <si>
    <t>Ingeniero Ambiental</t>
  </si>
  <si>
    <t>Ayudante Acarreo interno</t>
  </si>
  <si>
    <t>Cuadrilla excavacion de pilas</t>
  </si>
  <si>
    <t>Ayudante entendido</t>
  </si>
  <si>
    <t>Cuadrilla (1 Of + 1 Ayu entendido + 1 Ayu)</t>
  </si>
  <si>
    <t>Cuadrilla Pavimento (1encargado + 2 rastrilleros + 1 ligador + 6 ayudantes)</t>
  </si>
  <si>
    <t>Oficial Encargado</t>
  </si>
  <si>
    <t>Rastrillero</t>
  </si>
  <si>
    <t>Ligador</t>
  </si>
  <si>
    <t>Cuadrilla Estructura Metálica 1 Of + 2 Ay</t>
  </si>
  <si>
    <t>Oficial Est metalica</t>
  </si>
  <si>
    <t>Cuadrilla red gas</t>
  </si>
  <si>
    <t>Oficial gas</t>
  </si>
  <si>
    <t>Ayudante gas</t>
  </si>
  <si>
    <t>Oficial electrico</t>
  </si>
  <si>
    <t>Ingeniero de proyectos electricos</t>
  </si>
  <si>
    <t>Cuadrilla de vaciado de concreto para pilas</t>
  </si>
  <si>
    <t>Ayudante entendido x6</t>
  </si>
  <si>
    <t>Cuadrilla instalación</t>
  </si>
  <si>
    <t>Oficial (2) marcacion de puntos de control y asistencia al proveedor</t>
  </si>
  <si>
    <t>Ayudante (3) marcacion de puntos de control y asistencia al proveedor</t>
  </si>
  <si>
    <t>Ayudante (2) cargue de material</t>
  </si>
  <si>
    <t>Ayudante (8) control vehicular</t>
  </si>
  <si>
    <t>Comisión topográfica (incluye personal equipos y tte)</t>
  </si>
  <si>
    <t>Cuadrilla electrica (6)</t>
  </si>
  <si>
    <t>Cuadrilla 1 OF + 3 Ayu</t>
  </si>
  <si>
    <t>Cargue con paleros (2)</t>
  </si>
  <si>
    <t>Cuadrilla mamposteria</t>
  </si>
  <si>
    <t>Cuadrilla enchape</t>
  </si>
  <si>
    <t>Jardinero</t>
  </si>
  <si>
    <t>Paleros (2)</t>
  </si>
  <si>
    <t>Profesional arquitectura e ingenieria</t>
  </si>
  <si>
    <r>
      <t xml:space="preserve">EMPRESA DE VIVIENDA Y DESARROLLO URBANO Y RURAL DEL MUNICIPIO DE ENVIGADO “DESur”
</t>
    </r>
    <r>
      <rPr>
        <sz val="16"/>
        <color theme="1"/>
        <rFont val="Swis721 LtCn BT"/>
        <family val="2"/>
      </rPr>
      <t>PROCESO GESTIÓN Y ADMINISTRACIÓN DE PROYECTOS</t>
    </r>
  </si>
  <si>
    <r>
      <rPr>
        <b/>
        <sz val="14"/>
        <color theme="1"/>
        <rFont val="Swis721 LtCn BT"/>
        <family val="2"/>
      </rPr>
      <t>CÓDIGO</t>
    </r>
    <r>
      <rPr>
        <sz val="14"/>
        <color theme="1"/>
        <rFont val="Swis721 LtCn BT"/>
        <family val="2"/>
      </rPr>
      <t>: M-GPMO-F-01</t>
    </r>
  </si>
  <si>
    <t xml:space="preserve">FORMATO PRESUPUESTO </t>
  </si>
  <si>
    <t>APROBADO</t>
  </si>
  <si>
    <t xml:space="preserve">TABLA SALARIAL </t>
  </si>
  <si>
    <t>SMMLV (2025)</t>
  </si>
  <si>
    <t>SUBSIDIO DE TRANSPORTE</t>
  </si>
  <si>
    <t>F.P</t>
  </si>
  <si>
    <t xml:space="preserve">CARGO/
EXPERIENCIA </t>
  </si>
  <si>
    <t>EXPERIENCIA GENERAL (AÑOS)</t>
  </si>
  <si>
    <t>EXPERIENCIA ESPECIFICA (AÑOS)</t>
  </si>
  <si>
    <t>Nº SMMLV</t>
  </si>
  <si>
    <t>VALOR SMMLV</t>
  </si>
  <si>
    <t xml:space="preserve">SALARIO BASE </t>
  </si>
  <si>
    <t>DIRECTOR
CATEGORIA 1</t>
  </si>
  <si>
    <t>DIRECTOR
CATEGORIA 2</t>
  </si>
  <si>
    <t>DIRECTOR
CATEGORIA 3</t>
  </si>
  <si>
    <t>DIRECTOR
CATEGORIA 4</t>
  </si>
  <si>
    <t>DIRECTOR
CATEGORIA 5</t>
  </si>
  <si>
    <t>DIRECTOR
CATEGORIA 6</t>
  </si>
  <si>
    <t>DIRECTOR
CATEGORIA 7</t>
  </si>
  <si>
    <t>RESIDENTE
CATEGORIA 1</t>
  </si>
  <si>
    <t>RESIDENTE
CATEGORIA 2</t>
  </si>
  <si>
    <t>RESIDENTE
CATEGORIA 3</t>
  </si>
  <si>
    <t>-</t>
  </si>
  <si>
    <t>RESIDENTE
CATEGORIA 4</t>
  </si>
  <si>
    <t xml:space="preserve">&lt; 2 </t>
  </si>
  <si>
    <t>RESIDENTE
CATEGORIA 5</t>
  </si>
  <si>
    <t>TECNÓLOGO ÁREA DE INGENIERIA</t>
  </si>
  <si>
    <t xml:space="preserve">AUXILIAR DE INGENIERÍA </t>
  </si>
  <si>
    <t>MAESTRO DE OBRA</t>
  </si>
  <si>
    <t>ALMACENISTA</t>
  </si>
  <si>
    <t>AYUDANTE POR ADMINISTRACIÓN</t>
  </si>
  <si>
    <t xml:space="preserve">SECRETARIA </t>
  </si>
  <si>
    <t>PRESTACIONES, SEGURIDAD SOCIAL Y PARAFISCALES AÑO 2025</t>
  </si>
  <si>
    <t>SEGURIDAD SOCIAL</t>
  </si>
  <si>
    <t>%TOTAL</t>
  </si>
  <si>
    <t xml:space="preserve">%EMPLEADOR </t>
  </si>
  <si>
    <t>%EMPLEADO</t>
  </si>
  <si>
    <t>SALUD</t>
  </si>
  <si>
    <t>PENSIONES</t>
  </si>
  <si>
    <t>RIESGOS</t>
  </si>
  <si>
    <t>TOTAL</t>
  </si>
  <si>
    <t>PARAFISCALES</t>
  </si>
  <si>
    <t>SENA</t>
  </si>
  <si>
    <t>ICBF</t>
  </si>
  <si>
    <t>CAJA DE COMPENSACION</t>
  </si>
  <si>
    <t>PRESTACIONES SOCIALES</t>
  </si>
  <si>
    <t>CESANTIAS</t>
  </si>
  <si>
    <t xml:space="preserve">INTERESES CESANTIAS </t>
  </si>
  <si>
    <t>VACACIONES</t>
  </si>
  <si>
    <t xml:space="preserve">PRIMA </t>
  </si>
  <si>
    <t xml:space="preserve">ACUMULADO SEGURIDAD SOCIAL + PRESTACIONES SOCIALES </t>
  </si>
  <si>
    <r>
      <t xml:space="preserve">CÓDIGO: </t>
    </r>
    <r>
      <rPr>
        <sz val="11"/>
        <color theme="1"/>
        <rFont val="Calibri"/>
        <family val="2"/>
        <scheme val="minor"/>
      </rPr>
      <t>M-GPMO-F-01</t>
    </r>
  </si>
  <si>
    <t>FORMATO PRESUPUESTOS</t>
  </si>
  <si>
    <t>PÓLIZAS CONTRATO DE OBRA</t>
  </si>
  <si>
    <t>SALARIO MINIMO 2026 ($)</t>
  </si>
  <si>
    <t>VALOR DEL CONTRATO ($)</t>
  </si>
  <si>
    <t xml:space="preserve">PLAZO DEL CONTRATO (Días) </t>
  </si>
  <si>
    <t>ANTICIPO (%)</t>
  </si>
  <si>
    <t>ANTICIPO ($)</t>
  </si>
  <si>
    <t>TIPO DE GARANTÍA</t>
  </si>
  <si>
    <t>VALOR ASEGURADO</t>
  </si>
  <si>
    <t>COBERTURA       (Días )</t>
  </si>
  <si>
    <t>TASA anual</t>
  </si>
  <si>
    <t>PRIMA</t>
  </si>
  <si>
    <t>%</t>
  </si>
  <si>
    <t>VALOR</t>
  </si>
  <si>
    <t>Cumplimiento</t>
  </si>
  <si>
    <t>Estabilidad y Calidad de la Obras</t>
  </si>
  <si>
    <t>Calidad y correcto funcionamiento de los bienes</t>
  </si>
  <si>
    <t>Salarios y Prestaciones Sociales</t>
  </si>
  <si>
    <t>Responsabilidad Civil</t>
  </si>
  <si>
    <t>Calidad del servicio</t>
  </si>
  <si>
    <t>Buen manejo y correcta inversión del anticipo</t>
  </si>
  <si>
    <t>SUBTOTAL PRIMA</t>
  </si>
  <si>
    <t>GASTOS DE EXPEDICIÓN</t>
  </si>
  <si>
    <t>IVA (19%)</t>
  </si>
  <si>
    <t>TOTAL PÓLIZAS</t>
  </si>
  <si>
    <t>RELACIÓN</t>
  </si>
  <si>
    <t xml:space="preserve"> </t>
  </si>
  <si>
    <t>RESPONSABILIDAD CIVIL EXTRACONTRACTUAL</t>
  </si>
  <si>
    <t xml:space="preserve">RANGO SMMLV </t>
  </si>
  <si>
    <t>SMMLV</t>
  </si>
  <si>
    <t>RANGO</t>
  </si>
  <si>
    <t>200 SMMLV</t>
  </si>
  <si>
    <t>&gt;= 1500 SMMLV</t>
  </si>
  <si>
    <t>&gt;</t>
  </si>
  <si>
    <t>300 SMMLV</t>
  </si>
  <si>
    <t>1.500 SMMLV &gt;= 2.500 SMMLV</t>
  </si>
  <si>
    <t>&gt;=</t>
  </si>
  <si>
    <t>400 SMMLV</t>
  </si>
  <si>
    <t>2.500 SMMLV &gt;= 5.000 SMMLV</t>
  </si>
  <si>
    <t>500 SMMLV</t>
  </si>
  <si>
    <t>5.000 SMMLV &gt;= 10.000 SMMLV</t>
  </si>
  <si>
    <t>5% VALOR TOTAL CONTRATO</t>
  </si>
  <si>
    <t>&lt; 10.000 SMMLV</t>
  </si>
  <si>
    <t>&lt;</t>
  </si>
  <si>
    <r>
      <t xml:space="preserve">CÓDIGO: </t>
    </r>
    <r>
      <rPr>
        <sz val="14"/>
        <color theme="1"/>
        <rFont val="Calibri"/>
        <family val="2"/>
        <scheme val="minor"/>
      </rPr>
      <t>M-GPMO-F-01</t>
    </r>
  </si>
  <si>
    <t>ÍNDICES DE CAMACOL</t>
  </si>
  <si>
    <t xml:space="preserve">CONCEPTO </t>
  </si>
  <si>
    <t xml:space="preserve">COÓIGO </t>
  </si>
  <si>
    <t>VARIACIÓN ANUAL 2005</t>
  </si>
  <si>
    <t>VARIACIÓN ANUAL 2006</t>
  </si>
  <si>
    <t xml:space="preserve">VARIACIÓN ANUAL 2007 </t>
  </si>
  <si>
    <t>VARIACIÓN ANUAL 2008</t>
  </si>
  <si>
    <t>VARIACIÓN ANUAL 2009</t>
  </si>
  <si>
    <t>VARIACIÓN ANUAL 2010</t>
  </si>
  <si>
    <t>VARIACIÓN ANUAL 2011</t>
  </si>
  <si>
    <t>VARIACIÓN ANUAL 2012</t>
  </si>
  <si>
    <t>VARIACIÓN ANUAL 2013</t>
  </si>
  <si>
    <t>VARIACIÓN ANUAL 2014</t>
  </si>
  <si>
    <t>VARIACIÓN ANUAL 2015</t>
  </si>
  <si>
    <t>VARIACIÓN ANUAL 2016</t>
  </si>
  <si>
    <t>VARIACIÓN ANUAL 2017</t>
  </si>
  <si>
    <t>VARIACIÓN ANUAL 2018</t>
  </si>
  <si>
    <t>VARIACIÓN ANUAL 2019</t>
  </si>
  <si>
    <t>VARIACIÓN ANUAL 2020</t>
  </si>
  <si>
    <t>VARIACIÓN ANUAL 2021</t>
  </si>
  <si>
    <t>VARIACIÓN ANUAL 2022</t>
  </si>
  <si>
    <t>VARIACIÓN ANUAL 2023</t>
  </si>
  <si>
    <t>VARIACIÓN ANUAL 2024</t>
  </si>
  <si>
    <t>VARIACIÓN ANUAL 2025</t>
  </si>
  <si>
    <t xml:space="preserve">TOTAL MANO DE OBRA </t>
  </si>
  <si>
    <t>TMO</t>
  </si>
  <si>
    <t>9.89</t>
  </si>
  <si>
    <t xml:space="preserve">CEMENTO </t>
  </si>
  <si>
    <t>CE</t>
  </si>
  <si>
    <t xml:space="preserve">CONCRETO PREMEZCLADO </t>
  </si>
  <si>
    <t xml:space="preserve">CO </t>
  </si>
  <si>
    <t>PREFABRICADOS</t>
  </si>
  <si>
    <t>PR</t>
  </si>
  <si>
    <t xml:space="preserve">AGREGADOS MINERALES </t>
  </si>
  <si>
    <t>AM</t>
  </si>
  <si>
    <t>HIERRO</t>
  </si>
  <si>
    <t>HI</t>
  </si>
  <si>
    <t>MADERA PARA CONSTRUCCIÓN</t>
  </si>
  <si>
    <t>MA</t>
  </si>
  <si>
    <t xml:space="preserve">MATERIALES PARA MAMPOSTERIA </t>
  </si>
  <si>
    <t>MM</t>
  </si>
  <si>
    <t>MAT.INST.HIDRAULICA SANITARIA</t>
  </si>
  <si>
    <t>IHS</t>
  </si>
  <si>
    <t>INST. ELECTRICA Y TELEFONICA</t>
  </si>
  <si>
    <t>IET</t>
  </si>
  <si>
    <t>MATERIALES PARA CUBIERTA</t>
  </si>
  <si>
    <t>MC</t>
  </si>
  <si>
    <t xml:space="preserve">TOTAL MATERIALES OBRA 
NEGRA </t>
  </si>
  <si>
    <t>TMON</t>
  </si>
  <si>
    <t xml:space="preserve">PISOS </t>
  </si>
  <si>
    <t>PIS</t>
  </si>
  <si>
    <t>CARPINTERIA DE MADERA</t>
  </si>
  <si>
    <t>CMA</t>
  </si>
  <si>
    <t>CARPINTERIA METALICA</t>
  </si>
  <si>
    <t xml:space="preserve">CM </t>
  </si>
  <si>
    <t xml:space="preserve">APARATOS SANITARIOS </t>
  </si>
  <si>
    <t>AS</t>
  </si>
  <si>
    <t>PINTURAS</t>
  </si>
  <si>
    <t xml:space="preserve">PI </t>
  </si>
  <si>
    <t xml:space="preserve">INSTALACIONES ESPECIALES </t>
  </si>
  <si>
    <t xml:space="preserve">IE </t>
  </si>
  <si>
    <t xml:space="preserve">ENCHAPES </t>
  </si>
  <si>
    <t>EN</t>
  </si>
  <si>
    <t xml:space="preserve">TOTAL MATERIALES ACABADOS </t>
  </si>
  <si>
    <t>TMA</t>
  </si>
  <si>
    <t xml:space="preserve">HERRAMIENTAS </t>
  </si>
  <si>
    <t>HE</t>
  </si>
  <si>
    <t xml:space="preserve">EQUIPO </t>
  </si>
  <si>
    <t>EQ</t>
  </si>
  <si>
    <t>TOTAL HERRAMIENTAS Y EQUIPO</t>
  </si>
  <si>
    <t>THE</t>
  </si>
  <si>
    <t xml:space="preserve">TOTAL MATERIALES </t>
  </si>
  <si>
    <t>TM</t>
  </si>
  <si>
    <t xml:space="preserve">COSTO TOTAL DE EDIFICACIÒN </t>
  </si>
  <si>
    <t>CTE</t>
  </si>
  <si>
    <t xml:space="preserve">ACCESORIOS DE BRONCE </t>
  </si>
  <si>
    <t>ACC.BR</t>
  </si>
  <si>
    <t xml:space="preserve">ACCESORIOS DE HIERRO FUNDIDO </t>
  </si>
  <si>
    <t>ACC.HF</t>
  </si>
  <si>
    <t>AFIRMADOS-BASE GRANULAR (*)</t>
  </si>
  <si>
    <t>AF</t>
  </si>
  <si>
    <t>AISLADORES</t>
  </si>
  <si>
    <t>AIS</t>
  </si>
  <si>
    <t>ALAMBRE (COBRE Y ALUMINIO)</t>
  </si>
  <si>
    <t>ALM</t>
  </si>
  <si>
    <t>ALAMBRE DE COBRE</t>
  </si>
  <si>
    <t>ACU</t>
  </si>
  <si>
    <t xml:space="preserve">ALAMBRES DE ALUMINIO </t>
  </si>
  <si>
    <t>AL.AL</t>
  </si>
  <si>
    <t>ALCANTARILLADOS (*)</t>
  </si>
  <si>
    <t>AL</t>
  </si>
  <si>
    <t xml:space="preserve">ALUMBRADO PÚBLICO </t>
  </si>
  <si>
    <t>ALP</t>
  </si>
  <si>
    <t>ANDENES, CUNETAS Y CORDONES (*)</t>
  </si>
  <si>
    <t>ACC</t>
  </si>
  <si>
    <t>ASA</t>
  </si>
  <si>
    <t xml:space="preserve">ASFALTO DE PENETRACIÓN </t>
  </si>
  <si>
    <t>ASP</t>
  </si>
  <si>
    <t xml:space="preserve">BLOQUE DE CONCRETO PARA MAMPOSTERIA </t>
  </si>
  <si>
    <t>BLC</t>
  </si>
  <si>
    <t xml:space="preserve">CABLE DE ALUMINIO DESNUDO </t>
  </si>
  <si>
    <t>CAD</t>
  </si>
  <si>
    <t xml:space="preserve">CABLE DE ALUMINIO FORRADO </t>
  </si>
  <si>
    <t>CAF</t>
  </si>
  <si>
    <t xml:space="preserve">CONCRETO DE 2,000 P.S.I PREMEZCLADO </t>
  </si>
  <si>
    <t>C20</t>
  </si>
  <si>
    <t xml:space="preserve">CONCRETO DE 2,500 P.S.I PREMEZCLADO </t>
  </si>
  <si>
    <t>C25</t>
  </si>
  <si>
    <t xml:space="preserve">CONCRETO DE 3,000 P.S.I PREMEZCLADO </t>
  </si>
  <si>
    <t>C30</t>
  </si>
  <si>
    <t xml:space="preserve">CONCRETO DE 3,500 P.S.I PREMEZCLADO </t>
  </si>
  <si>
    <t>C35</t>
  </si>
  <si>
    <t xml:space="preserve">CONCRETO DE 4,000 P.S.I PREMEZCLADO </t>
  </si>
  <si>
    <t>C40</t>
  </si>
  <si>
    <t xml:space="preserve">CONCRETO DE 4,500 P.S.I PREMEZCLADO </t>
  </si>
  <si>
    <t>C45</t>
  </si>
  <si>
    <t xml:space="preserve">CONCRETO DE 5,000 P.S.I PREMEZCLADO </t>
  </si>
  <si>
    <t>C50</t>
  </si>
  <si>
    <t>CONDUCTORES DE COBRE</t>
  </si>
  <si>
    <t>CC</t>
  </si>
  <si>
    <t xml:space="preserve">ELEMENTOS METALICOS </t>
  </si>
  <si>
    <t>E.M.</t>
  </si>
  <si>
    <t xml:space="preserve">EQUIPO BASICO </t>
  </si>
  <si>
    <t>EB</t>
  </si>
  <si>
    <t>EQUIPO DE OBRAS PUBLICAS</t>
  </si>
  <si>
    <t>EQO</t>
  </si>
  <si>
    <t>EQUIPO PARA EDIFICACION</t>
  </si>
  <si>
    <t>EQE</t>
  </si>
  <si>
    <t>EQUIPO PARA EXCAVACION EN ROCA</t>
  </si>
  <si>
    <t>EER</t>
  </si>
  <si>
    <t>EQUIPO PARA EXCAVACION REDES</t>
  </si>
  <si>
    <t>EEXR</t>
  </si>
  <si>
    <t xml:space="preserve">EQUIPO PARA IMPRIMACION Y PAVIMENTO ASFALTICO </t>
  </si>
  <si>
    <t>EIPA</t>
  </si>
  <si>
    <t>EQUIPO PARA MOVIMIENTO DE TIERRA</t>
  </si>
  <si>
    <t>EMT</t>
  </si>
  <si>
    <t xml:space="preserve">EQUIPO PARA PAVIMENTO EN CONCRETO </t>
  </si>
  <si>
    <t>EPC</t>
  </si>
  <si>
    <t>EQUIPO PARA PAVIMENTOS NO CONVENCIONALES</t>
  </si>
  <si>
    <t>EPNC</t>
  </si>
  <si>
    <t>EQUIPO PARA SUBBASE Y BASE</t>
  </si>
  <si>
    <t>ESB</t>
  </si>
  <si>
    <t xml:space="preserve">GABINETE ELECTRICO-SUBESTACION </t>
  </si>
  <si>
    <t>GES</t>
  </si>
  <si>
    <t xml:space="preserve">GAS-CENTROS DE MEDICION </t>
  </si>
  <si>
    <t>GCM</t>
  </si>
  <si>
    <t>GAS-LATONERIA DE GAS</t>
  </si>
  <si>
    <t>GLG</t>
  </si>
  <si>
    <t>GAS- RED EXTERIOR (URBANIZACIONES) ACERO</t>
  </si>
  <si>
    <t>GRECA</t>
  </si>
  <si>
    <t>GAS- RED EXTERIOR (URBANIZACIONES) COBRE</t>
  </si>
  <si>
    <t>GREGC</t>
  </si>
  <si>
    <t xml:space="preserve">GAS- RED EXTERNA POLIETILENO </t>
  </si>
  <si>
    <t>REX</t>
  </si>
  <si>
    <t xml:space="preserve">GAS- RED INTERNA ACERO </t>
  </si>
  <si>
    <t>GRIAC</t>
  </si>
  <si>
    <t>GAS- RED INTERNA COBRE</t>
  </si>
  <si>
    <t>GRICU</t>
  </si>
  <si>
    <t xml:space="preserve">LADRILLO </t>
  </si>
  <si>
    <t>LD</t>
  </si>
  <si>
    <t>LLANTAS PARA EL TRANSPORTE DE CARGA</t>
  </si>
  <si>
    <t>LL</t>
  </si>
  <si>
    <t>LUBRICANTES Y COMBUSTIBLES</t>
  </si>
  <si>
    <t>LC</t>
  </si>
  <si>
    <t>MANO DE OBRA ELECTRICA</t>
  </si>
  <si>
    <t>MOBE</t>
  </si>
  <si>
    <t>MANO DE OBRA PARA OBRAS PUBLICAS</t>
  </si>
  <si>
    <t>MOOP</t>
  </si>
  <si>
    <t>MANO DE OBRA SUBCONTRATADA EDIF.</t>
  </si>
  <si>
    <t>MOSE</t>
  </si>
  <si>
    <t>MATERIALES GALVANIZADOS</t>
  </si>
  <si>
    <t>M.G.</t>
  </si>
  <si>
    <t>MEZCLA ASFALTICA</t>
  </si>
  <si>
    <t>MAS</t>
  </si>
  <si>
    <t>MOVIMIENTOS DE ROCA (*)</t>
  </si>
  <si>
    <t>MR</t>
  </si>
  <si>
    <t>MOVIMIENTO DE TIERRA (*)</t>
  </si>
  <si>
    <t>MT</t>
  </si>
  <si>
    <t>PAVIMENTO ASFALTICO (CORRIDO) (*)</t>
  </si>
  <si>
    <t>PA</t>
  </si>
  <si>
    <t xml:space="preserve">PAVIMENTO ASFALTICO (PARCHEO) (*) </t>
  </si>
  <si>
    <t>PAP</t>
  </si>
  <si>
    <t>PAVIMENTOS DE CONCRETO (*)</t>
  </si>
  <si>
    <t>PC</t>
  </si>
  <si>
    <t xml:space="preserve">POSTERIA DE CONCRETO </t>
  </si>
  <si>
    <t>PT.C</t>
  </si>
  <si>
    <t>POSTERIA DE MADERA</t>
  </si>
  <si>
    <t>PT.MA</t>
  </si>
  <si>
    <t xml:space="preserve">POSTES METALICOS PARA ALUMBRADO PUBLICO </t>
  </si>
  <si>
    <t>PT.ME</t>
  </si>
  <si>
    <t xml:space="preserve">PROTECCIONES PRIMARIAS </t>
  </si>
  <si>
    <t>PPR</t>
  </si>
  <si>
    <t>SALIDA ELECTRICA</t>
  </si>
  <si>
    <t>SA</t>
  </si>
  <si>
    <t>SUB-BASE (*)</t>
  </si>
  <si>
    <t>SB</t>
  </si>
  <si>
    <t>TEJA DE ARCILLA</t>
  </si>
  <si>
    <t>TA</t>
  </si>
  <si>
    <t xml:space="preserve">TEJA DE ASBESTO CEMENTO </t>
  </si>
  <si>
    <t>TAC</t>
  </si>
  <si>
    <t>TRANSFORMADOR</t>
  </si>
  <si>
    <t>TR</t>
  </si>
  <si>
    <t>TRANSPORTE (*)</t>
  </si>
  <si>
    <t>TRA</t>
  </si>
  <si>
    <t xml:space="preserve">TUBERIA DE ACERO </t>
  </si>
  <si>
    <t>T.ACE</t>
  </si>
  <si>
    <t>TUBERIA DE COBRE</t>
  </si>
  <si>
    <t>T.CU</t>
  </si>
  <si>
    <t xml:space="preserve">TUBERIA DE CONCRETO </t>
  </si>
  <si>
    <t>TC</t>
  </si>
  <si>
    <t>TUBERIA DE CONCRETO REFORZADA</t>
  </si>
  <si>
    <t>TCR</t>
  </si>
  <si>
    <t xml:space="preserve">TUBERIA DE CONCRETO SIMPLE </t>
  </si>
  <si>
    <t>TCS</t>
  </si>
  <si>
    <t>TUBERIA DE PRESION Y ACCESORIOS PVC</t>
  </si>
  <si>
    <t>PVCP</t>
  </si>
  <si>
    <t>TUBERIA PF+ AUD</t>
  </si>
  <si>
    <t>PF+AUD</t>
  </si>
  <si>
    <t xml:space="preserve">TUBERIA POLIESTER REFORZADA FIBRA DE VIDRIO </t>
  </si>
  <si>
    <t>TGRP</t>
  </si>
  <si>
    <t>TUBERIA PVC (DUCTO TELEFONICO)</t>
  </si>
  <si>
    <t>PVCT</t>
  </si>
  <si>
    <t>TUBERIA PVC CORRUGADA</t>
  </si>
  <si>
    <t>PVCC</t>
  </si>
  <si>
    <t>TUBERIA SANITARIA Y ACCESORIOS PVC</t>
  </si>
  <si>
    <t>PVCS</t>
  </si>
  <si>
    <t>TUBERIA Y ACCESORIOS GALVANIZADOS</t>
  </si>
  <si>
    <t>T.G.</t>
  </si>
  <si>
    <t xml:space="preserve">VIDRIO </t>
  </si>
  <si>
    <t>VI</t>
  </si>
  <si>
    <t xml:space="preserve">INDICES DE ADITIVOS </t>
  </si>
  <si>
    <t xml:space="preserve">CEMENTICIOS </t>
  </si>
  <si>
    <t>CEM</t>
  </si>
  <si>
    <t>CEMENTOS MODIFICADOS</t>
  </si>
  <si>
    <t>CEMO</t>
  </si>
  <si>
    <t>EPÓXICOS (ADHERENTES)</t>
  </si>
  <si>
    <t>EPX</t>
  </si>
  <si>
    <t xml:space="preserve">MATERIALES COMPUESTOS </t>
  </si>
  <si>
    <t>MCO</t>
  </si>
  <si>
    <t xml:space="preserve">FORMULA DE REAJUSTE </t>
  </si>
  <si>
    <t>ÍNDICE</t>
  </si>
  <si>
    <t>ÍTEM</t>
  </si>
  <si>
    <t>COEFICIENTE</t>
  </si>
  <si>
    <t xml:space="preserve">Materiales para cubierta </t>
  </si>
  <si>
    <t xml:space="preserve">CM  </t>
  </si>
  <si>
    <t>Carpintería metálica</t>
  </si>
  <si>
    <t>Mano de obra obra pública</t>
  </si>
  <si>
    <t>Teja de barro/arcilla</t>
  </si>
  <si>
    <t>Instalaciones hidrosanitarias</t>
  </si>
  <si>
    <t xml:space="preserve">MM </t>
  </si>
  <si>
    <t>Materiales mamposteria</t>
  </si>
  <si>
    <t>PI</t>
  </si>
  <si>
    <t>Pinturas</t>
  </si>
  <si>
    <t>PORCENTAJE TOTAL (%)</t>
  </si>
  <si>
    <t xml:space="preserve">CÁLCULO  REAJUSTE </t>
  </si>
  <si>
    <t>AÑO</t>
  </si>
  <si>
    <t>CÓDIGO</t>
  </si>
  <si>
    <t>CM</t>
  </si>
  <si>
    <t>COEF.</t>
  </si>
  <si>
    <t>ANUAL (%)</t>
  </si>
  <si>
    <t>Prom. Mensual (%)</t>
  </si>
  <si>
    <t>PROMEDIO</t>
  </si>
  <si>
    <t>Fuente:</t>
  </si>
  <si>
    <t>Índice de costos de la construcción de CAMACOL</t>
  </si>
  <si>
    <t>FACTOR DE 
REAJUSTE MENSUAL</t>
  </si>
  <si>
    <t>PAGO No.</t>
  </si>
  <si>
    <t>VALOR NETO</t>
  </si>
  <si>
    <t>FACTOR DE REAJUSTE</t>
  </si>
  <si>
    <t>VALOR DE REAJUSTE</t>
  </si>
  <si>
    <t xml:space="preserve">TOTALES </t>
  </si>
  <si>
    <t>VALOR COSTO DIRECTO DEL CONTRATO:</t>
  </si>
  <si>
    <t>% DE REAJUSTE</t>
  </si>
  <si>
    <t>FLUJO DE CAJA</t>
  </si>
  <si>
    <t>MES 1</t>
  </si>
  <si>
    <t>MES 2</t>
  </si>
  <si>
    <t>MES 3</t>
  </si>
  <si>
    <t>MES 4</t>
  </si>
  <si>
    <t>MES 5</t>
  </si>
  <si>
    <t>TOTAL PORCENTAJE</t>
  </si>
  <si>
    <t>TOTAL VALOR</t>
  </si>
  <si>
    <t>TOTALES PARCIALES
(BRUTO)</t>
  </si>
  <si>
    <t>P</t>
  </si>
  <si>
    <t>TOTALES ACUMULADOS
(BRUTOS)</t>
  </si>
  <si>
    <t>AMORTIZACIÓN ANTICIPO</t>
  </si>
  <si>
    <t>TOTAL PARCIAL
(NETO)</t>
  </si>
  <si>
    <t>TOTAL ACUMULADO
(NETO)</t>
  </si>
  <si>
    <t>FLUJO DE PAGOS PARCIAL</t>
  </si>
  <si>
    <t>FLUJO DE PAGOS ACUMULADO</t>
  </si>
  <si>
    <t>REALIZAR OBRAS DE MANTENIMIENTO Y MEJORAMIENTO DE LA INFRAESTRUCTURA EDUCATIVA DEL MUNICIPIO DE ENVIGADO ETAPA 2, EN CUMPLIMIENTO AL ACTA DE EJECUCIÓN N°3 DEL CONVENIO INTERADMINISTRATIVO ENV-09-09-1418-24.</t>
  </si>
  <si>
    <t>Tasa pro cultura</t>
  </si>
  <si>
    <t>Tasa pro recreacion y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</si>
</sst>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"/>
    <numFmt numFmtId="167" formatCode="_(&quot;$&quot;\ * #,##0.00_);_(&quot;$&quot;\ * \(#,##0.00\);_(&quot;$&quot;\ * &quot;-&quot;??_);_(@_)"/>
    <numFmt numFmtId="168" formatCode="#,##0.0"/>
    <numFmt numFmtId="169" formatCode="_-&quot;$&quot;* #,##0_-;\-&quot;$&quot;* #,##0_-;_-&quot;$&quot;* &quot;-&quot;??_-;_-@_-"/>
    <numFmt numFmtId="170" formatCode="&quot;$&quot;#,##0"/>
    <numFmt numFmtId="171" formatCode="#,##0.000"/>
    <numFmt numFmtId="172" formatCode="0.0"/>
    <numFmt numFmtId="173" formatCode="&quot;$&quot;#,##0.00"/>
    <numFmt numFmtId="174" formatCode="_-* #,##0.0\ _€_-;\-* #,##0.0\ _€_-;_-* &quot;-&quot;??\ _€_-;_-@_-"/>
    <numFmt numFmtId="175" formatCode="_(&quot;$&quot;* #,##0.00_);_(&quot;$&quot;* \(#,##0.00\);_(&quot;$&quot;* &quot;-&quot;??_);_(@_)"/>
    <numFmt numFmtId="176" formatCode="_ * #,##0_ ;_ * \-#,##0_ ;_ * &quot;-&quot;_ ;_ @_ "/>
    <numFmt numFmtId="177" formatCode="_ * #,##0_ ;_ * \-#,##0_ ;_ * &quot;-&quot;??_ ;_ @_ "/>
    <numFmt numFmtId="178" formatCode="_(* #,##0_);_(* \(#,##0\);_(* &quot;-&quot;??_);_(@_)"/>
    <numFmt numFmtId="179" formatCode="dd\-mm\-yy;@"/>
    <numFmt numFmtId="180" formatCode="&quot;$&quot;\ #,##0.00"/>
    <numFmt numFmtId="181" formatCode="_ &quot;$&quot;\ * #,##0.00_ ;_ &quot;$&quot;\ * \-#,##0.00_ ;_ &quot;$&quot;\ * &quot;-&quot;??_ ;_ @_ "/>
    <numFmt numFmtId="182" formatCode="_-&quot;$&quot;\ * #,##0_-;\-&quot;$&quot;\ * #,##0_-;_-&quot;$&quot;\ * &quot;-&quot;??_-;_-@_-"/>
    <numFmt numFmtId="183" formatCode="_-* #,##0.00\ _€_-;\-* #,##0.00\ _€_-;_-* &quot;-&quot;??\ _€_-;_-@_-"/>
    <numFmt numFmtId="184" formatCode="&quot; $ &quot;#,##0.00&quot; &quot;;&quot;-$ &quot;#,##0.00&quot; &quot;;&quot; $ -&quot;00&quot; &quot;;&quot; &quot;@&quot; &quot;"/>
    <numFmt numFmtId="185" formatCode="_-* #,##0_-;\-* #,##0_-;_-* &quot;-&quot;??_-;_-@_-"/>
    <numFmt numFmtId="186" formatCode="0.000"/>
    <numFmt numFmtId="187" formatCode="_(* #,##0.00_);_(* \(#,##0.00\);_(* &quot;-&quot;??_);_(@_)"/>
    <numFmt numFmtId="188" formatCode="_(&quot;$&quot;\ * #,##0_);_(&quot;$&quot;\ * \(#,##0\);_(&quot;$&quot;\ * &quot;-&quot;??_);_(@_)"/>
    <numFmt numFmtId="189" formatCode="0.00000"/>
    <numFmt numFmtId="190" formatCode="0.000000"/>
    <numFmt numFmtId="191" formatCode="_-* #,##0.0_-;\-* #,##0.0_-;_-* &quot;-&quot;??_-;_-@_-"/>
    <numFmt numFmtId="192" formatCode="0.000%"/>
    <numFmt numFmtId="193" formatCode="0.0000"/>
  </numFmts>
  <fonts count="6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theme="6" tint="-0.249977111117893"/>
      <name val="Swis721 LtCn BT"/>
      <family val="2"/>
    </font>
    <font>
      <b/>
      <sz val="10"/>
      <name val="Swis721 LtCn BT"/>
      <family val="2"/>
    </font>
    <font>
      <sz val="10"/>
      <name val="Swis721 LtCn BT"/>
      <family val="2"/>
    </font>
    <font>
      <sz val="9"/>
      <name val="Swis721 LtCn BT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4"/>
      <name val="Swis721 LtCn BT"/>
      <family val="2"/>
    </font>
    <font>
      <sz val="11"/>
      <color theme="1"/>
      <name val="Bw Modelica"/>
    </font>
    <font>
      <u/>
      <sz val="10"/>
      <color indexed="12"/>
      <name val="Arial"/>
      <family val="2"/>
    </font>
    <font>
      <b/>
      <sz val="14"/>
      <color theme="1"/>
      <name val="Swis721 LtCn BT"/>
      <family val="2"/>
    </font>
    <font>
      <sz val="12"/>
      <color theme="1"/>
      <name val="Swis721 LtCn BT"/>
      <family val="2"/>
    </font>
    <font>
      <b/>
      <sz val="12"/>
      <color theme="1"/>
      <name val="Swis721 LtCn BT"/>
      <family val="2"/>
    </font>
    <font>
      <sz val="12"/>
      <name val="Swis721 LtCn BT"/>
      <family val="2"/>
    </font>
    <font>
      <sz val="12"/>
      <name val="Arial"/>
      <family val="2"/>
    </font>
    <font>
      <sz val="11"/>
      <color theme="1"/>
      <name val="Century Gothic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theme="10"/>
      <name val="Arial"/>
      <family val="2"/>
    </font>
    <font>
      <b/>
      <sz val="12"/>
      <name val="Swis721 LtCn BT"/>
      <family val="2"/>
    </font>
    <font>
      <sz val="11"/>
      <color rgb="FF000000"/>
      <name val="Calibri"/>
      <family val="2"/>
    </font>
    <font>
      <sz val="11"/>
      <color theme="1"/>
      <name val="Swis721 LtCn BT"/>
      <family val="2"/>
    </font>
    <font>
      <b/>
      <sz val="11"/>
      <name val="Swis721 LtCn BT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7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Swis721 LtCn BT"/>
      <family val="2"/>
    </font>
    <font>
      <sz val="10"/>
      <color rgb="FF00B0F0"/>
      <name val="Arial"/>
      <family val="2"/>
    </font>
    <font>
      <sz val="8"/>
      <name val="Segoe UI"/>
      <family val="2"/>
    </font>
    <font>
      <b/>
      <sz val="12"/>
      <color rgb="FFFF0000"/>
      <name val="Swis721 LtCn BT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sz val="9"/>
      <color theme="1"/>
      <name val="Calibri"/>
      <family val="2"/>
      <scheme val="minor"/>
    </font>
    <font>
      <b/>
      <sz val="16"/>
      <color theme="1"/>
      <name val="Swis721 LtCn BT"/>
      <family val="2"/>
    </font>
    <font>
      <sz val="14"/>
      <name val="Swis721 LtCn BT"/>
      <family val="2"/>
    </font>
    <font>
      <sz val="14"/>
      <color theme="1"/>
      <name val="Swis721 LtCn BT"/>
      <family val="2"/>
    </font>
    <font>
      <b/>
      <sz val="10"/>
      <color theme="1"/>
      <name val="Swis721 LtCn BT"/>
      <family val="2"/>
    </font>
    <font>
      <sz val="10"/>
      <color theme="1"/>
      <name val="Swis721 LtCn BT"/>
      <family val="2"/>
    </font>
    <font>
      <b/>
      <sz val="16"/>
      <name val="Swis721 LtCn BT"/>
      <family val="2"/>
    </font>
    <font>
      <sz val="11"/>
      <color rgb="FFFF0000"/>
      <name val="Calibri"/>
      <family val="2"/>
      <scheme val="minor"/>
    </font>
    <font>
      <sz val="16"/>
      <color theme="1"/>
      <name val="Swis721 LtCn BT"/>
      <family val="2"/>
    </font>
    <font>
      <b/>
      <sz val="18"/>
      <color theme="1"/>
      <name val="Swis721 LtCn BT"/>
      <family val="2"/>
    </font>
    <font>
      <b/>
      <sz val="14"/>
      <color indexed="8"/>
      <name val="Swis721 LtCn BT"/>
      <family val="2"/>
    </font>
    <font>
      <sz val="14"/>
      <color rgb="FFFF0000"/>
      <name val="Swis721 LtCn BT"/>
      <family val="2"/>
    </font>
    <font>
      <sz val="14"/>
      <color indexed="8"/>
      <name val="Swis721 LtCn BT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rgb="FFFFFFFF"/>
      <name val="Swis721 LtCn BT"/>
      <family val="2"/>
    </font>
    <font>
      <sz val="14"/>
      <color theme="0"/>
      <name val="Swis721 LtCn BT"/>
      <family val="2"/>
    </font>
    <font>
      <sz val="8"/>
      <color rgb="FF000000"/>
      <name val="Swis721 LtCn BT"/>
      <family val="2"/>
    </font>
    <font>
      <b/>
      <sz val="8"/>
      <color theme="0"/>
      <name val="Swis721 LtCn BT"/>
      <family val="2"/>
    </font>
    <font>
      <b/>
      <sz val="8"/>
      <name val="Swis721 LtCn BT"/>
      <family val="2"/>
    </font>
    <font>
      <sz val="9"/>
      <color theme="1"/>
      <name val="Swis721 LtCn BT"/>
      <family val="2"/>
    </font>
    <font>
      <b/>
      <sz val="11"/>
      <color theme="1"/>
      <name val="Swis721 LtCn BT"/>
      <family val="2"/>
    </font>
    <font>
      <sz val="11"/>
      <color rgb="FFFF0000"/>
      <name val="Swis721 LtCn BT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AE18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16B09"/>
        <bgColor indexed="64"/>
      </patternFill>
    </fill>
    <fill>
      <patternFill patternType="solid">
        <fgColor rgb="FF30859B"/>
        <bgColor indexed="64"/>
      </patternFill>
    </fill>
    <fill>
      <patternFill patternType="solid">
        <fgColor rgb="FF5F4879"/>
        <bgColor indexed="64"/>
      </patternFill>
    </fill>
    <fill>
      <patternFill patternType="solid">
        <fgColor rgb="FF76923B"/>
        <bgColor indexed="64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 tint="-0.34998626667073579"/>
        <bgColor indexed="64"/>
      </patternFill>
    </fill>
  </fills>
  <borders count="2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499984740745262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499984740745262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499984740745262"/>
      </right>
      <top/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499984740745262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34998626667073579"/>
      </right>
      <top style="medium">
        <color theme="0" tint="-0.34998626667073579"/>
      </top>
      <bottom style="hair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hair">
        <color indexed="64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hair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hair">
        <color indexed="64"/>
      </bottom>
      <diagonal/>
    </border>
    <border>
      <left style="medium">
        <color theme="0" tint="-0.34998626667073579"/>
      </left>
      <right style="medium">
        <color theme="0" tint="-0.499984740745262"/>
      </right>
      <top style="medium">
        <color theme="0" tint="-0.34998626667073579"/>
      </top>
      <bottom style="hair">
        <color indexed="64"/>
      </bottom>
      <diagonal/>
    </border>
    <border>
      <left style="medium">
        <color theme="0" tint="-0.499984740745262"/>
      </left>
      <right style="medium">
        <color theme="0" tint="-0.34998626667073579"/>
      </right>
      <top style="hair">
        <color indexed="64"/>
      </top>
      <bottom style="hair">
        <color indexed="64"/>
      </bottom>
      <diagonal/>
    </border>
    <border>
      <left style="medium">
        <color theme="0" tint="-0.34998626667073579"/>
      </left>
      <right/>
      <top style="hair">
        <color indexed="64"/>
      </top>
      <bottom style="hair">
        <color indexed="64"/>
      </bottom>
      <diagonal/>
    </border>
    <border>
      <left/>
      <right style="medium">
        <color theme="0" tint="-0.34998626667073579"/>
      </right>
      <top style="hair">
        <color indexed="64"/>
      </top>
      <bottom style="hair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indexed="64"/>
      </top>
      <bottom style="hair">
        <color indexed="64"/>
      </bottom>
      <diagonal/>
    </border>
    <border>
      <left style="medium">
        <color theme="0" tint="-0.34998626667073579"/>
      </left>
      <right style="medium">
        <color theme="0" tint="-0.499984740745262"/>
      </right>
      <top style="hair">
        <color indexed="64"/>
      </top>
      <bottom style="hair">
        <color indexed="64"/>
      </bottom>
      <diagonal/>
    </border>
    <border>
      <left style="medium">
        <color theme="0" tint="-0.499984740745262"/>
      </left>
      <right style="medium">
        <color theme="0" tint="-0.34998626667073579"/>
      </right>
      <top style="hair">
        <color indexed="64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hair">
        <color indexed="64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hair">
        <color indexed="64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indexed="64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499984740745262"/>
      </right>
      <top style="hair">
        <color indexed="64"/>
      </top>
      <bottom style="medium">
        <color theme="0" tint="-0.34998626667073579"/>
      </bottom>
      <diagonal/>
    </border>
    <border>
      <left style="medium">
        <color theme="0" tint="-0.499984740745262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medium">
        <color theme="0" tint="-0.499984740745262"/>
      </right>
      <top/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24994659260841701"/>
      </right>
      <top style="medium">
        <color theme="0" tint="-0.34998626667073579"/>
      </top>
      <bottom style="hair">
        <color auto="1"/>
      </bottom>
      <diagonal/>
    </border>
    <border>
      <left style="medium">
        <color theme="0" tint="-0.24994659260841701"/>
      </left>
      <right/>
      <top style="medium">
        <color theme="0" tint="-0.34998626667073579"/>
      </top>
      <bottom style="hair">
        <color auto="1"/>
      </bottom>
      <diagonal/>
    </border>
    <border>
      <left/>
      <right style="medium">
        <color theme="0" tint="-0.24994659260841701"/>
      </right>
      <top style="medium">
        <color theme="0" tint="-0.34998626667073579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34998626667073579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499984740745262"/>
      </right>
      <top style="medium">
        <color theme="0" tint="-0.34998626667073579"/>
      </top>
      <bottom style="hair">
        <color auto="1"/>
      </bottom>
      <diagonal/>
    </border>
    <border>
      <left style="medium">
        <color theme="0" tint="-0.499984740745262"/>
      </left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 style="medium">
        <color theme="0" tint="-0.499984740745262"/>
      </right>
      <top style="hair">
        <color auto="1"/>
      </top>
      <bottom style="hair">
        <color auto="1"/>
      </bottom>
      <diagonal/>
    </border>
    <border>
      <left style="medium">
        <color theme="0" tint="-0.499984740745262"/>
      </left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499984740745262"/>
      </right>
      <top style="hair">
        <color auto="1"/>
      </top>
      <bottom style="medium">
        <color theme="0" tint="-0.24994659260841701"/>
      </bottom>
      <diagonal/>
    </border>
    <border>
      <left style="medium">
        <color theme="0" tint="-0.499984740745262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theme="0" tint="-0.499984740745262"/>
      </left>
      <right/>
      <top style="thin">
        <color auto="1"/>
      </top>
      <bottom style="thin">
        <color auto="1"/>
      </bottom>
      <diagonal/>
    </border>
    <border>
      <left style="medium">
        <color theme="0" tint="-0.499984740745262"/>
      </left>
      <right style="medium">
        <color theme="0" tint="-0.24994659260841701"/>
      </right>
      <top style="medium">
        <color theme="0" tint="-0.34998626667073579"/>
      </top>
      <bottom style="hair">
        <color theme="0" tint="-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34998626667073579"/>
      </top>
      <bottom style="hair">
        <color theme="0" tint="-0.4999847407452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34998626667073579"/>
      </top>
      <bottom/>
      <diagonal/>
    </border>
    <border>
      <left style="medium">
        <color theme="0" tint="-0.24994659260841701"/>
      </left>
      <right style="medium">
        <color theme="0" tint="-0.499984740745262"/>
      </right>
      <top style="medium">
        <color theme="0" tint="-0.34998626667073579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24994659260841701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24994659260841701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medium">
        <color theme="0" tint="-0.24994659260841701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24994659260841701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24994659260841701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24994659260841701"/>
      </left>
      <right/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24994659260841701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indexed="64"/>
      </left>
      <right style="medium">
        <color theme="0" tint="-0.499984740745262"/>
      </right>
      <top style="medium">
        <color indexed="64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indexed="64"/>
      </top>
      <bottom/>
      <diagonal/>
    </border>
    <border>
      <left style="medium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0" tint="-0.24994659260841701"/>
      </right>
      <top style="medium">
        <color theme="0" tint="-0.499984740745262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indexed="64"/>
      </right>
      <top style="medium">
        <color theme="0" tint="-0.499984740745262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indexed="64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indexed="64"/>
      </bottom>
      <diagonal/>
    </border>
    <border>
      <left style="medium">
        <color theme="0" tint="-0.24994659260841701"/>
      </left>
      <right style="medium">
        <color indexed="64"/>
      </right>
      <top style="medium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indexed="64"/>
      </right>
      <top/>
      <bottom style="medium">
        <color theme="0" tint="-0.34998626667073579"/>
      </bottom>
      <diagonal/>
    </border>
    <border>
      <left style="medium">
        <color indexed="64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medium">
        <color theme="0" tint="-0.34998626667073579"/>
      </right>
      <top style="medium">
        <color theme="0" tint="-0.34998626667073579"/>
      </top>
      <bottom style="hair">
        <color indexed="64"/>
      </bottom>
      <diagonal/>
    </border>
    <border>
      <left style="medium">
        <color theme="0" tint="-0.34998626667073579"/>
      </left>
      <right style="medium">
        <color indexed="64"/>
      </right>
      <top style="medium">
        <color theme="0" tint="-0.34998626667073579"/>
      </top>
      <bottom style="hair">
        <color indexed="64"/>
      </bottom>
      <diagonal/>
    </border>
    <border>
      <left style="medium">
        <color indexed="64"/>
      </left>
      <right style="medium">
        <color theme="0" tint="-0.34998626667073579"/>
      </right>
      <top style="hair">
        <color indexed="64"/>
      </top>
      <bottom style="hair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34998626667073579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theme="0" tint="-0.34998626667073579"/>
      </bottom>
      <diagonal/>
    </border>
    <border>
      <left style="medium">
        <color theme="0" tint="-0.24994659260841701"/>
      </left>
      <right style="medium">
        <color indexed="64"/>
      </right>
      <top/>
      <bottom style="medium">
        <color theme="0" tint="-0.34998626667073579"/>
      </bottom>
      <diagonal/>
    </border>
    <border>
      <left style="medium">
        <color indexed="64"/>
      </left>
      <right style="medium">
        <color theme="0" tint="-0.24994659260841701"/>
      </right>
      <top style="medium">
        <color theme="0" tint="-0.34998626667073579"/>
      </top>
      <bottom style="hair">
        <color theme="0" tint="-0.499984740745262"/>
      </bottom>
      <diagonal/>
    </border>
    <border>
      <left style="medium">
        <color theme="0" tint="-0.24994659260841701"/>
      </left>
      <right/>
      <top style="medium">
        <color theme="0" tint="-0.34998626667073579"/>
      </top>
      <bottom style="hair">
        <color theme="0" tint="-0.499984740745262"/>
      </bottom>
      <diagonal/>
    </border>
    <border>
      <left/>
      <right style="medium">
        <color theme="0" tint="-0.24994659260841701"/>
      </right>
      <top style="medium">
        <color theme="0" tint="-0.34998626667073579"/>
      </top>
      <bottom style="hair">
        <color theme="0" tint="-0.499984740745262"/>
      </bottom>
      <diagonal/>
    </border>
    <border>
      <left style="medium">
        <color indexed="64"/>
      </left>
      <right style="medium">
        <color theme="0" tint="-0.24994659260841701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theme="0" tint="-0.24994659260841701"/>
      </right>
      <top style="medium">
        <color theme="0" tint="-0.34998626667073579"/>
      </top>
      <bottom style="hair">
        <color auto="1"/>
      </bottom>
      <diagonal/>
    </border>
    <border>
      <left style="medium">
        <color theme="0" tint="-0.24994659260841701"/>
      </left>
      <right style="medium">
        <color indexed="64"/>
      </right>
      <top style="medium">
        <color theme="0" tint="-0.34998626667073579"/>
      </top>
      <bottom style="hair">
        <color auto="1"/>
      </bottom>
      <diagonal/>
    </border>
    <border>
      <left style="medium">
        <color indexed="64"/>
      </left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indexed="64"/>
      </right>
      <top style="hair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2499465926084170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medium">
        <color theme="0" tint="-0.34998626667073579"/>
      </right>
      <top/>
      <bottom/>
      <diagonal/>
    </border>
    <border>
      <left style="medium">
        <color theme="0" tint="-0.499984740745262"/>
      </left>
      <right style="medium">
        <color theme="0" tint="-0.24994659260841701"/>
      </right>
      <top style="hair">
        <color theme="0" tint="-0.499984740745262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499984740745262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theme="0" tint="-0.499984740745262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theme="0" tint="-0.499984740745262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499984740745262"/>
      </right>
      <top style="hair">
        <color theme="0" tint="-0.499984740745262"/>
      </top>
      <bottom style="medium">
        <color theme="0" tint="-0.24994659260841701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24994659260841701"/>
      </right>
      <top/>
      <bottom/>
      <diagonal/>
    </border>
    <border>
      <left style="medium">
        <color theme="0" tint="-0.499984740745262"/>
      </left>
      <right style="medium">
        <color theme="0" tint="-0.24994659260841701"/>
      </right>
      <top style="medium">
        <color theme="0" tint="-0.34998626667073579"/>
      </top>
      <bottom/>
      <diagonal/>
    </border>
    <border>
      <left style="medium">
        <color theme="0" tint="-0.24994659260841701"/>
      </left>
      <right/>
      <top style="medium">
        <color theme="0" tint="-0.34998626667073579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 style="medium">
        <color indexed="64"/>
      </left>
      <right style="medium">
        <color theme="0" tint="-0.499984740745262"/>
      </right>
      <top style="medium">
        <color indexed="64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indexed="64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indexed="64"/>
      </right>
      <top style="medium">
        <color indexed="64"/>
      </top>
      <bottom style="medium">
        <color theme="0" tint="-0.499984740745262"/>
      </bottom>
      <diagonal/>
    </border>
    <border>
      <left style="medium">
        <color indexed="64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medium">
        <color indexed="64"/>
      </bottom>
      <diagonal/>
    </border>
    <border>
      <left style="medium">
        <color theme="0" tint="-0.24994659260841701"/>
      </left>
      <right style="medium">
        <color theme="0" tint="-0.499984740745262"/>
      </right>
      <top style="medium">
        <color theme="0" tint="-0.34998626667073579"/>
      </top>
      <bottom/>
      <diagonal/>
    </border>
    <border>
      <left/>
      <right style="medium">
        <color theme="0" tint="-0.499984740745262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24994659260841701"/>
      </right>
      <top style="medium">
        <color theme="0" tint="-0.34998626667073579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theme="0" tint="-0.499984740745262"/>
      </bottom>
      <diagonal/>
    </border>
    <border>
      <left/>
      <right/>
      <top style="medium">
        <color indexed="64"/>
      </top>
      <bottom style="medium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medium">
        <color theme="0" tint="-0.499984740745262"/>
      </bottom>
      <diagonal/>
    </border>
    <border>
      <left style="medium">
        <color indexed="64"/>
      </left>
      <right/>
      <top style="medium">
        <color theme="0" tint="-0.499984740745262"/>
      </top>
      <bottom style="medium">
        <color theme="0" tint="-0.24994659260841701"/>
      </bottom>
      <diagonal/>
    </border>
    <border>
      <left/>
      <right/>
      <top style="medium">
        <color theme="0" tint="-0.499984740745262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499984740745262"/>
      </top>
      <bottom style="medium">
        <color theme="0" tint="-0.24994659260841701"/>
      </bottom>
      <diagonal/>
    </border>
    <border>
      <left style="medium">
        <color theme="0" tint="-0.34998626667073579"/>
      </left>
      <right style="medium">
        <color theme="0" tint="-0.24994659260841701"/>
      </right>
      <top style="hair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medium">
        <color indexed="64"/>
      </left>
      <right style="medium">
        <color theme="0" tint="-0.34998626667073579"/>
      </right>
      <top style="hair">
        <color indexed="64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indexed="64"/>
      </right>
      <top style="hair">
        <color indexed="64"/>
      </top>
      <bottom style="medium">
        <color theme="0" tint="-0.34998626667073579"/>
      </bottom>
      <diagonal/>
    </border>
    <border>
      <left style="medium">
        <color indexed="64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4659260841701"/>
      </left>
      <right style="medium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theme="0" tint="-0.499984740745262"/>
      </left>
      <right style="medium">
        <color theme="0" tint="-0.24994659260841701"/>
      </right>
      <top style="hair">
        <color theme="0" tint="-0.499984740745262"/>
      </top>
      <bottom/>
      <diagonal/>
    </border>
    <border>
      <left/>
      <right style="medium">
        <color theme="0" tint="-0.24994659260841701"/>
      </right>
      <top style="hair">
        <color theme="0" tint="-0.499984740745262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theme="0" tint="-0.499984740745262"/>
      </top>
      <bottom/>
      <diagonal/>
    </border>
    <border>
      <left style="medium">
        <color theme="0" tint="-0.34998626667073579"/>
      </left>
      <right style="medium">
        <color theme="0" tint="-0.499984740745262"/>
      </right>
      <top style="hair">
        <color indexed="64"/>
      </top>
      <bottom/>
      <diagonal/>
    </border>
    <border>
      <left style="medium">
        <color theme="0" tint="-0.499984740745262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4659260841701"/>
      </left>
      <right style="medium">
        <color theme="0" tint="-0.499984740745262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24994659260841701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medium">
        <color theme="0" tint="-0.2499465926084170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4659260841701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499984740745262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24994659260841701"/>
      </right>
      <top/>
      <bottom style="hair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24994659260841701"/>
      </top>
      <bottom style="medium">
        <color theme="0" tint="-0.34998626667073579"/>
      </bottom>
      <diagonal/>
    </border>
    <border>
      <left/>
      <right/>
      <top style="medium">
        <color theme="0" tint="-0.24994659260841701"/>
      </top>
      <bottom style="medium">
        <color theme="0" tint="-0.34998626667073579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34998626667073579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34998626667073579"/>
      </bottom>
      <diagonal/>
    </border>
    <border>
      <left/>
      <right style="medium">
        <color theme="0" tint="-0.24994659260841701"/>
      </right>
      <top style="medium">
        <color theme="0" tint="-0.499984740745262"/>
      </top>
      <bottom/>
      <diagonal/>
    </border>
    <border>
      <left style="medium">
        <color theme="0" tint="-0.24994659260841701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/>
      <top style="hair">
        <color indexed="64"/>
      </top>
      <bottom style="medium">
        <color theme="0" tint="-0.34998626667073579"/>
      </bottom>
      <diagonal/>
    </border>
    <border>
      <left/>
      <right/>
      <top style="hair">
        <color indexed="64"/>
      </top>
      <bottom style="medium">
        <color theme="0" tint="-0.34998626667073579"/>
      </bottom>
      <diagonal/>
    </border>
    <border>
      <left/>
      <right style="medium">
        <color theme="0" tint="-0.24994659260841701"/>
      </right>
      <top style="hair">
        <color indexed="64"/>
      </top>
      <bottom style="medium">
        <color theme="0" tint="-0.34998626667073579"/>
      </bottom>
      <diagonal/>
    </border>
    <border>
      <left style="medium">
        <color theme="0" tint="-0.24994659260841701"/>
      </left>
      <right/>
      <top style="hair">
        <color indexed="64"/>
      </top>
      <bottom style="medium">
        <color theme="0" tint="-0.34998626667073579"/>
      </bottom>
      <diagonal/>
    </border>
    <border>
      <left style="medium">
        <color theme="0" tint="-0.24994659260841701"/>
      </left>
      <right/>
      <top style="hair">
        <color theme="0" tint="-0.499984740745262"/>
      </top>
      <bottom style="medium">
        <color theme="0" tint="-0.34998626667073579"/>
      </bottom>
      <diagonal/>
    </border>
    <border>
      <left/>
      <right style="medium">
        <color theme="0" tint="-0.24994659260841701"/>
      </right>
      <top style="hair">
        <color theme="0" tint="-0.499984740745262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24994659260841701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24994659260841701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0" tint="-0.24994659260841701"/>
      </left>
      <right style="medium">
        <color indexed="64"/>
      </right>
      <top style="medium">
        <color theme="0" tint="-0.34998626667073579"/>
      </top>
      <bottom style="hair">
        <color theme="0" tint="-0.499984740745262"/>
      </bottom>
      <diagonal/>
    </border>
    <border>
      <left style="medium">
        <color indexed="64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indexed="64"/>
      </right>
      <top/>
      <bottom style="medium">
        <color theme="0" tint="-0.499984740745262"/>
      </bottom>
      <diagonal/>
    </border>
    <border>
      <left style="medium">
        <color theme="0" tint="-0.34998626667073579"/>
      </left>
      <right/>
      <top style="medium">
        <color indexed="64"/>
      </top>
      <bottom style="medium">
        <color theme="0" tint="-0.34998626667073579"/>
      </bottom>
      <diagonal/>
    </border>
    <border>
      <left/>
      <right/>
      <top style="medium">
        <color indexed="64"/>
      </top>
      <bottom style="medium">
        <color theme="0" tint="-0.34998626667073579"/>
      </bottom>
      <diagonal/>
    </border>
    <border>
      <left/>
      <right style="medium">
        <color theme="0" tint="-0.499984740745262"/>
      </right>
      <top style="medium">
        <color indexed="64"/>
      </top>
      <bottom style="medium">
        <color theme="0" tint="-0.34998626667073579"/>
      </bottom>
      <diagonal/>
    </border>
    <border>
      <left style="medium">
        <color theme="0" tint="-0.499984740745262"/>
      </left>
      <right style="medium">
        <color theme="0" tint="-0.34998626667073579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indexed="64"/>
      </right>
      <top/>
      <bottom style="medium">
        <color theme="0" tint="-0.499984740745262"/>
      </bottom>
      <diagonal/>
    </border>
    <border>
      <left style="thin">
        <color auto="1"/>
      </left>
      <right style="medium">
        <color theme="0" tint="-0.3499862666707357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0" tint="-0.34998626667073579"/>
      </bottom>
      <diagonal/>
    </border>
    <border>
      <left style="thin">
        <color auto="1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indexed="64"/>
      </left>
      <right/>
      <top style="hair">
        <color indexed="64"/>
      </top>
      <bottom style="medium">
        <color theme="0" tint="-0.34998626667073579"/>
      </bottom>
      <diagonal/>
    </border>
    <border>
      <left style="medium">
        <color theme="0" tint="-0.24994659260841701"/>
      </left>
      <right/>
      <top/>
      <bottom style="medium">
        <color theme="0" tint="-0.34998626667073579"/>
      </bottom>
      <diagonal/>
    </border>
    <border>
      <left/>
      <right style="medium">
        <color theme="0" tint="-0.24994659260841701"/>
      </right>
      <top/>
      <bottom style="medium">
        <color theme="0" tint="-0.34998626667073579"/>
      </bottom>
      <diagonal/>
    </border>
    <border>
      <left style="thin">
        <color auto="1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indexed="64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/>
      <top style="hair">
        <color theme="0" tint="-0.499984740745262"/>
      </top>
      <bottom style="medium">
        <color theme="0" tint="-0.34998626667073579"/>
      </bottom>
      <diagonal/>
    </border>
    <border>
      <left/>
      <right/>
      <top style="hair">
        <color theme="0" tint="-0.499984740745262"/>
      </top>
      <bottom style="medium">
        <color theme="0" tint="-0.34998626667073579"/>
      </bottom>
      <diagonal/>
    </border>
    <border>
      <left style="medium">
        <color theme="0" tint="-0.24994659260841701"/>
      </left>
      <right/>
      <top style="medium">
        <color theme="0" tint="-0.34998626667073579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34998626667073579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/>
      <top style="medium">
        <color theme="0" tint="-0.24994659260841701"/>
      </top>
      <bottom style="medium">
        <color theme="0" tint="-0.34998626667073579"/>
      </bottom>
      <diagonal/>
    </border>
    <border>
      <left style="medium">
        <color indexed="64"/>
      </left>
      <right/>
      <top style="hair">
        <color theme="0" tint="-0.499984740745262"/>
      </top>
      <bottom/>
      <diagonal/>
    </border>
    <border>
      <left/>
      <right/>
      <top style="hair">
        <color theme="0" tint="-0.499984740745262"/>
      </top>
      <bottom/>
      <diagonal/>
    </border>
    <border>
      <left style="medium">
        <color theme="0" tint="-0.24994659260841701"/>
      </left>
      <right/>
      <top style="hair">
        <color theme="0" tint="-0.499984740745262"/>
      </top>
      <bottom style="medium">
        <color indexed="64"/>
      </bottom>
      <diagonal/>
    </border>
    <border>
      <left/>
      <right/>
      <top style="hair">
        <color theme="0" tint="-0.499984740745262"/>
      </top>
      <bottom style="medium">
        <color indexed="64"/>
      </bottom>
      <diagonal/>
    </border>
    <border>
      <left/>
      <right style="medium">
        <color theme="0" tint="-0.24994659260841701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indexed="64"/>
      </left>
      <right style="medium">
        <color theme="0" tint="-0.34998626667073579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9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8" fillId="0" borderId="0"/>
    <xf numFmtId="0" fontId="22" fillId="0" borderId="0" applyNumberFormat="0" applyFill="0" applyBorder="0" applyAlignment="0" applyProtection="0"/>
    <xf numFmtId="0" fontId="24" fillId="0" borderId="0" applyNumberFormat="0" applyBorder="0" applyAlignment="0"/>
    <xf numFmtId="44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/>
    <xf numFmtId="18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4" fillId="0" borderId="0"/>
    <xf numFmtId="18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8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28" fillId="0" borderId="0"/>
    <xf numFmtId="0" fontId="1" fillId="0" borderId="0"/>
    <xf numFmtId="0" fontId="2" fillId="0" borderId="0"/>
    <xf numFmtId="0" fontId="1" fillId="0" borderId="0"/>
    <xf numFmtId="0" fontId="1" fillId="22" borderId="251" applyNumberFormat="0" applyFont="0" applyAlignment="0" applyProtection="0"/>
    <xf numFmtId="164" fontId="24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9" fontId="44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7">
    <xf numFmtId="0" fontId="0" fillId="0" borderId="0" xfId="0"/>
    <xf numFmtId="0" fontId="2" fillId="0" borderId="0" xfId="12" applyAlignment="1">
      <alignment vertical="center"/>
    </xf>
    <xf numFmtId="0" fontId="5" fillId="0" borderId="0" xfId="12" applyFont="1" applyAlignment="1">
      <alignment vertical="center"/>
    </xf>
    <xf numFmtId="0" fontId="5" fillId="0" borderId="0" xfId="12" applyFont="1" applyAlignment="1">
      <alignment horizontal="center" vertical="center"/>
    </xf>
    <xf numFmtId="0" fontId="2" fillId="0" borderId="0" xfId="12" applyAlignment="1">
      <alignment horizontal="center" vertical="center"/>
    </xf>
    <xf numFmtId="0" fontId="8" fillId="0" borderId="0" xfId="12" applyFont="1" applyAlignment="1">
      <alignment horizontal="center" vertical="center"/>
    </xf>
    <xf numFmtId="0" fontId="8" fillId="0" borderId="0" xfId="12" applyFont="1" applyAlignment="1">
      <alignment vertical="center"/>
    </xf>
    <xf numFmtId="0" fontId="2" fillId="0" borderId="0" xfId="3"/>
    <xf numFmtId="0" fontId="12" fillId="0" borderId="0" xfId="0" applyFont="1"/>
    <xf numFmtId="174" fontId="16" fillId="12" borderId="1" xfId="11" applyNumberFormat="1" applyFont="1" applyFill="1" applyBorder="1" applyAlignment="1">
      <alignment horizontal="center" vertical="center" wrapText="1"/>
    </xf>
    <xf numFmtId="0" fontId="19" fillId="0" borderId="0" xfId="27" applyFont="1"/>
    <xf numFmtId="181" fontId="21" fillId="15" borderId="73" xfId="28" applyNumberFormat="1" applyFont="1" applyFill="1" applyBorder="1" applyAlignment="1">
      <alignment vertical="center"/>
    </xf>
    <xf numFmtId="181" fontId="21" fillId="15" borderId="105" xfId="28" applyNumberFormat="1" applyFont="1" applyFill="1" applyBorder="1" applyAlignment="1">
      <alignment vertical="center"/>
    </xf>
    <xf numFmtId="181" fontId="21" fillId="15" borderId="125" xfId="28" applyNumberFormat="1" applyFont="1" applyFill="1" applyBorder="1" applyAlignment="1">
      <alignment vertical="center"/>
    </xf>
    <xf numFmtId="181" fontId="21" fillId="15" borderId="135" xfId="28" applyNumberFormat="1" applyFont="1" applyFill="1" applyBorder="1" applyAlignment="1">
      <alignment vertical="center"/>
    </xf>
    <xf numFmtId="181" fontId="21" fillId="0" borderId="0" xfId="28" applyNumberFormat="1" applyFont="1" applyFill="1" applyBorder="1" applyAlignment="1">
      <alignment vertical="center"/>
    </xf>
    <xf numFmtId="0" fontId="20" fillId="0" borderId="0" xfId="27" applyFont="1" applyAlignment="1">
      <alignment vertical="center" shrinkToFit="1"/>
    </xf>
    <xf numFmtId="181" fontId="21" fillId="15" borderId="173" xfId="28" applyNumberFormat="1" applyFont="1" applyFill="1" applyBorder="1" applyAlignment="1">
      <alignment vertical="center"/>
    </xf>
    <xf numFmtId="181" fontId="21" fillId="15" borderId="181" xfId="28" applyNumberFormat="1" applyFont="1" applyFill="1" applyBorder="1" applyAlignment="1">
      <alignment vertical="center"/>
    </xf>
    <xf numFmtId="0" fontId="6" fillId="4" borderId="1" xfId="12" applyFont="1" applyFill="1" applyBorder="1" applyAlignment="1">
      <alignment horizontal="center" vertical="center"/>
    </xf>
    <xf numFmtId="0" fontId="7" fillId="4" borderId="1" xfId="12" applyFont="1" applyFill="1" applyBorder="1" applyAlignment="1">
      <alignment vertical="center"/>
    </xf>
    <xf numFmtId="0" fontId="6" fillId="4" borderId="1" xfId="12" applyFont="1" applyFill="1" applyBorder="1" applyAlignment="1">
      <alignment horizontal="justify" vertical="center" wrapText="1"/>
    </xf>
    <xf numFmtId="0" fontId="7" fillId="0" borderId="1" xfId="12" applyFont="1" applyBorder="1" applyAlignment="1">
      <alignment horizontal="center" vertical="center"/>
    </xf>
    <xf numFmtId="0" fontId="7" fillId="0" borderId="1" xfId="12" applyFont="1" applyBorder="1" applyAlignment="1">
      <alignment vertical="center"/>
    </xf>
    <xf numFmtId="0" fontId="7" fillId="0" borderId="1" xfId="12" applyFont="1" applyBorder="1" applyAlignment="1">
      <alignment vertical="center" wrapText="1"/>
    </xf>
    <xf numFmtId="170" fontId="5" fillId="0" borderId="0" xfId="12" applyNumberFormat="1" applyFont="1" applyAlignment="1">
      <alignment vertical="center"/>
    </xf>
    <xf numFmtId="173" fontId="2" fillId="0" borderId="0" xfId="12" applyNumberFormat="1" applyAlignment="1">
      <alignment vertical="center"/>
    </xf>
    <xf numFmtId="170" fontId="5" fillId="0" borderId="0" xfId="12" applyNumberFormat="1" applyFont="1" applyAlignment="1">
      <alignment horizontal="center" vertical="center"/>
    </xf>
    <xf numFmtId="166" fontId="5" fillId="0" borderId="0" xfId="12" applyNumberFormat="1" applyFont="1" applyAlignment="1">
      <alignment horizontal="center" vertical="center"/>
    </xf>
    <xf numFmtId="0" fontId="6" fillId="0" borderId="1" xfId="12" applyFont="1" applyBorder="1" applyAlignment="1">
      <alignment horizontal="justify" vertical="center" wrapText="1"/>
    </xf>
    <xf numFmtId="0" fontId="6" fillId="0" borderId="1" xfId="12" applyFont="1" applyBorder="1" applyAlignment="1">
      <alignment vertical="center"/>
    </xf>
    <xf numFmtId="9" fontId="6" fillId="0" borderId="1" xfId="12" applyNumberFormat="1" applyFont="1" applyBorder="1" applyAlignment="1">
      <alignment horizontal="center" vertical="center"/>
    </xf>
    <xf numFmtId="170" fontId="6" fillId="0" borderId="1" xfId="12" applyNumberFormat="1" applyFont="1" applyBorder="1" applyAlignment="1">
      <alignment horizontal="center" vertical="center"/>
    </xf>
    <xf numFmtId="0" fontId="25" fillId="0" borderId="0" xfId="15" applyFont="1"/>
    <xf numFmtId="0" fontId="1" fillId="0" borderId="0" xfId="37"/>
    <xf numFmtId="181" fontId="21" fillId="15" borderId="73" xfId="43" applyNumberFormat="1" applyFont="1" applyFill="1" applyBorder="1" applyAlignment="1">
      <alignment vertical="center"/>
    </xf>
    <xf numFmtId="181" fontId="21" fillId="15" borderId="105" xfId="43" applyNumberFormat="1" applyFont="1" applyFill="1" applyBorder="1" applyAlignment="1">
      <alignment vertical="center"/>
    </xf>
    <xf numFmtId="0" fontId="5" fillId="0" borderId="0" xfId="12" applyFont="1" applyAlignment="1">
      <alignment horizontal="left" vertical="center"/>
    </xf>
    <xf numFmtId="0" fontId="21" fillId="0" borderId="0" xfId="42" applyFont="1" applyAlignment="1">
      <alignment horizontal="justify" vertical="center"/>
    </xf>
    <xf numFmtId="0" fontId="0" fillId="2" borderId="0" xfId="0" applyFill="1"/>
    <xf numFmtId="0" fontId="21" fillId="0" borderId="0" xfId="27" applyFont="1" applyAlignment="1">
      <alignment horizontal="justify" vertical="center"/>
    </xf>
    <xf numFmtId="0" fontId="30" fillId="0" borderId="0" xfId="27" applyFont="1"/>
    <xf numFmtId="178" fontId="21" fillId="15" borderId="45" xfId="28" applyNumberFormat="1" applyFont="1" applyFill="1" applyBorder="1" applyAlignment="1">
      <alignment horizontal="left" vertical="top" shrinkToFit="1"/>
    </xf>
    <xf numFmtId="14" fontId="20" fillId="0" borderId="111" xfId="27" applyNumberFormat="1" applyFont="1" applyBorder="1" applyAlignment="1">
      <alignment horizontal="center" vertical="center" shrinkToFit="1"/>
    </xf>
    <xf numFmtId="178" fontId="21" fillId="15" borderId="46" xfId="28" applyNumberFormat="1" applyFont="1" applyFill="1" applyBorder="1" applyAlignment="1">
      <alignment horizontal="left" vertical="top" shrinkToFit="1"/>
    </xf>
    <xf numFmtId="179" fontId="20" fillId="0" borderId="112" xfId="27" applyNumberFormat="1" applyFont="1" applyBorder="1" applyAlignment="1">
      <alignment horizontal="center" vertical="center" shrinkToFit="1"/>
    </xf>
    <xf numFmtId="4" fontId="20" fillId="0" borderId="112" xfId="27" applyNumberFormat="1" applyFont="1" applyBorder="1" applyAlignment="1">
      <alignment horizontal="center" vertical="center" shrinkToFit="1"/>
    </xf>
    <xf numFmtId="178" fontId="21" fillId="15" borderId="113" xfId="28" applyNumberFormat="1" applyFont="1" applyFill="1" applyBorder="1" applyAlignment="1">
      <alignment horizontal="left" vertical="top" shrinkToFit="1"/>
    </xf>
    <xf numFmtId="168" fontId="22" fillId="0" borderId="114" xfId="30" applyNumberFormat="1" applyFill="1" applyBorder="1" applyAlignment="1">
      <alignment horizontal="center" vertical="center" shrinkToFit="1"/>
    </xf>
    <xf numFmtId="0" fontId="30" fillId="0" borderId="0" xfId="42" applyFont="1"/>
    <xf numFmtId="0" fontId="21" fillId="15" borderId="53" xfId="42" applyFont="1" applyFill="1" applyBorder="1" applyAlignment="1">
      <alignment horizontal="center" vertical="center"/>
    </xf>
    <xf numFmtId="178" fontId="21" fillId="15" borderId="53" xfId="43" applyNumberFormat="1" applyFont="1" applyFill="1" applyBorder="1" applyAlignment="1">
      <alignment horizontal="center" vertical="center"/>
    </xf>
    <xf numFmtId="178" fontId="21" fillId="15" borderId="54" xfId="43" applyNumberFormat="1" applyFont="1" applyFill="1" applyBorder="1" applyAlignment="1">
      <alignment horizontal="center" vertical="center"/>
    </xf>
    <xf numFmtId="0" fontId="20" fillId="0" borderId="55" xfId="42" applyFont="1" applyBorder="1" applyAlignment="1">
      <alignment horizontal="center" vertical="center" wrapText="1" shrinkToFit="1"/>
    </xf>
    <xf numFmtId="0" fontId="20" fillId="0" borderId="58" xfId="42" applyFont="1" applyBorder="1" applyAlignment="1">
      <alignment horizontal="center" vertical="center"/>
    </xf>
    <xf numFmtId="171" fontId="20" fillId="0" borderId="77" xfId="42" applyNumberFormat="1" applyFont="1" applyBorder="1" applyAlignment="1">
      <alignment horizontal="center" vertical="center"/>
    </xf>
    <xf numFmtId="181" fontId="20" fillId="0" borderId="77" xfId="43" applyNumberFormat="1" applyFont="1" applyFill="1" applyBorder="1" applyAlignment="1">
      <alignment vertical="center"/>
    </xf>
    <xf numFmtId="181" fontId="20" fillId="0" borderId="59" xfId="43" applyNumberFormat="1" applyFont="1" applyFill="1" applyBorder="1" applyAlignment="1">
      <alignment vertical="center"/>
    </xf>
    <xf numFmtId="0" fontId="20" fillId="0" borderId="139" xfId="42" applyFont="1" applyBorder="1" applyAlignment="1">
      <alignment horizontal="center" vertical="center" wrapText="1" shrinkToFit="1"/>
    </xf>
    <xf numFmtId="0" fontId="20" fillId="0" borderId="18" xfId="42" applyFont="1" applyBorder="1" applyAlignment="1">
      <alignment horizontal="center" vertical="center"/>
    </xf>
    <xf numFmtId="181" fontId="20" fillId="0" borderId="64" xfId="43" applyNumberFormat="1" applyFont="1" applyFill="1" applyBorder="1" applyAlignment="1">
      <alignment vertical="center"/>
    </xf>
    <xf numFmtId="0" fontId="20" fillId="0" borderId="65" xfId="42" applyFont="1" applyBorder="1" applyAlignment="1">
      <alignment horizontal="center" vertical="center" wrapText="1" shrinkToFit="1"/>
    </xf>
    <xf numFmtId="0" fontId="20" fillId="0" borderId="68" xfId="42" applyFont="1" applyBorder="1" applyAlignment="1">
      <alignment horizontal="center" vertical="center"/>
    </xf>
    <xf numFmtId="181" fontId="20" fillId="0" borderId="69" xfId="43" applyNumberFormat="1" applyFont="1" applyFill="1" applyBorder="1" applyAlignment="1">
      <alignment vertical="center"/>
    </xf>
    <xf numFmtId="0" fontId="20" fillId="0" borderId="146" xfId="42" applyFont="1" applyBorder="1" applyAlignment="1">
      <alignment horizontal="center" vertical="center" wrapText="1" shrinkToFit="1"/>
    </xf>
    <xf numFmtId="181" fontId="20" fillId="0" borderId="95" xfId="43" applyNumberFormat="1" applyFont="1" applyFill="1" applyBorder="1" applyAlignment="1">
      <alignment vertical="center"/>
    </xf>
    <xf numFmtId="0" fontId="20" fillId="0" borderId="140" xfId="42" applyFont="1" applyBorder="1" applyAlignment="1">
      <alignment horizontal="center" vertical="center" wrapText="1" shrinkToFit="1"/>
    </xf>
    <xf numFmtId="0" fontId="20" fillId="0" borderId="143" xfId="42" applyFont="1" applyBorder="1" applyAlignment="1">
      <alignment horizontal="center" vertical="center"/>
    </xf>
    <xf numFmtId="181" fontId="20" fillId="0" borderId="144" xfId="43" applyNumberFormat="1" applyFont="1" applyFill="1" applyBorder="1" applyAlignment="1">
      <alignment vertical="center"/>
    </xf>
    <xf numFmtId="0" fontId="20" fillId="0" borderId="74" xfId="42" applyFont="1" applyBorder="1" applyAlignment="1">
      <alignment horizontal="center" vertical="center" wrapText="1" shrinkToFit="1"/>
    </xf>
    <xf numFmtId="0" fontId="20" fillId="0" borderId="77" xfId="42" applyFont="1" applyBorder="1" applyAlignment="1">
      <alignment horizontal="center" vertical="center"/>
    </xf>
    <xf numFmtId="181" fontId="20" fillId="0" borderId="78" xfId="43" applyNumberFormat="1" applyFont="1" applyFill="1" applyBorder="1" applyAlignment="1">
      <alignment vertical="center"/>
    </xf>
    <xf numFmtId="0" fontId="20" fillId="0" borderId="84" xfId="42" applyFont="1" applyBorder="1" applyAlignment="1">
      <alignment horizontal="center" vertical="center" wrapText="1" shrinkToFit="1"/>
    </xf>
    <xf numFmtId="0" fontId="20" fillId="0" borderId="87" xfId="42" applyFont="1" applyBorder="1" applyAlignment="1">
      <alignment horizontal="center" vertical="center"/>
    </xf>
    <xf numFmtId="181" fontId="20" fillId="0" borderId="88" xfId="43" applyNumberFormat="1" applyFont="1" applyFill="1" applyBorder="1" applyAlignment="1">
      <alignment vertical="center"/>
    </xf>
    <xf numFmtId="0" fontId="34" fillId="15" borderId="53" xfId="42" applyFont="1" applyFill="1" applyBorder="1" applyAlignment="1">
      <alignment horizontal="center" vertical="center"/>
    </xf>
    <xf numFmtId="0" fontId="20" fillId="0" borderId="147" xfId="42" applyFont="1" applyBorder="1" applyAlignment="1">
      <alignment horizontal="center" vertical="center" wrapText="1" shrinkToFit="1"/>
    </xf>
    <xf numFmtId="171" fontId="20" fillId="0" borderId="104" xfId="42" applyNumberFormat="1" applyFont="1" applyBorder="1" applyAlignment="1">
      <alignment horizontal="center" vertical="center"/>
    </xf>
    <xf numFmtId="180" fontId="9" fillId="13" borderId="138" xfId="43" applyNumberFormat="1" applyFont="1" applyFill="1" applyBorder="1" applyAlignment="1">
      <alignment horizontal="center" vertical="center" shrinkToFit="1"/>
    </xf>
    <xf numFmtId="0" fontId="9" fillId="0" borderId="0" xfId="27" applyFont="1" applyAlignment="1">
      <alignment vertical="center"/>
    </xf>
    <xf numFmtId="0" fontId="32" fillId="0" borderId="0" xfId="27" applyFont="1" applyAlignment="1">
      <alignment vertical="center" shrinkToFit="1"/>
    </xf>
    <xf numFmtId="0" fontId="32" fillId="0" borderId="0" xfId="27" applyFont="1" applyAlignment="1">
      <alignment vertical="center"/>
    </xf>
    <xf numFmtId="44" fontId="20" fillId="0" borderId="77" xfId="32" applyFont="1" applyBorder="1" applyAlignment="1">
      <alignment horizontal="center" vertical="center"/>
    </xf>
    <xf numFmtId="0" fontId="20" fillId="0" borderId="0" xfId="27" applyFont="1" applyAlignment="1">
      <alignment horizontal="center" vertical="center" wrapText="1" shrinkToFit="1"/>
    </xf>
    <xf numFmtId="0" fontId="20" fillId="0" borderId="0" xfId="27" applyFont="1" applyAlignment="1">
      <alignment vertical="center"/>
    </xf>
    <xf numFmtId="0" fontId="20" fillId="0" borderId="0" xfId="27" applyFont="1" applyAlignment="1">
      <alignment horizontal="center" vertical="center"/>
    </xf>
    <xf numFmtId="181" fontId="20" fillId="0" borderId="0" xfId="28" applyNumberFormat="1" applyFont="1" applyFill="1" applyBorder="1" applyAlignment="1">
      <alignment vertical="center"/>
    </xf>
    <xf numFmtId="0" fontId="20" fillId="0" borderId="119" xfId="27" applyFont="1" applyBorder="1" applyAlignment="1">
      <alignment horizontal="center" vertical="center" wrapText="1" shrinkToFit="1"/>
    </xf>
    <xf numFmtId="0" fontId="20" fillId="0" borderId="58" xfId="27" applyFont="1" applyBorder="1" applyAlignment="1">
      <alignment horizontal="center" vertical="center"/>
    </xf>
    <xf numFmtId="171" fontId="20" fillId="0" borderId="58" xfId="27" applyNumberFormat="1" applyFont="1" applyBorder="1" applyAlignment="1">
      <alignment horizontal="center" vertical="center"/>
    </xf>
    <xf numFmtId="181" fontId="20" fillId="0" borderId="120" xfId="28" applyNumberFormat="1" applyFont="1" applyFill="1" applyBorder="1" applyAlignment="1">
      <alignment vertical="center"/>
    </xf>
    <xf numFmtId="0" fontId="20" fillId="0" borderId="121" xfId="27" applyFont="1" applyBorder="1" applyAlignment="1">
      <alignment horizontal="center" vertical="center" wrapText="1" shrinkToFit="1"/>
    </xf>
    <xf numFmtId="42" fontId="20" fillId="0" borderId="122" xfId="27" applyNumberFormat="1" applyFont="1" applyBorder="1" applyAlignment="1">
      <alignment horizontal="center" vertical="center"/>
    </xf>
    <xf numFmtId="171" fontId="20" fillId="0" borderId="63" xfId="27" applyNumberFormat="1" applyFont="1" applyBorder="1" applyAlignment="1">
      <alignment horizontal="center" vertical="center"/>
    </xf>
    <xf numFmtId="181" fontId="20" fillId="0" borderId="123" xfId="28" applyNumberFormat="1" applyFont="1" applyFill="1" applyBorder="1" applyAlignment="1">
      <alignment vertical="center"/>
    </xf>
    <xf numFmtId="0" fontId="21" fillId="15" borderId="53" xfId="27" applyFont="1" applyFill="1" applyBorder="1" applyAlignment="1">
      <alignment horizontal="center" vertical="center"/>
    </xf>
    <xf numFmtId="178" fontId="21" fillId="15" borderId="53" xfId="28" applyNumberFormat="1" applyFont="1" applyFill="1" applyBorder="1" applyAlignment="1">
      <alignment horizontal="center" vertical="center"/>
    </xf>
    <xf numFmtId="178" fontId="21" fillId="15" borderId="118" xfId="28" applyNumberFormat="1" applyFont="1" applyFill="1" applyBorder="1" applyAlignment="1">
      <alignment horizontal="center" vertical="center"/>
    </xf>
    <xf numFmtId="0" fontId="20" fillId="0" borderId="129" xfId="27" applyFont="1" applyBorder="1" applyAlignment="1">
      <alignment horizontal="center" vertical="center" wrapText="1" shrinkToFit="1"/>
    </xf>
    <xf numFmtId="0" fontId="20" fillId="0" borderId="122" xfId="27" applyFont="1" applyBorder="1" applyAlignment="1">
      <alignment horizontal="center" vertical="center"/>
    </xf>
    <xf numFmtId="181" fontId="20" fillId="0" borderId="122" xfId="28" applyNumberFormat="1" applyFont="1" applyFill="1" applyBorder="1" applyAlignment="1">
      <alignment vertical="center"/>
    </xf>
    <xf numFmtId="171" fontId="20" fillId="0" borderId="122" xfId="27" applyNumberFormat="1" applyFont="1" applyBorder="1" applyAlignment="1">
      <alignment horizontal="center" vertical="center"/>
    </xf>
    <xf numFmtId="181" fontId="20" fillId="0" borderId="205" xfId="28" applyNumberFormat="1" applyFont="1" applyFill="1" applyBorder="1" applyAlignment="1">
      <alignment vertical="center"/>
    </xf>
    <xf numFmtId="0" fontId="20" fillId="0" borderId="132" xfId="27" applyFont="1" applyBorder="1" applyAlignment="1">
      <alignment horizontal="center" vertical="center" wrapText="1" shrinkToFit="1"/>
    </xf>
    <xf numFmtId="0" fontId="20" fillId="0" borderId="87" xfId="27" applyFont="1" applyBorder="1" applyAlignment="1">
      <alignment horizontal="center" vertical="center"/>
    </xf>
    <xf numFmtId="171" fontId="20" fillId="0" borderId="87" xfId="27" applyNumberFormat="1" applyFont="1" applyBorder="1" applyAlignment="1">
      <alignment horizontal="center" vertical="center"/>
    </xf>
    <xf numFmtId="181" fontId="20" fillId="0" borderId="133" xfId="28" applyNumberFormat="1" applyFont="1" applyFill="1" applyBorder="1" applyAlignment="1">
      <alignment vertical="center"/>
    </xf>
    <xf numFmtId="0" fontId="34" fillId="15" borderId="53" xfId="27" applyFont="1" applyFill="1" applyBorder="1" applyAlignment="1">
      <alignment horizontal="center" vertical="center"/>
    </xf>
    <xf numFmtId="0" fontId="20" fillId="0" borderId="126" xfId="27" applyFont="1" applyBorder="1" applyAlignment="1">
      <alignment horizontal="center" vertical="center" wrapText="1" shrinkToFit="1"/>
    </xf>
    <xf numFmtId="42" fontId="20" fillId="0" borderId="93" xfId="27" applyNumberFormat="1" applyFont="1" applyBorder="1" applyAlignment="1">
      <alignment horizontal="center" vertical="center"/>
    </xf>
    <xf numFmtId="171" fontId="20" fillId="0" borderId="93" xfId="27" applyNumberFormat="1" applyFont="1" applyBorder="1" applyAlignment="1">
      <alignment horizontal="center" vertical="center"/>
    </xf>
    <xf numFmtId="181" fontId="20" fillId="0" borderId="207" xfId="28" applyNumberFormat="1" applyFont="1" applyFill="1" applyBorder="1" applyAlignment="1">
      <alignment vertical="center"/>
    </xf>
    <xf numFmtId="180" fontId="9" fillId="13" borderId="138" xfId="28" applyNumberFormat="1" applyFont="1" applyFill="1" applyBorder="1" applyAlignment="1">
      <alignment horizontal="center" vertical="center" shrinkToFit="1"/>
    </xf>
    <xf numFmtId="178" fontId="21" fillId="15" borderId="54" xfId="28" applyNumberFormat="1" applyFont="1" applyFill="1" applyBorder="1" applyAlignment="1">
      <alignment horizontal="center" vertical="center"/>
    </xf>
    <xf numFmtId="0" fontId="20" fillId="0" borderId="55" xfId="27" applyFont="1" applyBorder="1" applyAlignment="1">
      <alignment horizontal="center" vertical="center" wrapText="1" shrinkToFit="1"/>
    </xf>
    <xf numFmtId="171" fontId="20" fillId="0" borderId="77" xfId="27" applyNumberFormat="1" applyFont="1" applyBorder="1" applyAlignment="1">
      <alignment horizontal="center" vertical="center"/>
    </xf>
    <xf numFmtId="181" fontId="20" fillId="0" borderId="77" xfId="28" applyNumberFormat="1" applyFont="1" applyFill="1" applyBorder="1" applyAlignment="1">
      <alignment vertical="center"/>
    </xf>
    <xf numFmtId="181" fontId="20" fillId="0" borderId="59" xfId="28" applyNumberFormat="1" applyFont="1" applyFill="1" applyBorder="1" applyAlignment="1">
      <alignment vertical="center"/>
    </xf>
    <xf numFmtId="0" fontId="20" fillId="0" borderId="65" xfId="27" applyFont="1" applyBorder="1" applyAlignment="1">
      <alignment horizontal="center" vertical="center" wrapText="1" shrinkToFit="1"/>
    </xf>
    <xf numFmtId="0" fontId="20" fillId="0" borderId="68" xfId="27" applyFont="1" applyBorder="1" applyAlignment="1">
      <alignment horizontal="center" vertical="center"/>
    </xf>
    <xf numFmtId="171" fontId="20" fillId="0" borderId="68" xfId="27" applyNumberFormat="1" applyFont="1" applyBorder="1" applyAlignment="1">
      <alignment horizontal="center" vertical="center"/>
    </xf>
    <xf numFmtId="181" fontId="20" fillId="0" borderId="69" xfId="28" applyNumberFormat="1" applyFont="1" applyFill="1" applyBorder="1" applyAlignment="1">
      <alignment vertical="center"/>
    </xf>
    <xf numFmtId="0" fontId="20" fillId="0" borderId="92" xfId="27" applyFont="1" applyBorder="1" applyAlignment="1">
      <alignment horizontal="center" vertical="center" wrapText="1" shrinkToFit="1"/>
    </xf>
    <xf numFmtId="0" fontId="20" fillId="0" borderId="140" xfId="27" applyFont="1" applyBorder="1" applyAlignment="1">
      <alignment horizontal="center" vertical="center" wrapText="1" shrinkToFit="1"/>
    </xf>
    <xf numFmtId="181" fontId="20" fillId="0" borderId="144" xfId="28" applyNumberFormat="1" applyFont="1" applyFill="1" applyBorder="1" applyAlignment="1">
      <alignment vertical="center"/>
    </xf>
    <xf numFmtId="179" fontId="30" fillId="0" borderId="0" xfId="27" applyNumberFormat="1" applyFont="1"/>
    <xf numFmtId="180" fontId="30" fillId="0" borderId="0" xfId="27" applyNumberFormat="1" applyFont="1"/>
    <xf numFmtId="0" fontId="20" fillId="0" borderId="74" xfId="27" applyFont="1" applyBorder="1" applyAlignment="1">
      <alignment horizontal="center" vertical="center" wrapText="1" shrinkToFit="1"/>
    </xf>
    <xf numFmtId="0" fontId="20" fillId="0" borderId="77" xfId="27" applyFont="1" applyBorder="1" applyAlignment="1">
      <alignment horizontal="center" vertical="center"/>
    </xf>
    <xf numFmtId="181" fontId="20" fillId="0" borderId="78" xfId="28" applyNumberFormat="1" applyFont="1" applyFill="1" applyBorder="1" applyAlignment="1">
      <alignment vertical="center"/>
    </xf>
    <xf numFmtId="0" fontId="20" fillId="0" borderId="84" xfId="27" applyFont="1" applyBorder="1" applyAlignment="1">
      <alignment horizontal="center" vertical="center" wrapText="1" shrinkToFit="1"/>
    </xf>
    <xf numFmtId="181" fontId="20" fillId="0" borderId="88" xfId="28" applyNumberFormat="1" applyFont="1" applyFill="1" applyBorder="1" applyAlignment="1">
      <alignment vertical="center"/>
    </xf>
    <xf numFmtId="0" fontId="20" fillId="0" borderId="147" xfId="27" applyFont="1" applyBorder="1" applyAlignment="1">
      <alignment horizontal="center" vertical="center" wrapText="1" shrinkToFit="1"/>
    </xf>
    <xf numFmtId="0" fontId="20" fillId="0" borderId="148" xfId="27" applyFont="1" applyBorder="1" applyAlignment="1">
      <alignment horizontal="left" vertical="center"/>
    </xf>
    <xf numFmtId="0" fontId="20" fillId="0" borderId="149" xfId="27" applyFont="1" applyBorder="1" applyAlignment="1">
      <alignment horizontal="left" vertical="center"/>
    </xf>
    <xf numFmtId="0" fontId="20" fillId="0" borderId="94" xfId="27" applyFont="1" applyBorder="1" applyAlignment="1">
      <alignment horizontal="center" vertical="center"/>
    </xf>
    <xf numFmtId="171" fontId="20" fillId="0" borderId="104" xfId="27" applyNumberFormat="1" applyFont="1" applyBorder="1" applyAlignment="1">
      <alignment horizontal="center" vertical="center"/>
    </xf>
    <xf numFmtId="180" fontId="9" fillId="13" borderId="44" xfId="28" applyNumberFormat="1" applyFont="1" applyFill="1" applyBorder="1" applyAlignment="1">
      <alignment horizontal="center" vertical="center" shrinkToFit="1"/>
    </xf>
    <xf numFmtId="0" fontId="20" fillId="0" borderId="0" xfId="27" applyFont="1" applyAlignment="1">
      <alignment horizontal="center" vertical="center" shrinkToFit="1"/>
    </xf>
    <xf numFmtId="0" fontId="20" fillId="0" borderId="18" xfId="27" applyFont="1" applyBorder="1" applyAlignment="1">
      <alignment horizontal="center" vertical="center"/>
    </xf>
    <xf numFmtId="181" fontId="20" fillId="0" borderId="95" xfId="28" applyNumberFormat="1" applyFont="1" applyFill="1" applyBorder="1" applyAlignment="1">
      <alignment vertical="center"/>
    </xf>
    <xf numFmtId="180" fontId="9" fillId="0" borderId="44" xfId="28" applyNumberFormat="1" applyFont="1" applyFill="1" applyBorder="1" applyAlignment="1">
      <alignment horizontal="center" vertical="center" shrinkToFit="1"/>
    </xf>
    <xf numFmtId="0" fontId="21" fillId="0" borderId="0" xfId="27" applyFont="1" applyAlignment="1">
      <alignment vertical="center"/>
    </xf>
    <xf numFmtId="0" fontId="21" fillId="0" borderId="0" xfId="27" applyFont="1" applyAlignment="1">
      <alignment horizontal="center" vertical="center"/>
    </xf>
    <xf numFmtId="178" fontId="21" fillId="0" borderId="0" xfId="28" applyNumberFormat="1" applyFont="1" applyFill="1" applyBorder="1" applyAlignment="1">
      <alignment horizontal="center" vertical="center"/>
    </xf>
    <xf numFmtId="180" fontId="9" fillId="0" borderId="138" xfId="43" applyNumberFormat="1" applyFont="1" applyFill="1" applyBorder="1" applyAlignment="1">
      <alignment horizontal="center" vertical="center" shrinkToFit="1"/>
    </xf>
    <xf numFmtId="0" fontId="9" fillId="0" borderId="0" xfId="27" applyFont="1" applyAlignment="1">
      <alignment horizontal="center" vertical="center"/>
    </xf>
    <xf numFmtId="180" fontId="9" fillId="0" borderId="0" xfId="28" applyNumberFormat="1" applyFont="1" applyFill="1" applyBorder="1" applyAlignment="1">
      <alignment horizontal="center" vertical="center" shrinkToFit="1"/>
    </xf>
    <xf numFmtId="0" fontId="20" fillId="0" borderId="139" xfId="27" applyFont="1" applyBorder="1" applyAlignment="1">
      <alignment horizontal="center" vertical="center" wrapText="1" shrinkToFit="1"/>
    </xf>
    <xf numFmtId="181" fontId="20" fillId="0" borderId="64" xfId="28" applyNumberFormat="1" applyFont="1" applyFill="1" applyBorder="1" applyAlignment="1">
      <alignment vertical="center"/>
    </xf>
    <xf numFmtId="0" fontId="21" fillId="0" borderId="0" xfId="27" applyFont="1" applyAlignment="1">
      <alignment vertical="center" shrinkToFit="1"/>
    </xf>
    <xf numFmtId="14" fontId="20" fillId="0" borderId="0" xfId="27" applyNumberFormat="1" applyFont="1" applyAlignment="1">
      <alignment horizontal="center" vertical="center" shrinkToFit="1"/>
    </xf>
    <xf numFmtId="181" fontId="20" fillId="0" borderId="158" xfId="28" applyNumberFormat="1" applyFont="1" applyFill="1" applyBorder="1" applyAlignment="1">
      <alignment vertical="center"/>
    </xf>
    <xf numFmtId="180" fontId="9" fillId="0" borderId="138" xfId="28" applyNumberFormat="1" applyFont="1" applyFill="1" applyBorder="1" applyAlignment="1">
      <alignment horizontal="center" vertical="center" shrinkToFit="1"/>
    </xf>
    <xf numFmtId="0" fontId="20" fillId="0" borderId="60" xfId="27" applyFont="1" applyBorder="1" applyAlignment="1">
      <alignment horizontal="center" vertical="center" wrapText="1" shrinkToFit="1"/>
    </xf>
    <xf numFmtId="0" fontId="20" fillId="0" borderId="96" xfId="27" applyFont="1" applyBorder="1" applyAlignment="1">
      <alignment horizontal="center" vertical="center" wrapText="1" shrinkToFit="1"/>
    </xf>
    <xf numFmtId="0" fontId="20" fillId="0" borderId="79" xfId="27" applyFont="1" applyBorder="1" applyAlignment="1">
      <alignment horizontal="center" vertical="center" wrapText="1" shrinkToFit="1"/>
    </xf>
    <xf numFmtId="0" fontId="20" fillId="0" borderId="82" xfId="27" applyFont="1" applyBorder="1" applyAlignment="1">
      <alignment horizontal="center" vertical="center"/>
    </xf>
    <xf numFmtId="171" fontId="20" fillId="0" borderId="82" xfId="27" applyNumberFormat="1" applyFont="1" applyBorder="1" applyAlignment="1">
      <alignment horizontal="center" vertical="center"/>
    </xf>
    <xf numFmtId="181" fontId="20" fillId="0" borderId="83" xfId="28" applyNumberFormat="1" applyFont="1" applyFill="1" applyBorder="1" applyAlignment="1">
      <alignment vertical="center"/>
    </xf>
    <xf numFmtId="0" fontId="20" fillId="0" borderId="127" xfId="27" applyFont="1" applyBorder="1" applyAlignment="1">
      <alignment vertical="center"/>
    </xf>
    <xf numFmtId="0" fontId="20" fillId="0" borderId="160" xfId="27" applyFont="1" applyBorder="1" applyAlignment="1">
      <alignment horizontal="center" vertical="center"/>
    </xf>
    <xf numFmtId="0" fontId="31" fillId="0" borderId="0" xfId="3" applyFont="1" applyAlignment="1">
      <alignment horizontal="center"/>
    </xf>
    <xf numFmtId="0" fontId="20" fillId="0" borderId="188" xfId="27" applyFont="1" applyBorder="1" applyAlignment="1">
      <alignment horizontal="center" vertical="center" wrapText="1" shrinkToFit="1"/>
    </xf>
    <xf numFmtId="181" fontId="20" fillId="0" borderId="99" xfId="28" applyNumberFormat="1" applyFont="1" applyFill="1" applyBorder="1" applyAlignment="1">
      <alignment vertical="center"/>
    </xf>
    <xf numFmtId="0" fontId="20" fillId="0" borderId="100" xfId="27" applyFont="1" applyBorder="1" applyAlignment="1">
      <alignment horizontal="center" vertical="center" wrapText="1" shrinkToFit="1"/>
    </xf>
    <xf numFmtId="0" fontId="20" fillId="0" borderId="101" xfId="27" applyFont="1" applyBorder="1" applyAlignment="1">
      <alignment vertical="center"/>
    </xf>
    <xf numFmtId="0" fontId="20" fillId="0" borderId="167" xfId="27" applyFont="1" applyBorder="1" applyAlignment="1">
      <alignment horizontal="center" vertical="center"/>
    </xf>
    <xf numFmtId="42" fontId="20" fillId="0" borderId="134" xfId="27" applyNumberFormat="1" applyFont="1" applyBorder="1" applyAlignment="1">
      <alignment horizontal="center" vertical="center"/>
    </xf>
    <xf numFmtId="171" fontId="20" fillId="0" borderId="134" xfId="27" applyNumberFormat="1" applyFont="1" applyBorder="1" applyAlignment="1">
      <alignment horizontal="center" vertical="center"/>
    </xf>
    <xf numFmtId="181" fontId="20" fillId="0" borderId="102" xfId="28" applyNumberFormat="1" applyFont="1" applyFill="1" applyBorder="1" applyAlignment="1">
      <alignment vertical="center"/>
    </xf>
    <xf numFmtId="0" fontId="20" fillId="0" borderId="63" xfId="27" applyFont="1" applyBorder="1" applyAlignment="1">
      <alignment horizontal="center" vertical="center"/>
    </xf>
    <xf numFmtId="0" fontId="20" fillId="0" borderId="169" xfId="27" applyFont="1" applyBorder="1" applyAlignment="1">
      <alignment horizontal="center" vertical="center" wrapText="1" shrinkToFit="1"/>
    </xf>
    <xf numFmtId="181" fontId="20" fillId="0" borderId="170" xfId="28" applyNumberFormat="1" applyFont="1" applyFill="1" applyBorder="1" applyAlignment="1">
      <alignment vertical="center"/>
    </xf>
    <xf numFmtId="0" fontId="20" fillId="0" borderId="130" xfId="27" applyFont="1" applyBorder="1" applyAlignment="1">
      <alignment horizontal="center" vertical="center" wrapText="1" shrinkToFit="1"/>
    </xf>
    <xf numFmtId="181" fontId="20" fillId="0" borderId="131" xfId="28" applyNumberFormat="1" applyFont="1" applyFill="1" applyBorder="1" applyAlignment="1">
      <alignment vertical="center"/>
    </xf>
    <xf numFmtId="0" fontId="20" fillId="0" borderId="174" xfId="27" applyFont="1" applyBorder="1" applyAlignment="1">
      <alignment horizontal="center" vertical="center" wrapText="1" shrinkToFit="1"/>
    </xf>
    <xf numFmtId="181" fontId="20" fillId="0" borderId="175" xfId="28" applyNumberFormat="1" applyFont="1" applyFill="1" applyBorder="1" applyAlignment="1">
      <alignment vertical="center"/>
    </xf>
    <xf numFmtId="0" fontId="20" fillId="0" borderId="176" xfId="27" applyFont="1" applyBorder="1" applyAlignment="1">
      <alignment horizontal="center" vertical="center" wrapText="1" shrinkToFit="1"/>
    </xf>
    <xf numFmtId="0" fontId="20" fillId="0" borderId="178" xfId="27" applyFont="1" applyBorder="1" applyAlignment="1">
      <alignment horizontal="center" vertical="center"/>
    </xf>
    <xf numFmtId="171" fontId="20" fillId="2" borderId="178" xfId="27" applyNumberFormat="1" applyFont="1" applyFill="1" applyBorder="1" applyAlignment="1">
      <alignment horizontal="center" vertical="center"/>
    </xf>
    <xf numFmtId="181" fontId="20" fillId="0" borderId="179" xfId="28" applyNumberFormat="1" applyFont="1" applyFill="1" applyBorder="1" applyAlignment="1">
      <alignment vertical="center"/>
    </xf>
    <xf numFmtId="0" fontId="20" fillId="0" borderId="60" xfId="42" applyFont="1" applyBorder="1" applyAlignment="1">
      <alignment horizontal="center" vertical="center" wrapText="1" shrinkToFit="1"/>
    </xf>
    <xf numFmtId="0" fontId="20" fillId="0" borderId="63" xfId="42" applyFont="1" applyBorder="1" applyAlignment="1">
      <alignment horizontal="center" vertical="center"/>
    </xf>
    <xf numFmtId="0" fontId="20" fillId="0" borderId="97" xfId="27" applyFont="1" applyBorder="1" applyAlignment="1">
      <alignment vertical="center"/>
    </xf>
    <xf numFmtId="0" fontId="20" fillId="0" borderId="202" xfId="27" applyFont="1" applyBorder="1" applyAlignment="1">
      <alignment horizontal="center" vertical="center"/>
    </xf>
    <xf numFmtId="4" fontId="20" fillId="0" borderId="122" xfId="27" applyNumberFormat="1" applyFont="1" applyBorder="1" applyAlignment="1">
      <alignment horizontal="center" vertical="center"/>
    </xf>
    <xf numFmtId="0" fontId="20" fillId="0" borderId="148" xfId="42" applyFont="1" applyBorder="1" applyAlignment="1">
      <alignment horizontal="left" vertical="center"/>
    </xf>
    <xf numFmtId="0" fontId="20" fillId="0" borderId="149" xfId="42" applyFont="1" applyBorder="1" applyAlignment="1">
      <alignment horizontal="left" vertical="center"/>
    </xf>
    <xf numFmtId="0" fontId="20" fillId="0" borderId="94" xfId="42" applyFont="1" applyBorder="1" applyAlignment="1">
      <alignment horizontal="center" vertical="center"/>
    </xf>
    <xf numFmtId="181" fontId="20" fillId="0" borderId="158" xfId="43" applyNumberFormat="1" applyFont="1" applyFill="1" applyBorder="1" applyAlignment="1">
      <alignment vertical="center"/>
    </xf>
    <xf numFmtId="14" fontId="20" fillId="0" borderId="111" xfId="42" applyNumberFormat="1" applyFont="1" applyBorder="1" applyAlignment="1">
      <alignment horizontal="center" vertical="center" shrinkToFit="1"/>
    </xf>
    <xf numFmtId="0" fontId="9" fillId="0" borderId="0" xfId="42" applyFont="1" applyAlignment="1">
      <alignment horizontal="center" vertical="center"/>
    </xf>
    <xf numFmtId="180" fontId="9" fillId="0" borderId="0" xfId="43" applyNumberFormat="1" applyFont="1" applyFill="1" applyBorder="1" applyAlignment="1">
      <alignment horizontal="center" vertical="center" shrinkToFit="1"/>
    </xf>
    <xf numFmtId="180" fontId="9" fillId="13" borderId="44" xfId="43" applyNumberFormat="1" applyFont="1" applyFill="1" applyBorder="1" applyAlignment="1">
      <alignment horizontal="center" vertical="center" shrinkToFit="1"/>
    </xf>
    <xf numFmtId="0" fontId="20" fillId="0" borderId="57" xfId="27" applyFont="1" applyBorder="1" applyAlignment="1">
      <alignment horizontal="center" vertical="center" wrapText="1" shrinkToFit="1"/>
    </xf>
    <xf numFmtId="0" fontId="20" fillId="0" borderId="62" xfId="27" applyFont="1" applyBorder="1" applyAlignment="1">
      <alignment horizontal="center" vertical="center" wrapText="1" shrinkToFit="1"/>
    </xf>
    <xf numFmtId="0" fontId="20" fillId="0" borderId="98" xfId="27" applyFont="1" applyBorder="1" applyAlignment="1">
      <alignment horizontal="center" vertical="center" wrapText="1" shrinkToFit="1"/>
    </xf>
    <xf numFmtId="0" fontId="20" fillId="0" borderId="86" xfId="27" applyFont="1" applyBorder="1" applyAlignment="1">
      <alignment horizontal="center" vertical="center" wrapText="1" shrinkToFit="1"/>
    </xf>
    <xf numFmtId="0" fontId="20" fillId="0" borderId="128" xfId="27" applyFont="1" applyBorder="1" applyAlignment="1">
      <alignment horizontal="center" vertical="center" wrapText="1" shrinkToFit="1"/>
    </xf>
    <xf numFmtId="0" fontId="35" fillId="0" borderId="55" xfId="42" applyFont="1" applyBorder="1" applyAlignment="1">
      <alignment horizontal="center" vertical="center" wrapText="1" shrinkToFit="1"/>
    </xf>
    <xf numFmtId="0" fontId="36" fillId="0" borderId="0" xfId="3" applyFont="1" applyAlignment="1">
      <alignment vertical="center" wrapText="1"/>
    </xf>
    <xf numFmtId="0" fontId="37" fillId="0" borderId="0" xfId="42" applyFont="1" applyAlignment="1">
      <alignment vertical="center" wrapText="1"/>
    </xf>
    <xf numFmtId="0" fontId="35" fillId="0" borderId="0" xfId="3" applyFont="1" applyAlignment="1">
      <alignment vertical="center" wrapText="1"/>
    </xf>
    <xf numFmtId="0" fontId="39" fillId="0" borderId="0" xfId="3" applyFont="1"/>
    <xf numFmtId="0" fontId="1" fillId="0" borderId="0" xfId="42"/>
    <xf numFmtId="0" fontId="38" fillId="0" borderId="121" xfId="27" applyFont="1" applyBorder="1" applyAlignment="1">
      <alignment horizontal="center" vertical="center" wrapText="1" shrinkToFit="1"/>
    </xf>
    <xf numFmtId="182" fontId="21" fillId="15" borderId="53" xfId="32" applyNumberFormat="1" applyFont="1" applyFill="1" applyBorder="1" applyAlignment="1">
      <alignment horizontal="center" vertical="center"/>
    </xf>
    <xf numFmtId="182" fontId="20" fillId="0" borderId="77" xfId="32" applyNumberFormat="1" applyFont="1" applyBorder="1" applyAlignment="1">
      <alignment horizontal="center" vertical="center"/>
    </xf>
    <xf numFmtId="182" fontId="20" fillId="0" borderId="68" xfId="32" applyNumberFormat="1" applyFont="1" applyFill="1" applyBorder="1" applyAlignment="1">
      <alignment horizontal="center" vertical="center"/>
    </xf>
    <xf numFmtId="182" fontId="20" fillId="0" borderId="58" xfId="32" applyNumberFormat="1" applyFont="1" applyBorder="1" applyAlignment="1">
      <alignment horizontal="center" vertical="center"/>
    </xf>
    <xf numFmtId="182" fontId="20" fillId="0" borderId="77" xfId="32" applyNumberFormat="1" applyFont="1" applyFill="1" applyBorder="1" applyAlignment="1">
      <alignment horizontal="center" vertical="center"/>
    </xf>
    <xf numFmtId="182" fontId="20" fillId="0" borderId="87" xfId="32" applyNumberFormat="1" applyFont="1" applyFill="1" applyBorder="1" applyAlignment="1">
      <alignment horizontal="center" vertical="center"/>
    </xf>
    <xf numFmtId="182" fontId="20" fillId="0" borderId="94" xfId="32" applyNumberFormat="1" applyFont="1" applyBorder="1" applyAlignment="1">
      <alignment horizontal="center" vertical="center"/>
    </xf>
    <xf numFmtId="182" fontId="20" fillId="0" borderId="58" xfId="32" applyNumberFormat="1" applyFont="1" applyFill="1" applyBorder="1" applyAlignment="1">
      <alignment horizontal="center" vertical="center"/>
    </xf>
    <xf numFmtId="182" fontId="20" fillId="0" borderId="122" xfId="32" applyNumberFormat="1" applyFont="1" applyBorder="1" applyAlignment="1">
      <alignment horizontal="center" vertical="center"/>
    </xf>
    <xf numFmtId="182" fontId="20" fillId="0" borderId="122" xfId="32" applyNumberFormat="1" applyFont="1" applyFill="1" applyBorder="1" applyAlignment="1">
      <alignment horizontal="center" vertical="center"/>
    </xf>
    <xf numFmtId="182" fontId="20" fillId="0" borderId="93" xfId="32" applyNumberFormat="1" applyFont="1" applyBorder="1" applyAlignment="1">
      <alignment horizontal="center" vertical="center"/>
    </xf>
    <xf numFmtId="182" fontId="31" fillId="0" borderId="0" xfId="32" applyNumberFormat="1" applyFont="1" applyAlignment="1">
      <alignment horizontal="center"/>
    </xf>
    <xf numFmtId="182" fontId="20" fillId="0" borderId="82" xfId="32" applyNumberFormat="1" applyFont="1" applyFill="1" applyBorder="1" applyAlignment="1">
      <alignment horizontal="center" vertical="center"/>
    </xf>
    <xf numFmtId="182" fontId="20" fillId="0" borderId="63" xfId="32" applyNumberFormat="1" applyFont="1" applyFill="1" applyBorder="1" applyAlignment="1">
      <alignment horizontal="center" vertical="center"/>
    </xf>
    <xf numFmtId="182" fontId="20" fillId="0" borderId="178" xfId="32" applyNumberFormat="1" applyFont="1" applyFill="1" applyBorder="1" applyAlignment="1">
      <alignment horizontal="center" vertical="center"/>
    </xf>
    <xf numFmtId="182" fontId="20" fillId="0" borderId="134" xfId="32" applyNumberFormat="1" applyFont="1" applyBorder="1" applyAlignment="1">
      <alignment horizontal="center" vertical="center"/>
    </xf>
    <xf numFmtId="182" fontId="30" fillId="0" borderId="0" xfId="32" applyNumberFormat="1" applyFont="1" applyAlignment="1">
      <alignment horizontal="center"/>
    </xf>
    <xf numFmtId="0" fontId="20" fillId="0" borderId="8" xfId="27" applyFont="1" applyBorder="1" applyAlignment="1">
      <alignment horizontal="center" vertical="center" wrapText="1" shrinkToFit="1"/>
    </xf>
    <xf numFmtId="2" fontId="20" fillId="0" borderId="93" xfId="32" applyNumberFormat="1" applyFont="1" applyBorder="1" applyAlignment="1">
      <alignment horizontal="center" vertical="center"/>
    </xf>
    <xf numFmtId="2" fontId="20" fillId="0" borderId="77" xfId="32" applyNumberFormat="1" applyFont="1" applyFill="1" applyBorder="1" applyAlignment="1">
      <alignment horizontal="center" vertical="center"/>
    </xf>
    <xf numFmtId="2" fontId="25" fillId="0" borderId="0" xfId="15" applyNumberFormat="1" applyFont="1" applyAlignment="1">
      <alignment horizontal="center"/>
    </xf>
    <xf numFmtId="2" fontId="20" fillId="0" borderId="77" xfId="32" applyNumberFormat="1" applyFont="1" applyBorder="1" applyAlignment="1">
      <alignment horizontal="center" vertical="center"/>
    </xf>
    <xf numFmtId="42" fontId="38" fillId="0" borderId="122" xfId="27" applyNumberFormat="1" applyFont="1" applyBorder="1" applyAlignment="1">
      <alignment horizontal="center" vertical="center"/>
    </xf>
    <xf numFmtId="181" fontId="38" fillId="0" borderId="205" xfId="28" applyNumberFormat="1" applyFont="1" applyFill="1" applyBorder="1" applyAlignment="1">
      <alignment vertical="center"/>
    </xf>
    <xf numFmtId="0" fontId="20" fillId="0" borderId="103" xfId="27" applyFont="1" applyBorder="1" applyAlignment="1">
      <alignment horizontal="center" vertical="center" wrapText="1" shrinkToFit="1"/>
    </xf>
    <xf numFmtId="0" fontId="40" fillId="0" borderId="58" xfId="42" applyFont="1" applyBorder="1" applyAlignment="1">
      <alignment horizontal="center" vertical="center"/>
    </xf>
    <xf numFmtId="0" fontId="40" fillId="0" borderId="68" xfId="27" applyFont="1" applyBorder="1" applyAlignment="1">
      <alignment horizontal="center" vertical="center"/>
    </xf>
    <xf numFmtId="186" fontId="20" fillId="0" borderId="93" xfId="32" applyNumberFormat="1" applyFont="1" applyBorder="1" applyAlignment="1">
      <alignment horizontal="center" vertical="center"/>
    </xf>
    <xf numFmtId="0" fontId="15" fillId="0" borderId="0" xfId="0" applyFont="1"/>
    <xf numFmtId="174" fontId="15" fillId="2" borderId="1" xfId="11" applyNumberFormat="1" applyFont="1" applyFill="1" applyBorder="1" applyAlignment="1">
      <alignment horizontal="center" vertical="center" wrapText="1"/>
    </xf>
    <xf numFmtId="174" fontId="15" fillId="12" borderId="1" xfId="11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5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32" fillId="0" borderId="0" xfId="32" applyNumberFormat="1" applyFont="1" applyAlignment="1">
      <alignment horizontal="center" vertical="center"/>
    </xf>
    <xf numFmtId="0" fontId="21" fillId="15" borderId="53" xfId="32" applyNumberFormat="1" applyFont="1" applyFill="1" applyBorder="1" applyAlignment="1">
      <alignment horizontal="center" vertical="center"/>
    </xf>
    <xf numFmtId="0" fontId="20" fillId="0" borderId="77" xfId="32" applyNumberFormat="1" applyFont="1" applyBorder="1" applyAlignment="1">
      <alignment horizontal="center" vertical="center"/>
    </xf>
    <xf numFmtId="0" fontId="20" fillId="0" borderId="68" xfId="32" applyNumberFormat="1" applyFont="1" applyFill="1" applyBorder="1" applyAlignment="1">
      <alignment horizontal="center" vertical="center"/>
    </xf>
    <xf numFmtId="0" fontId="20" fillId="0" borderId="58" xfId="32" applyNumberFormat="1" applyFont="1" applyBorder="1" applyAlignment="1">
      <alignment horizontal="center" vertical="center"/>
    </xf>
    <xf numFmtId="0" fontId="20" fillId="0" borderId="77" xfId="32" applyNumberFormat="1" applyFont="1" applyFill="1" applyBorder="1" applyAlignment="1">
      <alignment horizontal="center" vertical="center"/>
    </xf>
    <xf numFmtId="0" fontId="20" fillId="0" borderId="87" xfId="32" applyNumberFormat="1" applyFont="1" applyFill="1" applyBorder="1" applyAlignment="1">
      <alignment horizontal="center" vertical="center"/>
    </xf>
    <xf numFmtId="0" fontId="20" fillId="0" borderId="94" xfId="32" applyNumberFormat="1" applyFont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0" fontId="9" fillId="0" borderId="0" xfId="32" applyNumberFormat="1" applyFont="1" applyAlignment="1">
      <alignment horizontal="center" vertical="center"/>
    </xf>
    <xf numFmtId="0" fontId="20" fillId="0" borderId="58" xfId="32" applyNumberFormat="1" applyFont="1" applyFill="1" applyBorder="1" applyAlignment="1">
      <alignment horizontal="center" vertical="center"/>
    </xf>
    <xf numFmtId="0" fontId="20" fillId="0" borderId="122" xfId="32" applyNumberFormat="1" applyFont="1" applyBorder="1" applyAlignment="1">
      <alignment horizontal="center" vertical="center"/>
    </xf>
    <xf numFmtId="0" fontId="20" fillId="0" borderId="122" xfId="32" applyNumberFormat="1" applyFont="1" applyFill="1" applyBorder="1" applyAlignment="1">
      <alignment horizontal="center" vertical="center"/>
    </xf>
    <xf numFmtId="0" fontId="20" fillId="0" borderId="93" xfId="32" applyNumberFormat="1" applyFont="1" applyBorder="1" applyAlignment="1">
      <alignment horizontal="center" vertical="center"/>
    </xf>
    <xf numFmtId="0" fontId="21" fillId="0" borderId="0" xfId="32" applyNumberFormat="1" applyFont="1" applyFill="1" applyBorder="1" applyAlignment="1">
      <alignment horizontal="center" vertical="center"/>
    </xf>
    <xf numFmtId="0" fontId="21" fillId="0" borderId="0" xfId="32" applyNumberFormat="1" applyFont="1" applyAlignment="1">
      <alignment horizontal="center" vertical="center" shrinkToFit="1"/>
    </xf>
    <xf numFmtId="0" fontId="21" fillId="0" borderId="0" xfId="32" applyNumberFormat="1" applyFont="1" applyAlignment="1">
      <alignment horizontal="center" vertical="center"/>
    </xf>
    <xf numFmtId="0" fontId="31" fillId="0" borderId="0" xfId="32" applyNumberFormat="1" applyFont="1" applyAlignment="1">
      <alignment horizontal="center"/>
    </xf>
    <xf numFmtId="0" fontId="20" fillId="0" borderId="82" xfId="32" applyNumberFormat="1" applyFont="1" applyFill="1" applyBorder="1" applyAlignment="1">
      <alignment horizontal="center" vertical="center"/>
    </xf>
    <xf numFmtId="0" fontId="20" fillId="0" borderId="63" xfId="32" applyNumberFormat="1" applyFont="1" applyFill="1" applyBorder="1" applyAlignment="1">
      <alignment horizontal="center" vertical="center"/>
    </xf>
    <xf numFmtId="0" fontId="20" fillId="0" borderId="178" xfId="32" applyNumberFormat="1" applyFont="1" applyFill="1" applyBorder="1" applyAlignment="1">
      <alignment horizontal="center" vertical="center"/>
    </xf>
    <xf numFmtId="0" fontId="20" fillId="0" borderId="134" xfId="32" applyNumberFormat="1" applyFont="1" applyBorder="1" applyAlignment="1">
      <alignment horizontal="center" vertical="center"/>
    </xf>
    <xf numFmtId="0" fontId="30" fillId="0" borderId="0" xfId="32" applyNumberFormat="1" applyFont="1" applyAlignment="1">
      <alignment horizontal="center"/>
    </xf>
    <xf numFmtId="0" fontId="38" fillId="0" borderId="122" xfId="28" applyNumberFormat="1" applyFont="1" applyFill="1" applyBorder="1" applyAlignment="1">
      <alignment vertical="center"/>
    </xf>
    <xf numFmtId="0" fontId="38" fillId="0" borderId="122" xfId="27" applyFont="1" applyBorder="1" applyAlignment="1">
      <alignment horizontal="center" vertical="center"/>
    </xf>
    <xf numFmtId="0" fontId="40" fillId="0" borderId="77" xfId="42" applyFont="1" applyBorder="1" applyAlignment="1">
      <alignment horizontal="center" vertical="center"/>
    </xf>
    <xf numFmtId="0" fontId="40" fillId="0" borderId="77" xfId="27" applyFont="1" applyBorder="1" applyAlignment="1">
      <alignment horizontal="center" vertical="center"/>
    </xf>
    <xf numFmtId="0" fontId="20" fillId="0" borderId="143" xfId="3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87" fontId="32" fillId="0" borderId="0" xfId="27" applyNumberFormat="1" applyFont="1" applyAlignment="1">
      <alignment vertical="center"/>
    </xf>
    <xf numFmtId="187" fontId="21" fillId="15" borderId="45" xfId="28" applyNumberFormat="1" applyFont="1" applyFill="1" applyBorder="1" applyAlignment="1">
      <alignment horizontal="left" vertical="top" shrinkToFit="1"/>
    </xf>
    <xf numFmtId="187" fontId="21" fillId="15" borderId="46" xfId="28" applyNumberFormat="1" applyFont="1" applyFill="1" applyBorder="1" applyAlignment="1">
      <alignment horizontal="left" vertical="top" shrinkToFit="1"/>
    </xf>
    <xf numFmtId="187" fontId="21" fillId="15" borderId="113" xfId="28" applyNumberFormat="1" applyFont="1" applyFill="1" applyBorder="1" applyAlignment="1">
      <alignment horizontal="left" vertical="top" shrinkToFit="1"/>
    </xf>
    <xf numFmtId="187" fontId="21" fillId="15" borderId="53" xfId="43" applyNumberFormat="1" applyFont="1" applyFill="1" applyBorder="1" applyAlignment="1">
      <alignment horizontal="center" vertical="center"/>
    </xf>
    <xf numFmtId="187" fontId="20" fillId="0" borderId="77" xfId="43" applyNumberFormat="1" applyFont="1" applyFill="1" applyBorder="1" applyAlignment="1">
      <alignment vertical="center"/>
    </xf>
    <xf numFmtId="187" fontId="20" fillId="0" borderId="68" xfId="42" applyNumberFormat="1" applyFont="1" applyBorder="1" applyAlignment="1">
      <alignment horizontal="center" vertical="center"/>
    </xf>
    <xf numFmtId="187" fontId="20" fillId="0" borderId="77" xfId="32" applyNumberFormat="1" applyFont="1" applyBorder="1" applyAlignment="1">
      <alignment horizontal="center" vertical="center"/>
    </xf>
    <xf numFmtId="187" fontId="20" fillId="0" borderId="87" xfId="42" applyNumberFormat="1" applyFont="1" applyBorder="1" applyAlignment="1">
      <alignment horizontal="center" vertical="center"/>
    </xf>
    <xf numFmtId="187" fontId="34" fillId="15" borderId="53" xfId="42" applyNumberFormat="1" applyFont="1" applyFill="1" applyBorder="1" applyAlignment="1">
      <alignment horizontal="center" vertical="center"/>
    </xf>
    <xf numFmtId="187" fontId="20" fillId="0" borderId="77" xfId="42" applyNumberFormat="1" applyFont="1" applyBorder="1" applyAlignment="1">
      <alignment horizontal="center" vertical="center"/>
    </xf>
    <xf numFmtId="187" fontId="20" fillId="0" borderId="104" xfId="42" applyNumberFormat="1" applyFont="1" applyBorder="1" applyAlignment="1">
      <alignment horizontal="center" vertical="center"/>
    </xf>
    <xf numFmtId="187" fontId="9" fillId="0" borderId="0" xfId="27" applyNumberFormat="1" applyFont="1" applyAlignment="1">
      <alignment vertical="center"/>
    </xf>
    <xf numFmtId="187" fontId="20" fillId="0" borderId="58" xfId="27" applyNumberFormat="1" applyFont="1" applyBorder="1" applyAlignment="1">
      <alignment horizontal="center" vertical="center"/>
    </xf>
    <xf numFmtId="187" fontId="20" fillId="0" borderId="63" xfId="27" applyNumberFormat="1" applyFont="1" applyBorder="1" applyAlignment="1">
      <alignment horizontal="center" vertical="center"/>
    </xf>
    <xf numFmtId="187" fontId="21" fillId="15" borderId="53" xfId="27" applyNumberFormat="1" applyFont="1" applyFill="1" applyBorder="1" applyAlignment="1">
      <alignment horizontal="center" vertical="center"/>
    </xf>
    <xf numFmtId="187" fontId="20" fillId="0" borderId="122" xfId="27" applyNumberFormat="1" applyFont="1" applyBorder="1" applyAlignment="1">
      <alignment horizontal="center" vertical="center"/>
    </xf>
    <xf numFmtId="187" fontId="20" fillId="0" borderId="87" xfId="27" applyNumberFormat="1" applyFont="1" applyBorder="1" applyAlignment="1">
      <alignment horizontal="center" vertical="center"/>
    </xf>
    <xf numFmtId="187" fontId="34" fillId="15" borderId="53" xfId="27" applyNumberFormat="1" applyFont="1" applyFill="1" applyBorder="1" applyAlignment="1">
      <alignment horizontal="center" vertical="center"/>
    </xf>
    <xf numFmtId="187" fontId="20" fillId="0" borderId="122" xfId="28" applyNumberFormat="1" applyFont="1" applyFill="1" applyBorder="1" applyAlignment="1">
      <alignment vertical="center"/>
    </xf>
    <xf numFmtId="187" fontId="20" fillId="0" borderId="0" xfId="27" applyNumberFormat="1" applyFont="1" applyAlignment="1">
      <alignment horizontal="center" vertical="center"/>
    </xf>
    <xf numFmtId="187" fontId="21" fillId="15" borderId="53" xfId="28" applyNumberFormat="1" applyFont="1" applyFill="1" applyBorder="1" applyAlignment="1">
      <alignment horizontal="center" vertical="center"/>
    </xf>
    <xf numFmtId="187" fontId="20" fillId="0" borderId="77" xfId="28" applyNumberFormat="1" applyFont="1" applyFill="1" applyBorder="1" applyAlignment="1">
      <alignment vertical="center"/>
    </xf>
    <xf numFmtId="187" fontId="20" fillId="0" borderId="68" xfId="27" applyNumberFormat="1" applyFont="1" applyBorder="1" applyAlignment="1">
      <alignment horizontal="center" vertical="center"/>
    </xf>
    <xf numFmtId="187" fontId="20" fillId="0" borderId="77" xfId="27" applyNumberFormat="1" applyFont="1" applyBorder="1" applyAlignment="1">
      <alignment horizontal="center" vertical="center"/>
    </xf>
    <xf numFmtId="187" fontId="20" fillId="0" borderId="104" xfId="27" applyNumberFormat="1" applyFont="1" applyBorder="1" applyAlignment="1">
      <alignment horizontal="center" vertical="center"/>
    </xf>
    <xf numFmtId="187" fontId="21" fillId="0" borderId="0" xfId="27" applyNumberFormat="1" applyFont="1" applyAlignment="1">
      <alignment horizontal="center" vertical="center"/>
    </xf>
    <xf numFmtId="187" fontId="9" fillId="0" borderId="0" xfId="27" applyNumberFormat="1" applyFont="1" applyAlignment="1">
      <alignment horizontal="center" vertical="center"/>
    </xf>
    <xf numFmtId="187" fontId="21" fillId="0" borderId="0" xfId="28" applyNumberFormat="1" applyFont="1" applyFill="1" applyBorder="1" applyAlignment="1">
      <alignment horizontal="left" vertical="top" shrinkToFit="1"/>
    </xf>
    <xf numFmtId="187" fontId="21" fillId="0" borderId="0" xfId="27" applyNumberFormat="1" applyFont="1" applyAlignment="1">
      <alignment vertical="center"/>
    </xf>
    <xf numFmtId="187" fontId="31" fillId="0" borderId="0" xfId="3" applyNumberFormat="1" applyFont="1" applyAlignment="1">
      <alignment horizontal="center"/>
    </xf>
    <xf numFmtId="187" fontId="20" fillId="2" borderId="122" xfId="27" applyNumberFormat="1" applyFont="1" applyFill="1" applyBorder="1" applyAlignment="1">
      <alignment horizontal="center" vertical="center"/>
    </xf>
    <xf numFmtId="187" fontId="20" fillId="0" borderId="82" xfId="27" applyNumberFormat="1" applyFont="1" applyBorder="1" applyAlignment="1">
      <alignment horizontal="center" vertical="center"/>
    </xf>
    <xf numFmtId="187" fontId="20" fillId="0" borderId="93" xfId="27" applyNumberFormat="1" applyFont="1" applyBorder="1" applyAlignment="1">
      <alignment horizontal="center" vertical="center"/>
    </xf>
    <xf numFmtId="187" fontId="20" fillId="2" borderId="178" xfId="27" applyNumberFormat="1" applyFont="1" applyFill="1" applyBorder="1" applyAlignment="1">
      <alignment horizontal="center" vertical="center"/>
    </xf>
    <xf numFmtId="187" fontId="20" fillId="0" borderId="134" xfId="27" applyNumberFormat="1" applyFont="1" applyBorder="1" applyAlignment="1">
      <alignment horizontal="center" vertical="center"/>
    </xf>
    <xf numFmtId="187" fontId="30" fillId="0" borderId="0" xfId="42" applyNumberFormat="1" applyFont="1"/>
    <xf numFmtId="187" fontId="38" fillId="0" borderId="122" xfId="27" applyNumberFormat="1" applyFont="1" applyBorder="1" applyAlignment="1">
      <alignment horizontal="center" vertical="center"/>
    </xf>
    <xf numFmtId="187" fontId="21" fillId="0" borderId="0" xfId="27" applyNumberFormat="1" applyFont="1" applyAlignment="1">
      <alignment horizontal="justify" vertical="center"/>
    </xf>
    <xf numFmtId="187" fontId="30" fillId="0" borderId="0" xfId="27" applyNumberFormat="1" applyFont="1"/>
    <xf numFmtId="187" fontId="40" fillId="0" borderId="77" xfId="43" applyNumberFormat="1" applyFont="1" applyFill="1" applyBorder="1" applyAlignment="1">
      <alignment vertical="center"/>
    </xf>
    <xf numFmtId="187" fontId="40" fillId="0" borderId="77" xfId="28" applyNumberFormat="1" applyFont="1" applyFill="1" applyBorder="1" applyAlignment="1">
      <alignment vertical="center"/>
    </xf>
    <xf numFmtId="187" fontId="21" fillId="15" borderId="45" xfId="43" applyNumberFormat="1" applyFont="1" applyFill="1" applyBorder="1" applyAlignment="1">
      <alignment horizontal="left" vertical="top" shrinkToFit="1"/>
    </xf>
    <xf numFmtId="187" fontId="21" fillId="15" borderId="53" xfId="42" applyNumberFormat="1" applyFont="1" applyFill="1" applyBorder="1" applyAlignment="1">
      <alignment horizontal="center" vertical="center"/>
    </xf>
    <xf numFmtId="187" fontId="20" fillId="0" borderId="122" xfId="32" applyNumberFormat="1" applyFont="1" applyBorder="1" applyAlignment="1">
      <alignment horizontal="center" vertical="center"/>
    </xf>
    <xf numFmtId="187" fontId="20" fillId="0" borderId="143" xfId="42" applyNumberFormat="1" applyFont="1" applyBorder="1" applyAlignment="1">
      <alignment horizontal="center" vertical="center"/>
    </xf>
    <xf numFmtId="187" fontId="9" fillId="0" borderId="0" xfId="42" applyNumberFormat="1" applyFont="1" applyAlignment="1">
      <alignment horizontal="center" vertical="center"/>
    </xf>
    <xf numFmtId="187" fontId="20" fillId="0" borderId="58" xfId="32" applyNumberFormat="1" applyFont="1" applyFill="1" applyBorder="1" applyAlignment="1">
      <alignment horizontal="center" vertical="center"/>
    </xf>
    <xf numFmtId="187" fontId="20" fillId="0" borderId="63" xfId="42" applyNumberFormat="1" applyFont="1" applyBorder="1" applyAlignment="1">
      <alignment horizontal="center" vertical="center"/>
    </xf>
    <xf numFmtId="44" fontId="30" fillId="0" borderId="0" xfId="27" applyNumberFormat="1" applyFont="1"/>
    <xf numFmtId="43" fontId="20" fillId="0" borderId="93" xfId="11" applyFont="1" applyBorder="1" applyAlignment="1">
      <alignment horizontal="center" vertical="center"/>
    </xf>
    <xf numFmtId="174" fontId="17" fillId="0" borderId="1" xfId="11" applyNumberFormat="1" applyFont="1" applyFill="1" applyBorder="1" applyAlignment="1">
      <alignment horizontal="center" vertical="center" wrapText="1"/>
    </xf>
    <xf numFmtId="185" fontId="20" fillId="0" borderId="77" xfId="11" applyNumberFormat="1" applyFont="1" applyBorder="1" applyAlignment="1">
      <alignment horizontal="center" vertical="center"/>
    </xf>
    <xf numFmtId="3" fontId="20" fillId="0" borderId="77" xfId="27" applyNumberFormat="1" applyFont="1" applyBorder="1" applyAlignment="1">
      <alignment horizontal="center" vertical="center"/>
    </xf>
    <xf numFmtId="0" fontId="20" fillId="0" borderId="75" xfId="27" applyFont="1" applyBorder="1" applyAlignment="1">
      <alignment horizontal="left" vertical="center"/>
    </xf>
    <xf numFmtId="0" fontId="20" fillId="0" borderId="76" xfId="27" applyFont="1" applyBorder="1" applyAlignment="1">
      <alignment horizontal="left" vertical="center"/>
    </xf>
    <xf numFmtId="44" fontId="20" fillId="0" borderId="87" xfId="32" applyFont="1" applyFill="1" applyBorder="1" applyAlignment="1">
      <alignment horizontal="center" vertical="center"/>
    </xf>
    <xf numFmtId="44" fontId="20" fillId="0" borderId="63" xfId="32" applyFont="1" applyBorder="1" applyAlignment="1">
      <alignment horizontal="center" vertical="center"/>
    </xf>
    <xf numFmtId="44" fontId="20" fillId="0" borderId="77" xfId="32" applyFont="1" applyFill="1" applyBorder="1" applyAlignment="1">
      <alignment horizontal="center" vertical="center"/>
    </xf>
    <xf numFmtId="44" fontId="20" fillId="0" borderId="77" xfId="32" applyFont="1" applyFill="1" applyBorder="1" applyAlignment="1">
      <alignment vertical="center"/>
    </xf>
    <xf numFmtId="0" fontId="46" fillId="2" borderId="0" xfId="3" applyFont="1" applyFill="1" applyAlignment="1" applyProtection="1">
      <alignment vertical="center"/>
      <protection locked="0"/>
    </xf>
    <xf numFmtId="0" fontId="46" fillId="2" borderId="0" xfId="3" applyFont="1" applyFill="1" applyAlignment="1" applyProtection="1">
      <alignment horizontal="left" vertical="center" indent="1"/>
      <protection locked="0"/>
    </xf>
    <xf numFmtId="0" fontId="14" fillId="9" borderId="21" xfId="3" applyFont="1" applyFill="1" applyBorder="1" applyAlignment="1" applyProtection="1">
      <alignment horizontal="center" vertical="center" wrapText="1"/>
      <protection locked="0"/>
    </xf>
    <xf numFmtId="0" fontId="14" fillId="9" borderId="39" xfId="3" applyFont="1" applyFill="1" applyBorder="1" applyAlignment="1" applyProtection="1">
      <alignment horizontal="center" vertical="center" wrapText="1"/>
      <protection locked="0"/>
    </xf>
    <xf numFmtId="0" fontId="14" fillId="9" borderId="20" xfId="3" applyFont="1" applyFill="1" applyBorder="1" applyAlignment="1" applyProtection="1">
      <alignment horizontal="center" vertical="center" wrapText="1"/>
      <protection locked="0"/>
    </xf>
    <xf numFmtId="0" fontId="14" fillId="9" borderId="23" xfId="3" applyFont="1" applyFill="1" applyBorder="1" applyAlignment="1" applyProtection="1">
      <alignment horizontal="center" vertical="center" wrapText="1"/>
      <protection locked="0"/>
    </xf>
    <xf numFmtId="2" fontId="14" fillId="9" borderId="15" xfId="24" applyNumberFormat="1" applyFont="1" applyFill="1" applyBorder="1" applyAlignment="1" applyProtection="1">
      <alignment horizontal="center" vertical="center" wrapText="1"/>
      <protection locked="0"/>
    </xf>
    <xf numFmtId="2" fontId="14" fillId="9" borderId="16" xfId="24" applyNumberFormat="1" applyFont="1" applyFill="1" applyBorder="1" applyAlignment="1" applyProtection="1">
      <alignment horizontal="center" vertical="center" wrapText="1"/>
      <protection locked="0"/>
    </xf>
    <xf numFmtId="0" fontId="11" fillId="0" borderId="21" xfId="3" applyFont="1" applyBorder="1" applyAlignment="1" applyProtection="1">
      <alignment horizontal="left" vertical="center" indent="1"/>
      <protection locked="0"/>
    </xf>
    <xf numFmtId="2" fontId="46" fillId="0" borderId="20" xfId="3" applyNumberFormat="1" applyFont="1" applyBorder="1" applyAlignment="1" applyProtection="1">
      <alignment horizontal="center" vertical="center"/>
      <protection locked="0"/>
    </xf>
    <xf numFmtId="0" fontId="11" fillId="0" borderId="23" xfId="3" applyFont="1" applyBorder="1" applyAlignment="1" applyProtection="1">
      <alignment horizontal="left" vertical="center" indent="1"/>
      <protection locked="0"/>
    </xf>
    <xf numFmtId="2" fontId="46" fillId="0" borderId="16" xfId="3" applyNumberFormat="1" applyFont="1" applyBorder="1" applyAlignment="1" applyProtection="1">
      <alignment horizontal="center" vertical="center"/>
      <protection locked="0"/>
    </xf>
    <xf numFmtId="0" fontId="11" fillId="2" borderId="21" xfId="3" applyFont="1" applyFill="1" applyBorder="1" applyAlignment="1" applyProtection="1">
      <alignment horizontal="left" vertical="center" indent="1"/>
      <protection locked="0"/>
    </xf>
    <xf numFmtId="2" fontId="46" fillId="2" borderId="20" xfId="3" applyNumberFormat="1" applyFont="1" applyFill="1" applyBorder="1" applyAlignment="1" applyProtection="1">
      <alignment horizontal="center" vertical="center"/>
      <protection locked="0"/>
    </xf>
    <xf numFmtId="0" fontId="11" fillId="2" borderId="23" xfId="3" applyFont="1" applyFill="1" applyBorder="1" applyAlignment="1" applyProtection="1">
      <alignment horizontal="left" vertical="center" indent="1"/>
      <protection locked="0"/>
    </xf>
    <xf numFmtId="2" fontId="46" fillId="2" borderId="16" xfId="3" applyNumberFormat="1" applyFont="1" applyFill="1" applyBorder="1" applyAlignment="1" applyProtection="1">
      <alignment horizontal="center" vertical="center"/>
      <protection locked="0"/>
    </xf>
    <xf numFmtId="0" fontId="11" fillId="2" borderId="30" xfId="3" applyFont="1" applyFill="1" applyBorder="1" applyAlignment="1" applyProtection="1">
      <alignment horizontal="center" vertical="center"/>
      <protection locked="0"/>
    </xf>
    <xf numFmtId="0" fontId="11" fillId="23" borderId="21" xfId="3" applyFont="1" applyFill="1" applyBorder="1" applyAlignment="1" applyProtection="1">
      <alignment horizontal="left" vertical="center" indent="1"/>
      <protection locked="0"/>
    </xf>
    <xf numFmtId="2" fontId="11" fillId="23" borderId="19" xfId="3" applyNumberFormat="1" applyFont="1" applyFill="1" applyBorder="1" applyAlignment="1" applyProtection="1">
      <alignment horizontal="center" vertical="center"/>
      <protection locked="0"/>
    </xf>
    <xf numFmtId="0" fontId="11" fillId="23" borderId="23" xfId="3" applyFont="1" applyFill="1" applyBorder="1" applyAlignment="1" applyProtection="1">
      <alignment horizontal="left" vertical="center" indent="1"/>
      <protection locked="0"/>
    </xf>
    <xf numFmtId="0" fontId="46" fillId="2" borderId="0" xfId="3" applyFont="1" applyFill="1" applyAlignment="1" applyProtection="1">
      <alignment horizontal="right" vertical="center"/>
      <protection locked="0"/>
    </xf>
    <xf numFmtId="0" fontId="46" fillId="9" borderId="238" xfId="3" applyFont="1" applyFill="1" applyBorder="1" applyAlignment="1" applyProtection="1">
      <alignment vertical="center"/>
      <protection locked="0"/>
    </xf>
    <xf numFmtId="0" fontId="11" fillId="9" borderId="28" xfId="3" applyFont="1" applyFill="1" applyBorder="1" applyAlignment="1" applyProtection="1">
      <alignment horizontal="center" vertical="center" wrapText="1"/>
      <protection locked="0"/>
    </xf>
    <xf numFmtId="1" fontId="11" fillId="9" borderId="204" xfId="3" applyNumberFormat="1" applyFont="1" applyFill="1" applyBorder="1" applyAlignment="1" applyProtection="1">
      <alignment horizontal="center" vertical="center" wrapText="1"/>
      <protection locked="0"/>
    </xf>
    <xf numFmtId="0" fontId="11" fillId="0" borderId="238" xfId="3" applyFont="1" applyBorder="1" applyAlignment="1" applyProtection="1">
      <alignment horizontal="center" vertical="center"/>
      <protection locked="0"/>
    </xf>
    <xf numFmtId="189" fontId="46" fillId="0" borderId="28" xfId="3" applyNumberFormat="1" applyFont="1" applyBorder="1" applyAlignment="1" applyProtection="1">
      <alignment horizontal="center" vertical="center"/>
      <protection locked="0"/>
    </xf>
    <xf numFmtId="189" fontId="46" fillId="0" borderId="204" xfId="3" applyNumberFormat="1" applyFont="1" applyBorder="1" applyAlignment="1" applyProtection="1">
      <alignment horizontal="center" vertical="center"/>
      <protection locked="0"/>
    </xf>
    <xf numFmtId="189" fontId="46" fillId="0" borderId="247" xfId="3" applyNumberFormat="1" applyFont="1" applyBorder="1" applyAlignment="1" applyProtection="1">
      <alignment horizontal="center" vertical="center"/>
      <protection locked="0"/>
    </xf>
    <xf numFmtId="0" fontId="11" fillId="9" borderId="37" xfId="3" applyFont="1" applyFill="1" applyBorder="1" applyAlignment="1" applyProtection="1">
      <alignment horizontal="center" vertical="center" wrapText="1"/>
      <protection locked="0"/>
    </xf>
    <xf numFmtId="0" fontId="11" fillId="9" borderId="38" xfId="3" applyFont="1" applyFill="1" applyBorder="1" applyAlignment="1" applyProtection="1">
      <alignment horizontal="center" vertical="center" wrapText="1"/>
      <protection locked="0"/>
    </xf>
    <xf numFmtId="0" fontId="11" fillId="9" borderId="252" xfId="3" applyFont="1" applyFill="1" applyBorder="1" applyAlignment="1" applyProtection="1">
      <alignment horizontal="center" vertical="center" wrapText="1"/>
      <protection locked="0"/>
    </xf>
    <xf numFmtId="0" fontId="11" fillId="0" borderId="19" xfId="3" applyFont="1" applyBorder="1" applyAlignment="1" applyProtection="1">
      <alignment horizontal="center" vertical="center"/>
      <protection locked="0"/>
    </xf>
    <xf numFmtId="182" fontId="46" fillId="0" borderId="38" xfId="32" applyNumberFormat="1" applyFont="1" applyBorder="1" applyAlignment="1" applyProtection="1">
      <alignment horizontal="left" vertical="center" indent="1"/>
      <protection locked="0"/>
    </xf>
    <xf numFmtId="190" fontId="46" fillId="0" borderId="20" xfId="3" applyNumberFormat="1" applyFont="1" applyBorder="1" applyAlignment="1" applyProtection="1">
      <alignment horizontal="center" vertical="center"/>
      <protection locked="0"/>
    </xf>
    <xf numFmtId="182" fontId="46" fillId="0" borderId="21" xfId="32" applyNumberFormat="1" applyFont="1" applyBorder="1" applyAlignment="1" applyProtection="1">
      <alignment vertical="center"/>
      <protection locked="0"/>
    </xf>
    <xf numFmtId="0" fontId="11" fillId="0" borderId="10" xfId="3" applyFont="1" applyBorder="1" applyAlignment="1" applyProtection="1">
      <alignment horizontal="center" vertical="center"/>
      <protection locked="0"/>
    </xf>
    <xf numFmtId="182" fontId="46" fillId="0" borderId="1" xfId="32" applyNumberFormat="1" applyFont="1" applyBorder="1" applyAlignment="1" applyProtection="1">
      <alignment horizontal="left" vertical="center" indent="1"/>
      <protection locked="0"/>
    </xf>
    <xf numFmtId="190" fontId="46" fillId="0" borderId="1" xfId="3" applyNumberFormat="1" applyFont="1" applyBorder="1" applyAlignment="1" applyProtection="1">
      <alignment horizontal="center" vertical="center"/>
      <protection locked="0"/>
    </xf>
    <xf numFmtId="182" fontId="46" fillId="0" borderId="12" xfId="32" applyNumberFormat="1" applyFont="1" applyBorder="1" applyAlignment="1" applyProtection="1">
      <alignment vertical="center"/>
      <protection locked="0"/>
    </xf>
    <xf numFmtId="0" fontId="11" fillId="0" borderId="243" xfId="3" applyFont="1" applyBorder="1" applyAlignment="1" applyProtection="1">
      <alignment horizontal="center" vertical="center"/>
      <protection locked="0"/>
    </xf>
    <xf numFmtId="182" fontId="46" fillId="0" borderId="22" xfId="32" applyNumberFormat="1" applyFont="1" applyBorder="1" applyAlignment="1" applyProtection="1">
      <alignment horizontal="left" vertical="center" indent="1"/>
      <protection locked="0"/>
    </xf>
    <xf numFmtId="190" fontId="46" fillId="0" borderId="22" xfId="3" applyNumberFormat="1" applyFont="1" applyBorder="1" applyAlignment="1" applyProtection="1">
      <alignment horizontal="center" vertical="center"/>
      <protection locked="0"/>
    </xf>
    <xf numFmtId="182" fontId="46" fillId="0" borderId="244" xfId="32" applyNumberFormat="1" applyFont="1" applyBorder="1" applyAlignment="1" applyProtection="1">
      <alignment vertical="center"/>
      <protection locked="0"/>
    </xf>
    <xf numFmtId="182" fontId="11" fillId="12" borderId="7" xfId="32" applyNumberFormat="1" applyFont="1" applyFill="1" applyBorder="1" applyAlignment="1" applyProtection="1">
      <alignment vertical="center"/>
      <protection locked="0"/>
    </xf>
    <xf numFmtId="182" fontId="11" fillId="12" borderId="247" xfId="32" applyNumberFormat="1" applyFont="1" applyFill="1" applyBorder="1" applyAlignment="1" applyProtection="1">
      <alignment vertical="center"/>
      <protection locked="0"/>
    </xf>
    <xf numFmtId="10" fontId="11" fillId="12" borderId="247" xfId="24" applyNumberFormat="1" applyFont="1" applyFill="1" applyBorder="1" applyAlignment="1" applyProtection="1">
      <alignment horizontal="center" vertical="center"/>
      <protection locked="0"/>
    </xf>
    <xf numFmtId="0" fontId="47" fillId="0" borderId="0" xfId="0" applyFont="1"/>
    <xf numFmtId="0" fontId="47" fillId="0" borderId="0" xfId="0" applyFont="1" applyAlignment="1">
      <alignment horizontal="left" indent="1"/>
    </xf>
    <xf numFmtId="0" fontId="25" fillId="2" borderId="0" xfId="0" applyFont="1" applyFill="1"/>
    <xf numFmtId="0" fontId="48" fillId="9" borderId="203" xfId="0" applyFont="1" applyFill="1" applyBorder="1" applyAlignment="1">
      <alignment horizontal="center"/>
    </xf>
    <xf numFmtId="0" fontId="48" fillId="9" borderId="204" xfId="0" applyFont="1" applyFill="1" applyBorder="1" applyAlignment="1">
      <alignment horizontal="center"/>
    </xf>
    <xf numFmtId="0" fontId="48" fillId="9" borderId="247" xfId="0" applyFont="1" applyFill="1" applyBorder="1" applyAlignment="1">
      <alignment horizontal="center"/>
    </xf>
    <xf numFmtId="1" fontId="48" fillId="0" borderId="29" xfId="0" applyNumberFormat="1" applyFont="1" applyBorder="1" applyAlignment="1">
      <alignment horizontal="center"/>
    </xf>
    <xf numFmtId="1" fontId="49" fillId="0" borderId="29" xfId="0" applyNumberFormat="1" applyFont="1" applyBorder="1" applyAlignment="1">
      <alignment horizontal="center"/>
    </xf>
    <xf numFmtId="0" fontId="7" fillId="0" borderId="29" xfId="3" applyFont="1" applyBorder="1" applyAlignment="1" applyProtection="1">
      <alignment horizontal="left" vertical="center" wrapText="1"/>
      <protection locked="0"/>
    </xf>
    <xf numFmtId="42" fontId="49" fillId="0" borderId="29" xfId="20" applyFont="1" applyFill="1" applyBorder="1"/>
    <xf numFmtId="2" fontId="49" fillId="0" borderId="29" xfId="0" applyNumberFormat="1" applyFont="1" applyBorder="1" applyAlignment="1">
      <alignment horizontal="center"/>
    </xf>
    <xf numFmtId="1" fontId="6" fillId="0" borderId="1" xfId="3" applyNumberFormat="1" applyFont="1" applyBorder="1" applyAlignment="1" applyProtection="1">
      <alignment horizontal="center" vertical="center"/>
      <protection locked="0"/>
    </xf>
    <xf numFmtId="1" fontId="49" fillId="0" borderId="1" xfId="0" applyNumberFormat="1" applyFont="1" applyBorder="1" applyAlignment="1">
      <alignment horizontal="center"/>
    </xf>
    <xf numFmtId="0" fontId="7" fillId="0" borderId="1" xfId="3" applyFont="1" applyBorder="1" applyAlignment="1" applyProtection="1">
      <alignment horizontal="left" vertical="center" wrapText="1"/>
      <protection locked="0"/>
    </xf>
    <xf numFmtId="42" fontId="49" fillId="0" borderId="1" xfId="20" applyFont="1" applyFill="1" applyBorder="1"/>
    <xf numFmtId="2" fontId="49" fillId="0" borderId="1" xfId="0" applyNumberFormat="1" applyFont="1" applyBorder="1" applyAlignment="1">
      <alignment horizontal="center"/>
    </xf>
    <xf numFmtId="1" fontId="48" fillId="0" borderId="1" xfId="0" applyNumberFormat="1" applyFont="1" applyBorder="1" applyAlignment="1">
      <alignment horizontal="center"/>
    </xf>
    <xf numFmtId="1" fontId="48" fillId="0" borderId="22" xfId="0" applyNumberFormat="1" applyFont="1" applyBorder="1" applyAlignment="1">
      <alignment horizontal="center"/>
    </xf>
    <xf numFmtId="1" fontId="49" fillId="0" borderId="22" xfId="0" applyNumberFormat="1" applyFont="1" applyBorder="1" applyAlignment="1">
      <alignment horizontal="center"/>
    </xf>
    <xf numFmtId="0" fontId="7" fillId="0" borderId="22" xfId="3" applyFont="1" applyBorder="1" applyAlignment="1" applyProtection="1">
      <alignment horizontal="left" vertical="center" wrapText="1"/>
      <protection locked="0"/>
    </xf>
    <xf numFmtId="42" fontId="49" fillId="0" borderId="22" xfId="20" applyFont="1" applyFill="1" applyBorder="1"/>
    <xf numFmtId="42" fontId="48" fillId="12" borderId="252" xfId="20" applyFont="1" applyFill="1" applyBorder="1"/>
    <xf numFmtId="0" fontId="49" fillId="2" borderId="0" xfId="0" applyFont="1" applyFill="1"/>
    <xf numFmtId="42" fontId="48" fillId="12" borderId="247" xfId="20" applyFont="1" applyFill="1" applyBorder="1"/>
    <xf numFmtId="9" fontId="48" fillId="12" borderId="250" xfId="2" applyFont="1" applyFill="1" applyBorder="1" applyAlignment="1">
      <alignment horizontal="center"/>
    </xf>
    <xf numFmtId="42" fontId="25" fillId="2" borderId="0" xfId="0" applyNumberFormat="1" applyFont="1" applyFill="1" applyAlignment="1">
      <alignment horizontal="center"/>
    </xf>
    <xf numFmtId="42" fontId="25" fillId="2" borderId="0" xfId="0" applyNumberFormat="1" applyFont="1" applyFill="1"/>
    <xf numFmtId="165" fontId="25" fillId="2" borderId="0" xfId="0" applyNumberFormat="1" applyFont="1" applyFill="1"/>
    <xf numFmtId="9" fontId="25" fillId="2" borderId="0" xfId="2" applyFont="1" applyFill="1"/>
    <xf numFmtId="0" fontId="25" fillId="0" borderId="0" xfId="0" applyFont="1"/>
    <xf numFmtId="0" fontId="42" fillId="0" borderId="0" xfId="0" applyFont="1" applyAlignment="1">
      <alignment vertical="center"/>
    </xf>
    <xf numFmtId="0" fontId="42" fillId="0" borderId="0" xfId="0" applyFont="1" applyAlignment="1">
      <alignment vertical="center" wrapText="1"/>
    </xf>
    <xf numFmtId="0" fontId="42" fillId="0" borderId="0" xfId="0" applyFont="1" applyAlignment="1">
      <alignment horizontal="center" vertical="center" wrapText="1"/>
    </xf>
    <xf numFmtId="164" fontId="42" fillId="0" borderId="0" xfId="0" applyNumberFormat="1" applyFont="1" applyAlignment="1">
      <alignment vertical="center" wrapText="1"/>
    </xf>
    <xf numFmtId="182" fontId="20" fillId="0" borderId="122" xfId="32" applyNumberFormat="1" applyFont="1" applyFill="1" applyBorder="1" applyAlignment="1">
      <alignment vertical="center"/>
    </xf>
    <xf numFmtId="2" fontId="20" fillId="0" borderId="122" xfId="27" applyNumberFormat="1" applyFont="1" applyBorder="1" applyAlignment="1">
      <alignment horizontal="center" vertical="center"/>
    </xf>
    <xf numFmtId="1" fontId="20" fillId="0" borderId="58" xfId="32" applyNumberFormat="1" applyFont="1" applyFill="1" applyBorder="1" applyAlignment="1">
      <alignment horizontal="center" vertical="center"/>
    </xf>
    <xf numFmtId="2" fontId="20" fillId="0" borderId="93" xfId="27" applyNumberFormat="1" applyFont="1" applyBorder="1" applyAlignment="1">
      <alignment horizontal="center" vertical="center"/>
    </xf>
    <xf numFmtId="174" fontId="15" fillId="0" borderId="1" xfId="11" applyNumberFormat="1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174" fontId="17" fillId="2" borderId="1" xfId="11" applyNumberFormat="1" applyFont="1" applyFill="1" applyBorder="1" applyAlignment="1">
      <alignment horizontal="center" vertical="center" wrapText="1"/>
    </xf>
    <xf numFmtId="191" fontId="20" fillId="0" borderId="77" xfId="11" applyNumberFormat="1" applyFont="1" applyBorder="1" applyAlignment="1">
      <alignment horizontal="center" vertical="center"/>
    </xf>
    <xf numFmtId="0" fontId="23" fillId="12" borderId="4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justify" vertical="center"/>
    </xf>
    <xf numFmtId="0" fontId="16" fillId="12" borderId="4" xfId="0" applyFont="1" applyFill="1" applyBorder="1" applyAlignment="1">
      <alignment horizontal="justify" vertical="center" wrapText="1"/>
    </xf>
    <xf numFmtId="0" fontId="15" fillId="0" borderId="4" xfId="0" applyFont="1" applyBorder="1" applyAlignment="1">
      <alignment horizontal="justify" vertical="center" wrapText="1"/>
    </xf>
    <xf numFmtId="0" fontId="17" fillId="0" borderId="4" xfId="0" applyFont="1" applyBorder="1" applyAlignment="1">
      <alignment horizontal="justify" vertical="center" wrapText="1"/>
    </xf>
    <xf numFmtId="0" fontId="16" fillId="12" borderId="4" xfId="0" applyFont="1" applyFill="1" applyBorder="1" applyAlignment="1">
      <alignment horizontal="justify" vertical="center"/>
    </xf>
    <xf numFmtId="0" fontId="23" fillId="12" borderId="4" xfId="0" applyFont="1" applyFill="1" applyBorder="1" applyAlignment="1">
      <alignment horizontal="left" vertical="center"/>
    </xf>
    <xf numFmtId="0" fontId="17" fillId="0" borderId="4" xfId="0" applyFont="1" applyBorder="1" applyAlignment="1">
      <alignment horizontal="justify" vertical="center"/>
    </xf>
    <xf numFmtId="0" fontId="15" fillId="0" borderId="4" xfId="0" applyFont="1" applyBorder="1" applyAlignment="1">
      <alignment horizontal="left" vertical="center" wrapText="1"/>
    </xf>
    <xf numFmtId="0" fontId="11" fillId="11" borderId="255" xfId="0" applyFont="1" applyFill="1" applyBorder="1" applyAlignment="1">
      <alignment horizontal="center" vertical="center"/>
    </xf>
    <xf numFmtId="1" fontId="11" fillId="16" borderId="256" xfId="21" applyNumberFormat="1" applyFont="1" applyFill="1" applyBorder="1" applyAlignment="1" applyProtection="1">
      <alignment horizontal="center" vertical="center"/>
    </xf>
    <xf numFmtId="1" fontId="23" fillId="12" borderId="256" xfId="21" applyNumberFormat="1" applyFont="1" applyFill="1" applyBorder="1" applyAlignment="1" applyProtection="1">
      <alignment horizontal="center" vertical="center"/>
    </xf>
    <xf numFmtId="172" fontId="15" fillId="2" borderId="256" xfId="0" applyNumberFormat="1" applyFont="1" applyFill="1" applyBorder="1" applyAlignment="1">
      <alignment horizontal="center" vertical="center" wrapText="1"/>
    </xf>
    <xf numFmtId="1" fontId="16" fillId="12" borderId="256" xfId="0" applyNumberFormat="1" applyFont="1" applyFill="1" applyBorder="1" applyAlignment="1">
      <alignment horizontal="center" vertical="center" wrapText="1"/>
    </xf>
    <xf numFmtId="1" fontId="15" fillId="2" borderId="256" xfId="0" applyNumberFormat="1" applyFont="1" applyFill="1" applyBorder="1" applyAlignment="1">
      <alignment horizontal="center" vertical="center" wrapText="1"/>
    </xf>
    <xf numFmtId="172" fontId="16" fillId="12" borderId="256" xfId="0" applyNumberFormat="1" applyFont="1" applyFill="1" applyBorder="1" applyAlignment="1">
      <alignment horizontal="center" vertical="center" wrapText="1"/>
    </xf>
    <xf numFmtId="1" fontId="15" fillId="2" borderId="257" xfId="0" applyNumberFormat="1" applyFont="1" applyFill="1" applyBorder="1" applyAlignment="1">
      <alignment horizontal="center" vertical="center" wrapText="1"/>
    </xf>
    <xf numFmtId="182" fontId="23" fillId="12" borderId="2" xfId="32" applyNumberFormat="1" applyFont="1" applyFill="1" applyBorder="1" applyAlignment="1">
      <alignment horizontal="center" vertical="center"/>
    </xf>
    <xf numFmtId="182" fontId="17" fillId="2" borderId="2" xfId="32" applyNumberFormat="1" applyFont="1" applyFill="1" applyBorder="1" applyAlignment="1">
      <alignment horizontal="center" vertical="center"/>
    </xf>
    <xf numFmtId="182" fontId="41" fillId="12" borderId="2" xfId="32" applyNumberFormat="1" applyFont="1" applyFill="1" applyBorder="1" applyAlignment="1">
      <alignment horizontal="center" vertical="center"/>
    </xf>
    <xf numFmtId="182" fontId="17" fillId="0" borderId="2" xfId="32" applyNumberFormat="1" applyFont="1" applyFill="1" applyBorder="1" applyAlignment="1">
      <alignment horizontal="center" vertical="center"/>
    </xf>
    <xf numFmtId="182" fontId="17" fillId="0" borderId="2" xfId="32" applyNumberFormat="1" applyFont="1" applyBorder="1" applyAlignment="1">
      <alignment horizontal="center" vertical="center"/>
    </xf>
    <xf numFmtId="182" fontId="14" fillId="12" borderId="2" xfId="32" applyNumberFormat="1" applyFont="1" applyFill="1" applyBorder="1" applyAlignment="1">
      <alignment horizontal="center" vertical="center"/>
    </xf>
    <xf numFmtId="182" fontId="15" fillId="2" borderId="2" xfId="32" applyNumberFormat="1" applyFont="1" applyFill="1" applyBorder="1" applyAlignment="1">
      <alignment vertical="center" wrapText="1"/>
    </xf>
    <xf numFmtId="182" fontId="15" fillId="0" borderId="2" xfId="32" applyNumberFormat="1" applyFont="1" applyFill="1" applyBorder="1" applyAlignment="1">
      <alignment vertical="center" wrapText="1"/>
    </xf>
    <xf numFmtId="182" fontId="17" fillId="0" borderId="2" xfId="32" applyNumberFormat="1" applyFont="1" applyFill="1" applyBorder="1" applyAlignment="1">
      <alignment vertical="center" wrapText="1"/>
    </xf>
    <xf numFmtId="182" fontId="17" fillId="2" borderId="2" xfId="32" applyNumberFormat="1" applyFont="1" applyFill="1" applyBorder="1" applyAlignment="1">
      <alignment vertical="center" wrapText="1"/>
    </xf>
    <xf numFmtId="182" fontId="16" fillId="12" borderId="2" xfId="32" applyNumberFormat="1" applyFont="1" applyFill="1" applyBorder="1" applyAlignment="1">
      <alignment vertical="center" wrapText="1"/>
    </xf>
    <xf numFmtId="182" fontId="17" fillId="2" borderId="2" xfId="32" applyNumberFormat="1" applyFont="1" applyFill="1" applyBorder="1" applyAlignment="1">
      <alignment horizontal="right" vertical="center"/>
    </xf>
    <xf numFmtId="182" fontId="16" fillId="12" borderId="2" xfId="32" applyNumberFormat="1" applyFont="1" applyFill="1" applyBorder="1" applyAlignment="1">
      <alignment horizontal="right" vertical="center" wrapText="1"/>
    </xf>
    <xf numFmtId="182" fontId="17" fillId="0" borderId="2" xfId="32" applyNumberFormat="1" applyFont="1" applyFill="1" applyBorder="1" applyAlignment="1">
      <alignment horizontal="center" vertical="center" wrapText="1"/>
    </xf>
    <xf numFmtId="0" fontId="11" fillId="11" borderId="255" xfId="0" applyFont="1" applyFill="1" applyBorder="1" applyAlignment="1">
      <alignment horizontal="center" vertical="center" wrapText="1"/>
    </xf>
    <xf numFmtId="169" fontId="23" fillId="16" borderId="256" xfId="22" applyNumberFormat="1" applyFont="1" applyFill="1" applyBorder="1" applyAlignment="1">
      <alignment horizontal="center" vertical="center"/>
    </xf>
    <xf numFmtId="166" fontId="23" fillId="12" borderId="256" xfId="22" applyNumberFormat="1" applyFont="1" applyFill="1" applyBorder="1" applyAlignment="1">
      <alignment horizontal="right" vertical="center"/>
    </xf>
    <xf numFmtId="166" fontId="15" fillId="2" borderId="256" xfId="0" applyNumberFormat="1" applyFont="1" applyFill="1" applyBorder="1" applyAlignment="1">
      <alignment horizontal="right" vertical="center" wrapText="1"/>
    </xf>
    <xf numFmtId="169" fontId="23" fillId="12" borderId="256" xfId="22" applyNumberFormat="1" applyFont="1" applyFill="1" applyBorder="1" applyAlignment="1">
      <alignment horizontal="center" vertical="center"/>
    </xf>
    <xf numFmtId="42" fontId="16" fillId="12" borderId="256" xfId="1" applyFont="1" applyFill="1" applyBorder="1" applyAlignment="1">
      <alignment vertical="center" wrapText="1"/>
    </xf>
    <xf numFmtId="182" fontId="16" fillId="12" borderId="256" xfId="32" applyNumberFormat="1" applyFont="1" applyFill="1" applyBorder="1" applyAlignment="1">
      <alignment horizontal="right" vertical="center" wrapText="1"/>
    </xf>
    <xf numFmtId="0" fontId="11" fillId="11" borderId="3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182" fontId="11" fillId="11" borderId="253" xfId="32" applyNumberFormat="1" applyFont="1" applyFill="1" applyBorder="1" applyAlignment="1">
      <alignment horizontal="center" vertical="center" wrapText="1"/>
    </xf>
    <xf numFmtId="0" fontId="15" fillId="0" borderId="258" xfId="0" applyFont="1" applyBorder="1" applyAlignment="1">
      <alignment horizontal="justify" vertical="center"/>
    </xf>
    <xf numFmtId="174" fontId="15" fillId="0" borderId="16" xfId="11" applyNumberFormat="1" applyFont="1" applyFill="1" applyBorder="1" applyAlignment="1">
      <alignment horizontal="center" vertical="center" wrapText="1"/>
    </xf>
    <xf numFmtId="182" fontId="17" fillId="0" borderId="254" xfId="32" applyNumberFormat="1" applyFont="1" applyFill="1" applyBorder="1" applyAlignment="1">
      <alignment horizontal="center" vertical="center"/>
    </xf>
    <xf numFmtId="172" fontId="15" fillId="0" borderId="1" xfId="1" applyNumberFormat="1" applyFont="1" applyFill="1" applyBorder="1" applyAlignment="1">
      <alignment horizontal="center" vertical="center" wrapText="1"/>
    </xf>
    <xf numFmtId="44" fontId="20" fillId="0" borderId="58" xfId="32" applyFont="1" applyFill="1" applyBorder="1" applyAlignment="1">
      <alignment horizontal="center" vertical="center"/>
    </xf>
    <xf numFmtId="0" fontId="1" fillId="0" borderId="0" xfId="55"/>
    <xf numFmtId="0" fontId="11" fillId="2" borderId="0" xfId="3" applyFont="1" applyFill="1" applyAlignment="1">
      <alignment horizontal="center" vertical="center" wrapText="1"/>
    </xf>
    <xf numFmtId="0" fontId="1" fillId="2" borderId="0" xfId="55" applyFill="1"/>
    <xf numFmtId="0" fontId="46" fillId="24" borderId="31" xfId="3" applyFont="1" applyFill="1" applyBorder="1" applyAlignment="1">
      <alignment horizontal="center"/>
    </xf>
    <xf numFmtId="0" fontId="46" fillId="24" borderId="0" xfId="3" applyFont="1" applyFill="1"/>
    <xf numFmtId="0" fontId="46" fillId="24" borderId="32" xfId="3" applyFont="1" applyFill="1" applyBorder="1"/>
    <xf numFmtId="9" fontId="46" fillId="0" borderId="20" xfId="49" applyFont="1" applyFill="1" applyBorder="1" applyAlignment="1" applyProtection="1">
      <alignment vertical="center"/>
    </xf>
    <xf numFmtId="10" fontId="46" fillId="0" borderId="20" xfId="49" applyNumberFormat="1" applyFont="1" applyFill="1" applyBorder="1" applyAlignment="1" applyProtection="1">
      <alignment vertical="center"/>
    </xf>
    <xf numFmtId="0" fontId="1" fillId="0" borderId="0" xfId="55" applyAlignment="1">
      <alignment vertical="center"/>
    </xf>
    <xf numFmtId="182" fontId="46" fillId="0" borderId="1" xfId="32" applyNumberFormat="1" applyFont="1" applyBorder="1" applyAlignment="1">
      <alignment vertical="center"/>
    </xf>
    <xf numFmtId="9" fontId="46" fillId="0" borderId="1" xfId="49" applyFont="1" applyFill="1" applyBorder="1" applyAlignment="1" applyProtection="1">
      <alignment vertical="center"/>
    </xf>
    <xf numFmtId="0" fontId="46" fillId="24" borderId="14" xfId="3" applyFont="1" applyFill="1" applyBorder="1" applyAlignment="1">
      <alignment horizontal="center" vertical="center"/>
    </xf>
    <xf numFmtId="0" fontId="46" fillId="24" borderId="3" xfId="3" applyFont="1" applyFill="1" applyBorder="1" applyAlignment="1">
      <alignment vertical="center"/>
    </xf>
    <xf numFmtId="0" fontId="46" fillId="24" borderId="260" xfId="3" applyFont="1" applyFill="1" applyBorder="1" applyAlignment="1">
      <alignment vertical="center"/>
    </xf>
    <xf numFmtId="0" fontId="11" fillId="23" borderId="10" xfId="55" applyFont="1" applyFill="1" applyBorder="1" applyAlignment="1">
      <alignment horizontal="left" vertical="center"/>
    </xf>
    <xf numFmtId="9" fontId="11" fillId="23" borderId="1" xfId="68" applyFont="1" applyFill="1" applyBorder="1" applyAlignment="1">
      <alignment horizontal="center" vertical="center"/>
    </xf>
    <xf numFmtId="0" fontId="11" fillId="0" borderId="1" xfId="3" applyFont="1" applyBorder="1" applyAlignment="1">
      <alignment vertical="center"/>
    </xf>
    <xf numFmtId="3" fontId="11" fillId="0" borderId="1" xfId="3" applyNumberFormat="1" applyFont="1" applyBorder="1" applyAlignment="1">
      <alignment vertical="center"/>
    </xf>
    <xf numFmtId="10" fontId="46" fillId="0" borderId="1" xfId="68" applyNumberFormat="1" applyFont="1" applyBorder="1" applyAlignment="1" applyProtection="1">
      <alignment horizontal="center" vertical="center"/>
    </xf>
    <xf numFmtId="3" fontId="11" fillId="0" borderId="12" xfId="3" applyNumberFormat="1" applyFont="1" applyBorder="1" applyAlignment="1">
      <alignment horizontal="center" vertical="center"/>
    </xf>
    <xf numFmtId="10" fontId="11" fillId="0" borderId="1" xfId="68" applyNumberFormat="1" applyFont="1" applyBorder="1" applyAlignment="1" applyProtection="1">
      <alignment vertical="center"/>
    </xf>
    <xf numFmtId="182" fontId="11" fillId="0" borderId="12" xfId="32" applyNumberFormat="1" applyFont="1" applyBorder="1" applyAlignment="1">
      <alignment vertical="center"/>
    </xf>
    <xf numFmtId="182" fontId="46" fillId="0" borderId="16" xfId="32" applyNumberFormat="1" applyFont="1" applyBorder="1" applyAlignment="1">
      <alignment vertical="center"/>
    </xf>
    <xf numFmtId="10" fontId="11" fillId="0" borderId="16" xfId="68" applyNumberFormat="1" applyFont="1" applyBorder="1" applyAlignment="1" applyProtection="1">
      <alignment vertical="center"/>
    </xf>
    <xf numFmtId="182" fontId="11" fillId="0" borderId="23" xfId="32" applyNumberFormat="1" applyFont="1" applyBorder="1" applyAlignment="1">
      <alignment vertical="center"/>
    </xf>
    <xf numFmtId="0" fontId="46" fillId="11" borderId="2" xfId="3" applyFont="1" applyFill="1" applyBorder="1" applyAlignment="1">
      <alignment horizontal="center"/>
    </xf>
    <xf numFmtId="0" fontId="46" fillId="11" borderId="3" xfId="3" applyFont="1" applyFill="1" applyBorder="1"/>
    <xf numFmtId="0" fontId="46" fillId="11" borderId="90" xfId="3" applyFont="1" applyFill="1" applyBorder="1"/>
    <xf numFmtId="0" fontId="46" fillId="11" borderId="13" xfId="3" applyFont="1" applyFill="1" applyBorder="1"/>
    <xf numFmtId="0" fontId="47" fillId="0" borderId="0" xfId="55" applyFont="1"/>
    <xf numFmtId="2" fontId="46" fillId="0" borderId="30" xfId="3" applyNumberFormat="1" applyFont="1" applyBorder="1" applyAlignment="1" applyProtection="1">
      <alignment horizontal="center" vertical="center"/>
      <protection locked="0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42" fontId="11" fillId="2" borderId="0" xfId="1" applyFont="1" applyFill="1" applyBorder="1" applyAlignment="1">
      <alignment horizontal="justify" vertical="center"/>
    </xf>
    <xf numFmtId="166" fontId="46" fillId="0" borderId="1" xfId="60" applyNumberFormat="1" applyFont="1" applyBorder="1" applyAlignment="1">
      <alignment horizontal="center" vertical="center" wrapText="1"/>
    </xf>
    <xf numFmtId="0" fontId="46" fillId="2" borderId="0" xfId="60" applyFont="1" applyFill="1" applyAlignment="1">
      <alignment vertical="center"/>
    </xf>
    <xf numFmtId="9" fontId="46" fillId="2" borderId="0" xfId="61" applyFont="1" applyFill="1" applyAlignment="1">
      <alignment vertical="center"/>
    </xf>
    <xf numFmtId="3" fontId="47" fillId="0" borderId="1" xfId="60" applyNumberFormat="1" applyFont="1" applyBorder="1" applyAlignment="1">
      <alignment horizontal="center" vertical="center" wrapText="1"/>
    </xf>
    <xf numFmtId="3" fontId="46" fillId="2" borderId="0" xfId="60" applyNumberFormat="1" applyFont="1" applyFill="1" applyAlignment="1">
      <alignment vertical="center" wrapText="1"/>
    </xf>
    <xf numFmtId="10" fontId="46" fillId="2" borderId="0" xfId="61" applyNumberFormat="1" applyFont="1" applyFill="1" applyAlignment="1">
      <alignment vertical="center" wrapText="1"/>
    </xf>
    <xf numFmtId="9" fontId="47" fillId="17" borderId="1" xfId="63" applyFont="1" applyFill="1" applyBorder="1" applyAlignment="1">
      <alignment horizontal="center" vertical="center" wrapText="1"/>
    </xf>
    <xf numFmtId="0" fontId="11" fillId="2" borderId="0" xfId="60" applyFont="1" applyFill="1" applyAlignment="1">
      <alignment vertical="center" wrapText="1"/>
    </xf>
    <xf numFmtId="44" fontId="47" fillId="17" borderId="1" xfId="32" applyFont="1" applyFill="1" applyBorder="1" applyAlignment="1">
      <alignment horizontal="center" vertical="center" wrapText="1"/>
    </xf>
    <xf numFmtId="44" fontId="55" fillId="17" borderId="0" xfId="32" applyFont="1" applyFill="1" applyBorder="1" applyAlignment="1">
      <alignment horizontal="center" vertical="center" wrapText="1"/>
    </xf>
    <xf numFmtId="0" fontId="54" fillId="2" borderId="0" xfId="62" applyFont="1" applyFill="1" applyAlignment="1">
      <alignment horizontal="left" vertical="center" wrapText="1" indent="1"/>
    </xf>
    <xf numFmtId="9" fontId="55" fillId="2" borderId="0" xfId="63" applyFont="1" applyFill="1" applyBorder="1" applyAlignment="1">
      <alignment horizontal="center" vertical="center" wrapText="1"/>
    </xf>
    <xf numFmtId="10" fontId="11" fillId="2" borderId="0" xfId="60" applyNumberFormat="1" applyFont="1" applyFill="1" applyAlignment="1">
      <alignment vertical="center" wrapText="1"/>
    </xf>
    <xf numFmtId="44" fontId="0" fillId="2" borderId="0" xfId="32" applyFont="1" applyFill="1"/>
    <xf numFmtId="0" fontId="11" fillId="9" borderId="1" xfId="60" applyFont="1" applyFill="1" applyBorder="1" applyAlignment="1">
      <alignment horizontal="center" vertical="center" wrapText="1"/>
    </xf>
    <xf numFmtId="3" fontId="11" fillId="9" borderId="1" xfId="60" applyNumberFormat="1" applyFont="1" applyFill="1" applyBorder="1" applyAlignment="1">
      <alignment horizontal="center" vertical="center" wrapText="1"/>
    </xf>
    <xf numFmtId="3" fontId="0" fillId="2" borderId="0" xfId="0" applyNumberFormat="1" applyFill="1"/>
    <xf numFmtId="10" fontId="0" fillId="2" borderId="0" xfId="2" applyNumberFormat="1" applyFont="1" applyFill="1"/>
    <xf numFmtId="9" fontId="47" fillId="2" borderId="1" xfId="62" applyNumberFormat="1" applyFont="1" applyFill="1" applyBorder="1" applyAlignment="1">
      <alignment horizontal="center" vertical="center" wrapText="1"/>
    </xf>
    <xf numFmtId="188" fontId="56" fillId="2" borderId="1" xfId="64" applyNumberFormat="1" applyFont="1" applyFill="1" applyBorder="1" applyAlignment="1">
      <alignment vertical="center" wrapText="1"/>
    </xf>
    <xf numFmtId="0" fontId="56" fillId="2" borderId="1" xfId="62" applyFont="1" applyFill="1" applyBorder="1" applyAlignment="1">
      <alignment horizontal="center" vertical="center" wrapText="1"/>
    </xf>
    <xf numFmtId="10" fontId="46" fillId="2" borderId="1" xfId="61" applyNumberFormat="1" applyFont="1" applyFill="1" applyBorder="1" applyAlignment="1">
      <alignment horizontal="center" vertical="center" wrapText="1"/>
    </xf>
    <xf numFmtId="9" fontId="0" fillId="2" borderId="0" xfId="2" applyFont="1" applyFill="1"/>
    <xf numFmtId="9" fontId="56" fillId="0" borderId="1" xfId="62" applyNumberFormat="1" applyFont="1" applyBorder="1" applyAlignment="1">
      <alignment horizontal="center" vertical="center" wrapText="1"/>
    </xf>
    <xf numFmtId="3" fontId="56" fillId="0" borderId="1" xfId="62" applyNumberFormat="1" applyFont="1" applyBorder="1" applyAlignment="1">
      <alignment horizontal="center" vertical="center" wrapText="1"/>
    </xf>
    <xf numFmtId="9" fontId="47" fillId="0" borderId="1" xfId="62" applyNumberFormat="1" applyFont="1" applyBorder="1" applyAlignment="1">
      <alignment horizontal="center" vertical="center" wrapText="1"/>
    </xf>
    <xf numFmtId="188" fontId="47" fillId="2" borderId="1" xfId="64" applyNumberFormat="1" applyFont="1" applyFill="1" applyBorder="1" applyAlignment="1">
      <alignment vertical="center" wrapText="1"/>
    </xf>
    <xf numFmtId="3" fontId="47" fillId="0" borderId="1" xfId="62" applyNumberFormat="1" applyFont="1" applyBorder="1" applyAlignment="1">
      <alignment horizontal="center" vertical="center" wrapText="1"/>
    </xf>
    <xf numFmtId="10" fontId="47" fillId="2" borderId="1" xfId="61" applyNumberFormat="1" applyFont="1" applyFill="1" applyBorder="1" applyAlignment="1">
      <alignment horizontal="center" vertical="center" wrapText="1"/>
    </xf>
    <xf numFmtId="0" fontId="56" fillId="0" borderId="1" xfId="62" applyFont="1" applyBorder="1" applyAlignment="1">
      <alignment horizontal="center" vertical="center" wrapText="1"/>
    </xf>
    <xf numFmtId="188" fontId="54" fillId="26" borderId="1" xfId="64" applyNumberFormat="1" applyFont="1" applyFill="1" applyBorder="1" applyAlignment="1">
      <alignment vertical="center" wrapText="1"/>
    </xf>
    <xf numFmtId="188" fontId="54" fillId="2" borderId="1" xfId="64" applyNumberFormat="1" applyFont="1" applyFill="1" applyBorder="1" applyAlignment="1">
      <alignment vertical="center" wrapText="1"/>
    </xf>
    <xf numFmtId="182" fontId="54" fillId="2" borderId="1" xfId="32" applyNumberFormat="1" applyFont="1" applyFill="1" applyBorder="1" applyAlignment="1">
      <alignment vertical="center" wrapText="1"/>
    </xf>
    <xf numFmtId="10" fontId="54" fillId="17" borderId="1" xfId="65" applyNumberFormat="1" applyFont="1" applyFill="1" applyBorder="1" applyAlignment="1">
      <alignment horizontal="center" vertical="center" wrapText="1"/>
    </xf>
    <xf numFmtId="0" fontId="46" fillId="2" borderId="0" xfId="60" applyFont="1" applyFill="1" applyAlignment="1">
      <alignment horizontal="justify" vertical="center" wrapText="1"/>
    </xf>
    <xf numFmtId="1" fontId="46" fillId="2" borderId="0" xfId="60" applyNumberFormat="1" applyFont="1" applyFill="1" applyAlignment="1">
      <alignment vertical="center" wrapText="1"/>
    </xf>
    <xf numFmtId="0" fontId="46" fillId="2" borderId="0" xfId="60" applyFont="1" applyFill="1" applyAlignment="1">
      <alignment vertical="center" wrapText="1"/>
    </xf>
    <xf numFmtId="0" fontId="47" fillId="2" borderId="0" xfId="0" applyFont="1" applyFill="1"/>
    <xf numFmtId="0" fontId="14" fillId="27" borderId="1" xfId="0" applyFont="1" applyFill="1" applyBorder="1" applyAlignment="1">
      <alignment horizontal="center" vertical="center" wrapText="1"/>
    </xf>
    <xf numFmtId="0" fontId="14" fillId="27" borderId="1" xfId="0" applyFont="1" applyFill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182" fontId="47" fillId="0" borderId="1" xfId="32" applyNumberFormat="1" applyFont="1" applyBorder="1" applyAlignment="1">
      <alignment horizontal="center" vertical="center"/>
    </xf>
    <xf numFmtId="182" fontId="47" fillId="2" borderId="1" xfId="32" applyNumberFormat="1" applyFont="1" applyFill="1" applyBorder="1" applyAlignment="1">
      <alignment vertical="center"/>
    </xf>
    <xf numFmtId="182" fontId="14" fillId="0" borderId="1" xfId="32" applyNumberFormat="1" applyFont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 wrapText="1"/>
    </xf>
    <xf numFmtId="0" fontId="51" fillId="2" borderId="0" xfId="0" applyFont="1" applyFill="1"/>
    <xf numFmtId="0" fontId="57" fillId="0" borderId="0" xfId="0" applyFont="1"/>
    <xf numFmtId="0" fontId="58" fillId="0" borderId="29" xfId="0" applyFont="1" applyBorder="1" applyAlignment="1">
      <alignment horizontal="center" vertical="center"/>
    </xf>
    <xf numFmtId="0" fontId="59" fillId="0" borderId="0" xfId="0" applyFont="1"/>
    <xf numFmtId="0" fontId="57" fillId="2" borderId="0" xfId="0" applyFont="1" applyFill="1"/>
    <xf numFmtId="0" fontId="14" fillId="9" borderId="1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23" borderId="2" xfId="0" applyFont="1" applyFill="1" applyBorder="1"/>
    <xf numFmtId="0" fontId="14" fillId="23" borderId="4" xfId="0" applyFont="1" applyFill="1" applyBorder="1"/>
    <xf numFmtId="0" fontId="14" fillId="23" borderId="1" xfId="0" applyFont="1" applyFill="1" applyBorder="1"/>
    <xf numFmtId="0" fontId="14" fillId="23" borderId="2" xfId="0" applyFont="1" applyFill="1" applyBorder="1" applyAlignment="1">
      <alignment horizontal="center" vertical="center"/>
    </xf>
    <xf numFmtId="2" fontId="14" fillId="23" borderId="2" xfId="0" applyNumberFormat="1" applyFont="1" applyFill="1" applyBorder="1" applyAlignment="1">
      <alignment horizontal="center" vertical="center"/>
    </xf>
    <xf numFmtId="0" fontId="14" fillId="23" borderId="239" xfId="0" applyFont="1" applyFill="1" applyBorder="1" applyAlignment="1">
      <alignment horizontal="center" vertical="center"/>
    </xf>
    <xf numFmtId="2" fontId="14" fillId="23" borderId="1" xfId="0" applyNumberFormat="1" applyFont="1" applyFill="1" applyBorder="1" applyAlignment="1">
      <alignment horizontal="center" vertical="center"/>
    </xf>
    <xf numFmtId="2" fontId="14" fillId="23" borderId="3" xfId="0" applyNumberFormat="1" applyFont="1" applyFill="1" applyBorder="1" applyAlignment="1">
      <alignment horizontal="center" vertical="center"/>
    </xf>
    <xf numFmtId="0" fontId="47" fillId="2" borderId="239" xfId="0" applyFont="1" applyFill="1" applyBorder="1"/>
    <xf numFmtId="0" fontId="47" fillId="2" borderId="11" xfId="0" applyFont="1" applyFill="1" applyBorder="1"/>
    <xf numFmtId="0" fontId="47" fillId="2" borderId="22" xfId="0" applyFont="1" applyFill="1" applyBorder="1" applyAlignment="1">
      <alignment horizontal="center"/>
    </xf>
    <xf numFmtId="0" fontId="47" fillId="2" borderId="239" xfId="0" applyFont="1" applyFill="1" applyBorder="1" applyAlignment="1">
      <alignment horizontal="center" vertical="center"/>
    </xf>
    <xf numFmtId="2" fontId="47" fillId="2" borderId="239" xfId="0" applyNumberFormat="1" applyFont="1" applyFill="1" applyBorder="1" applyAlignment="1">
      <alignment horizontal="center" vertical="center"/>
    </xf>
    <xf numFmtId="2" fontId="47" fillId="2" borderId="30" xfId="0" applyNumberFormat="1" applyFont="1" applyFill="1" applyBorder="1" applyAlignment="1">
      <alignment horizontal="center" vertical="center"/>
    </xf>
    <xf numFmtId="0" fontId="47" fillId="2" borderId="0" xfId="0" applyFont="1" applyFill="1" applyAlignment="1">
      <alignment horizontal="center"/>
    </xf>
    <xf numFmtId="0" fontId="47" fillId="2" borderId="30" xfId="0" applyFont="1" applyFill="1" applyBorder="1" applyAlignment="1">
      <alignment horizontal="center"/>
    </xf>
    <xf numFmtId="0" fontId="47" fillId="2" borderId="31" xfId="0" applyFont="1" applyFill="1" applyBorder="1" applyAlignment="1">
      <alignment horizontal="center"/>
    </xf>
    <xf numFmtId="0" fontId="47" fillId="2" borderId="32" xfId="0" applyFont="1" applyFill="1" applyBorder="1" applyAlignment="1">
      <alignment horizontal="center"/>
    </xf>
    <xf numFmtId="0" fontId="47" fillId="2" borderId="31" xfId="0" applyFont="1" applyFill="1" applyBorder="1"/>
    <xf numFmtId="0" fontId="47" fillId="2" borderId="32" xfId="0" applyFont="1" applyFill="1" applyBorder="1"/>
    <xf numFmtId="2" fontId="47" fillId="2" borderId="31" xfId="0" applyNumberFormat="1" applyFont="1" applyFill="1" applyBorder="1" applyAlignment="1">
      <alignment horizontal="center" vertical="center"/>
    </xf>
    <xf numFmtId="0" fontId="47" fillId="2" borderId="31" xfId="0" applyFont="1" applyFill="1" applyBorder="1" applyAlignment="1">
      <alignment horizontal="center" vertical="center"/>
    </xf>
    <xf numFmtId="0" fontId="47" fillId="2" borderId="29" xfId="0" applyFont="1" applyFill="1" applyBorder="1" applyAlignment="1">
      <alignment horizontal="center"/>
    </xf>
    <xf numFmtId="2" fontId="47" fillId="2" borderId="33" xfId="0" applyNumberFormat="1" applyFont="1" applyFill="1" applyBorder="1" applyAlignment="1">
      <alignment horizontal="center" vertical="center"/>
    </xf>
    <xf numFmtId="0" fontId="47" fillId="2" borderId="33" xfId="0" applyFont="1" applyFill="1" applyBorder="1" applyAlignment="1">
      <alignment horizontal="center" vertical="center"/>
    </xf>
    <xf numFmtId="2" fontId="47" fillId="2" borderId="29" xfId="0" applyNumberFormat="1" applyFont="1" applyFill="1" applyBorder="1" applyAlignment="1">
      <alignment horizontal="center" vertical="center"/>
    </xf>
    <xf numFmtId="0" fontId="14" fillId="23" borderId="1" xfId="0" applyFont="1" applyFill="1" applyBorder="1" applyAlignment="1">
      <alignment horizontal="center"/>
    </xf>
    <xf numFmtId="0" fontId="14" fillId="23" borderId="31" xfId="0" applyFont="1" applyFill="1" applyBorder="1" applyAlignment="1">
      <alignment horizontal="center" vertical="center"/>
    </xf>
    <xf numFmtId="2" fontId="14" fillId="23" borderId="4" xfId="0" applyNumberFormat="1" applyFont="1" applyFill="1" applyBorder="1" applyAlignment="1">
      <alignment horizontal="center" vertical="center"/>
    </xf>
    <xf numFmtId="0" fontId="47" fillId="2" borderId="33" xfId="0" applyFont="1" applyFill="1" applyBorder="1"/>
    <xf numFmtId="0" fontId="47" fillId="2" borderId="13" xfId="0" applyFont="1" applyFill="1" applyBorder="1"/>
    <xf numFmtId="0" fontId="47" fillId="2" borderId="33" xfId="0" applyFont="1" applyFill="1" applyBorder="1" applyAlignment="1">
      <alignment horizontal="center" vertical="center" wrapText="1"/>
    </xf>
    <xf numFmtId="2" fontId="14" fillId="23" borderId="22" xfId="0" applyNumberFormat="1" applyFont="1" applyFill="1" applyBorder="1" applyAlignment="1">
      <alignment horizontal="center" vertical="center"/>
    </xf>
    <xf numFmtId="2" fontId="47" fillId="2" borderId="22" xfId="0" applyNumberFormat="1" applyFont="1" applyFill="1" applyBorder="1" applyAlignment="1">
      <alignment horizontal="center" vertical="center"/>
    </xf>
    <xf numFmtId="0" fontId="14" fillId="23" borderId="33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/>
    </xf>
    <xf numFmtId="0" fontId="14" fillId="2" borderId="30" xfId="0" applyFont="1" applyFill="1" applyBorder="1" applyAlignment="1">
      <alignment horizontal="center"/>
    </xf>
    <xf numFmtId="0" fontId="47" fillId="2" borderId="31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/>
    </xf>
    <xf numFmtId="0" fontId="14" fillId="2" borderId="2" xfId="0" applyFont="1" applyFill="1" applyBorder="1"/>
    <xf numFmtId="0" fontId="14" fillId="2" borderId="4" xfId="0" applyFont="1" applyFill="1" applyBorder="1"/>
    <xf numFmtId="0" fontId="14" fillId="2" borderId="1" xfId="0" applyFont="1" applyFill="1" applyBorder="1" applyAlignment="1">
      <alignment horizontal="center"/>
    </xf>
    <xf numFmtId="0" fontId="47" fillId="2" borderId="2" xfId="0" applyFont="1" applyFill="1" applyBorder="1" applyAlignment="1">
      <alignment horizontal="center" vertical="center"/>
    </xf>
    <xf numFmtId="2" fontId="47" fillId="2" borderId="2" xfId="0" applyNumberFormat="1" applyFont="1" applyFill="1" applyBorder="1" applyAlignment="1">
      <alignment horizontal="center" vertical="center"/>
    </xf>
    <xf numFmtId="2" fontId="47" fillId="2" borderId="1" xfId="0" applyNumberFormat="1" applyFont="1" applyFill="1" applyBorder="1" applyAlignment="1">
      <alignment horizontal="center" vertical="center"/>
    </xf>
    <xf numFmtId="0" fontId="47" fillId="2" borderId="3" xfId="0" applyFont="1" applyFill="1" applyBorder="1" applyAlignment="1">
      <alignment horizontal="center"/>
    </xf>
    <xf numFmtId="0" fontId="47" fillId="2" borderId="1" xfId="0" applyFont="1" applyFill="1" applyBorder="1" applyAlignment="1">
      <alignment horizontal="center"/>
    </xf>
    <xf numFmtId="0" fontId="47" fillId="2" borderId="2" xfId="0" applyFont="1" applyFill="1" applyBorder="1" applyAlignment="1">
      <alignment horizontal="center"/>
    </xf>
    <xf numFmtId="0" fontId="47" fillId="2" borderId="4" xfId="0" applyFont="1" applyFill="1" applyBorder="1" applyAlignment="1">
      <alignment horizontal="center"/>
    </xf>
    <xf numFmtId="0" fontId="47" fillId="0" borderId="31" xfId="0" applyFont="1" applyBorder="1"/>
    <xf numFmtId="0" fontId="47" fillId="0" borderId="32" xfId="0" applyFont="1" applyBorder="1"/>
    <xf numFmtId="0" fontId="14" fillId="0" borderId="30" xfId="0" applyFont="1" applyBorder="1" applyAlignment="1">
      <alignment horizontal="center"/>
    </xf>
    <xf numFmtId="0" fontId="47" fillId="0" borderId="31" xfId="0" applyFont="1" applyBorder="1" applyAlignment="1">
      <alignment horizontal="center" vertical="center"/>
    </xf>
    <xf numFmtId="2" fontId="47" fillId="0" borderId="31" xfId="0" applyNumberFormat="1" applyFont="1" applyBorder="1" applyAlignment="1">
      <alignment horizontal="center" vertical="center"/>
    </xf>
    <xf numFmtId="2" fontId="47" fillId="0" borderId="30" xfId="0" applyNumberFormat="1" applyFont="1" applyBorder="1" applyAlignment="1">
      <alignment horizontal="center" vertical="center"/>
    </xf>
    <xf numFmtId="0" fontId="47" fillId="2" borderId="33" xfId="0" applyFont="1" applyFill="1" applyBorder="1" applyAlignment="1">
      <alignment horizontal="center"/>
    </xf>
    <xf numFmtId="0" fontId="47" fillId="2" borderId="1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172" fontId="11" fillId="11" borderId="20" xfId="0" applyNumberFormat="1" applyFont="1" applyFill="1" applyBorder="1" applyAlignment="1">
      <alignment horizontal="center" vertical="center"/>
    </xf>
    <xf numFmtId="172" fontId="16" fillId="12" borderId="1" xfId="22" applyNumberFormat="1" applyFont="1" applyFill="1" applyBorder="1" applyAlignment="1">
      <alignment horizontal="center" vertical="center"/>
    </xf>
    <xf numFmtId="172" fontId="15" fillId="12" borderId="1" xfId="11" applyNumberFormat="1" applyFont="1" applyFill="1" applyBorder="1" applyAlignment="1">
      <alignment horizontal="center" vertical="center" wrapText="1"/>
    </xf>
    <xf numFmtId="172" fontId="16" fillId="12" borderId="1" xfId="1" applyNumberFormat="1" applyFont="1" applyFill="1" applyBorder="1" applyAlignment="1">
      <alignment horizontal="center" vertical="center" wrapText="1"/>
    </xf>
    <xf numFmtId="172" fontId="17" fillId="0" borderId="1" xfId="1" applyNumberFormat="1" applyFont="1" applyFill="1" applyBorder="1" applyAlignment="1">
      <alignment horizontal="center" vertical="center" wrapText="1"/>
    </xf>
    <xf numFmtId="172" fontId="15" fillId="2" borderId="1" xfId="1" applyNumberFormat="1" applyFont="1" applyFill="1" applyBorder="1" applyAlignment="1">
      <alignment horizontal="center" vertical="center" wrapText="1"/>
    </xf>
    <xf numFmtId="172" fontId="17" fillId="2" borderId="1" xfId="1" applyNumberFormat="1" applyFont="1" applyFill="1" applyBorder="1" applyAlignment="1">
      <alignment horizontal="center" vertical="center" wrapText="1"/>
    </xf>
    <xf numFmtId="172" fontId="14" fillId="12" borderId="1" xfId="0" applyNumberFormat="1" applyFont="1" applyFill="1" applyBorder="1" applyAlignment="1">
      <alignment horizontal="center" vertical="center"/>
    </xf>
    <xf numFmtId="172" fontId="17" fillId="0" borderId="1" xfId="0" applyNumberFormat="1" applyFont="1" applyBorder="1" applyAlignment="1">
      <alignment horizontal="center" vertical="center" wrapText="1"/>
    </xf>
    <xf numFmtId="172" fontId="15" fillId="0" borderId="1" xfId="0" applyNumberFormat="1" applyFont="1" applyBorder="1" applyAlignment="1">
      <alignment horizontal="center" vertical="center" wrapText="1"/>
    </xf>
    <xf numFmtId="172" fontId="16" fillId="12" borderId="1" xfId="0" applyNumberFormat="1" applyFont="1" applyFill="1" applyBorder="1" applyAlignment="1">
      <alignment horizontal="center" vertical="center" wrapText="1"/>
    </xf>
    <xf numFmtId="172" fontId="15" fillId="0" borderId="1" xfId="11" applyNumberFormat="1" applyFont="1" applyFill="1" applyBorder="1" applyAlignment="1">
      <alignment horizontal="center" vertical="center" wrapText="1"/>
    </xf>
    <xf numFmtId="172" fontId="15" fillId="0" borderId="16" xfId="11" applyNumberFormat="1" applyFont="1" applyFill="1" applyBorder="1" applyAlignment="1">
      <alignment horizontal="center" vertical="center" wrapText="1"/>
    </xf>
    <xf numFmtId="44" fontId="1" fillId="0" borderId="0" xfId="37" applyNumberFormat="1"/>
    <xf numFmtId="44" fontId="1" fillId="0" borderId="1" xfId="32" applyBorder="1" applyAlignment="1">
      <alignment vertical="center"/>
    </xf>
    <xf numFmtId="0" fontId="7" fillId="0" borderId="0" xfId="12" applyFont="1" applyAlignment="1">
      <alignment vertical="center"/>
    </xf>
    <xf numFmtId="1" fontId="7" fillId="0" borderId="0" xfId="12" applyNumberFormat="1" applyFont="1" applyAlignment="1">
      <alignment vertical="center"/>
    </xf>
    <xf numFmtId="0" fontId="48" fillId="3" borderId="29" xfId="12" applyFont="1" applyFill="1" applyBorder="1" applyAlignment="1">
      <alignment horizontal="center" vertical="center"/>
    </xf>
    <xf numFmtId="0" fontId="48" fillId="3" borderId="29" xfId="12" applyFont="1" applyFill="1" applyBorder="1" applyAlignment="1">
      <alignment horizontal="center" vertical="center" wrapText="1"/>
    </xf>
    <xf numFmtId="0" fontId="7" fillId="0" borderId="1" xfId="12" applyFont="1" applyBorder="1" applyAlignment="1">
      <alignment horizontal="left" vertical="center" wrapText="1"/>
    </xf>
    <xf numFmtId="170" fontId="7" fillId="0" borderId="1" xfId="12" applyNumberFormat="1" applyFont="1" applyBorder="1" applyAlignment="1">
      <alignment horizontal="center" vertical="center"/>
    </xf>
    <xf numFmtId="2" fontId="7" fillId="0" borderId="1" xfId="12" applyNumberFormat="1" applyFont="1" applyBorder="1" applyAlignment="1">
      <alignment horizontal="center" vertical="center"/>
    </xf>
    <xf numFmtId="9" fontId="7" fillId="0" borderId="1" xfId="12" applyNumberFormat="1" applyFont="1" applyBorder="1" applyAlignment="1">
      <alignment horizontal="center" vertical="center"/>
    </xf>
    <xf numFmtId="4" fontId="7" fillId="2" borderId="1" xfId="12" applyNumberFormat="1" applyFont="1" applyFill="1" applyBorder="1" applyAlignment="1">
      <alignment horizontal="center" vertical="center"/>
    </xf>
    <xf numFmtId="1" fontId="7" fillId="0" borderId="1" xfId="12" applyNumberFormat="1" applyFont="1" applyBorder="1" applyAlignment="1">
      <alignment horizontal="center" vertical="center"/>
    </xf>
    <xf numFmtId="0" fontId="6" fillId="0" borderId="1" xfId="12" applyFont="1" applyBorder="1" applyAlignment="1">
      <alignment horizontal="left" vertical="center" wrapText="1"/>
    </xf>
    <xf numFmtId="170" fontId="7" fillId="2" borderId="1" xfId="12" applyNumberFormat="1" applyFont="1" applyFill="1" applyBorder="1" applyAlignment="1">
      <alignment horizontal="center" vertical="center"/>
    </xf>
    <xf numFmtId="9" fontId="7" fillId="2" borderId="1" xfId="12" applyNumberFormat="1" applyFont="1" applyFill="1" applyBorder="1" applyAlignment="1">
      <alignment horizontal="center" vertical="center"/>
    </xf>
    <xf numFmtId="1" fontId="7" fillId="2" borderId="1" xfId="12" applyNumberFormat="1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left" vertical="center" wrapText="1"/>
    </xf>
    <xf numFmtId="10" fontId="7" fillId="0" borderId="1" xfId="2" applyNumberFormat="1" applyFont="1" applyFill="1" applyBorder="1" applyAlignment="1">
      <alignment horizontal="center" vertical="center"/>
    </xf>
    <xf numFmtId="4" fontId="7" fillId="0" borderId="1" xfId="12" applyNumberFormat="1" applyFont="1" applyBorder="1" applyAlignment="1">
      <alignment horizontal="center" vertical="center"/>
    </xf>
    <xf numFmtId="10" fontId="7" fillId="0" borderId="1" xfId="12" applyNumberFormat="1" applyFont="1" applyBorder="1" applyAlignment="1">
      <alignment horizontal="center" vertical="center"/>
    </xf>
    <xf numFmtId="42" fontId="7" fillId="0" borderId="1" xfId="12" applyNumberFormat="1" applyFont="1" applyBorder="1" applyAlignment="1">
      <alignment horizontal="center" vertical="center"/>
    </xf>
    <xf numFmtId="0" fontId="6" fillId="2" borderId="1" xfId="12" applyFont="1" applyFill="1" applyBorder="1" applyAlignment="1">
      <alignment horizontal="left" vertical="center" wrapText="1"/>
    </xf>
    <xf numFmtId="170" fontId="6" fillId="2" borderId="1" xfId="12" applyNumberFormat="1" applyFont="1" applyFill="1" applyBorder="1" applyAlignment="1">
      <alignment horizontal="center" vertical="center"/>
    </xf>
    <xf numFmtId="4" fontId="6" fillId="2" borderId="1" xfId="12" applyNumberFormat="1" applyFont="1" applyFill="1" applyBorder="1" applyAlignment="1">
      <alignment horizontal="center" vertical="center"/>
    </xf>
    <xf numFmtId="9" fontId="6" fillId="2" borderId="1" xfId="12" applyNumberFormat="1" applyFont="1" applyFill="1" applyBorder="1" applyAlignment="1">
      <alignment horizontal="center" vertical="center"/>
    </xf>
    <xf numFmtId="10" fontId="6" fillId="2" borderId="1" xfId="12" applyNumberFormat="1" applyFont="1" applyFill="1" applyBorder="1" applyAlignment="1">
      <alignment horizontal="center" vertical="center"/>
    </xf>
    <xf numFmtId="0" fontId="6" fillId="12" borderId="1" xfId="12" applyFont="1" applyFill="1" applyBorder="1" applyAlignment="1">
      <alignment horizontal="center" vertical="center"/>
    </xf>
    <xf numFmtId="0" fontId="6" fillId="12" borderId="1" xfId="12" applyFont="1" applyFill="1" applyBorder="1" applyAlignment="1">
      <alignment horizontal="left" vertical="center" wrapText="1"/>
    </xf>
    <xf numFmtId="0" fontId="7" fillId="12" borderId="1" xfId="12" applyFont="1" applyFill="1" applyBorder="1" applyAlignment="1">
      <alignment vertical="center"/>
    </xf>
    <xf numFmtId="0" fontId="6" fillId="23" borderId="1" xfId="12" applyFont="1" applyFill="1" applyBorder="1" applyAlignment="1">
      <alignment horizontal="center" vertical="center"/>
    </xf>
    <xf numFmtId="0" fontId="6" fillId="23" borderId="1" xfId="12" applyFont="1" applyFill="1" applyBorder="1" applyAlignment="1">
      <alignment horizontal="justify" vertical="center" wrapText="1"/>
    </xf>
    <xf numFmtId="0" fontId="7" fillId="23" borderId="1" xfId="12" applyFont="1" applyFill="1" applyBorder="1" applyAlignment="1">
      <alignment vertical="center"/>
    </xf>
    <xf numFmtId="172" fontId="6" fillId="12" borderId="1" xfId="12" applyNumberFormat="1" applyFont="1" applyFill="1" applyBorder="1" applyAlignment="1">
      <alignment horizontal="center" vertical="center"/>
    </xf>
    <xf numFmtId="0" fontId="6" fillId="12" borderId="1" xfId="12" applyFont="1" applyFill="1" applyBorder="1" applyAlignment="1">
      <alignment vertical="center"/>
    </xf>
    <xf numFmtId="166" fontId="6" fillId="12" borderId="1" xfId="33" applyNumberFormat="1" applyFont="1" applyFill="1" applyBorder="1" applyAlignment="1">
      <alignment horizontal="center" vertical="center"/>
    </xf>
    <xf numFmtId="10" fontId="6" fillId="12" borderId="1" xfId="12" applyNumberFormat="1" applyFont="1" applyFill="1" applyBorder="1" applyAlignment="1">
      <alignment horizontal="center" vertical="center"/>
    </xf>
    <xf numFmtId="44" fontId="6" fillId="12" borderId="1" xfId="32" applyFont="1" applyFill="1" applyBorder="1" applyAlignment="1">
      <alignment horizontal="center" vertical="center"/>
    </xf>
    <xf numFmtId="0" fontId="60" fillId="18" borderId="28" xfId="54" applyFont="1" applyFill="1" applyBorder="1" applyAlignment="1">
      <alignment horizontal="center" vertical="center" wrapText="1"/>
    </xf>
    <xf numFmtId="0" fontId="60" fillId="18" borderId="204" xfId="54" applyFont="1" applyFill="1" applyBorder="1" applyAlignment="1">
      <alignment horizontal="center" vertical="center" wrapText="1"/>
    </xf>
    <xf numFmtId="2" fontId="60" fillId="18" borderId="204" xfId="7" applyNumberFormat="1" applyFont="1" applyFill="1" applyBorder="1" applyAlignment="1">
      <alignment horizontal="center" vertical="center" wrapText="1"/>
    </xf>
    <xf numFmtId="182" fontId="60" fillId="18" borderId="204" xfId="19" applyNumberFormat="1" applyFont="1" applyFill="1" applyBorder="1" applyAlignment="1">
      <alignment horizontal="center" vertical="center" wrapText="1"/>
    </xf>
    <xf numFmtId="182" fontId="60" fillId="18" borderId="247" xfId="19" applyNumberFormat="1" applyFont="1" applyFill="1" applyBorder="1" applyAlignment="1">
      <alignment horizontal="center" vertical="center" wrapText="1"/>
    </xf>
    <xf numFmtId="0" fontId="62" fillId="0" borderId="37" xfId="54" applyFont="1" applyBorder="1" applyAlignment="1">
      <alignment horizontal="center" vertical="center" wrapText="1"/>
    </xf>
    <xf numFmtId="0" fontId="62" fillId="0" borderId="38" xfId="54" applyFont="1" applyBorder="1" applyAlignment="1">
      <alignment horizontal="center" vertical="center" wrapText="1"/>
    </xf>
    <xf numFmtId="0" fontId="62" fillId="0" borderId="29" xfId="54" applyFont="1" applyBorder="1" applyAlignment="1">
      <alignment horizontal="justify" vertical="center" wrapText="1"/>
    </xf>
    <xf numFmtId="2" fontId="62" fillId="0" borderId="29" xfId="7" applyNumberFormat="1" applyFont="1" applyFill="1" applyBorder="1" applyAlignment="1">
      <alignment horizontal="center" vertical="center" wrapText="1"/>
    </xf>
    <xf numFmtId="0" fontId="62" fillId="0" borderId="29" xfId="54" applyFont="1" applyBorder="1" applyAlignment="1">
      <alignment horizontal="center" vertical="center" wrapText="1"/>
    </xf>
    <xf numFmtId="182" fontId="62" fillId="0" borderId="29" xfId="19" applyNumberFormat="1" applyFont="1" applyFill="1" applyBorder="1" applyAlignment="1">
      <alignment horizontal="center" vertical="center" wrapText="1"/>
    </xf>
    <xf numFmtId="182" fontId="62" fillId="0" borderId="29" xfId="19" applyNumberFormat="1" applyFont="1" applyBorder="1" applyAlignment="1">
      <alignment horizontal="center" vertical="center" wrapText="1"/>
    </xf>
    <xf numFmtId="0" fontId="62" fillId="0" borderId="240" xfId="54" applyFont="1" applyBorder="1" applyAlignment="1">
      <alignment horizontal="center" vertical="center" wrapText="1"/>
    </xf>
    <xf numFmtId="0" fontId="62" fillId="0" borderId="30" xfId="54" applyFont="1" applyBorder="1" applyAlignment="1">
      <alignment horizontal="center" vertical="center" wrapText="1"/>
    </xf>
    <xf numFmtId="0" fontId="62" fillId="0" borderId="1" xfId="54" applyFont="1" applyBorder="1" applyAlignment="1">
      <alignment horizontal="justify" vertical="center" wrapText="1"/>
    </xf>
    <xf numFmtId="2" fontId="62" fillId="0" borderId="1" xfId="7" applyNumberFormat="1" applyFont="1" applyFill="1" applyBorder="1" applyAlignment="1">
      <alignment horizontal="center" vertical="center" wrapText="1"/>
    </xf>
    <xf numFmtId="0" fontId="62" fillId="0" borderId="1" xfId="54" applyFont="1" applyBorder="1" applyAlignment="1">
      <alignment horizontal="center" vertical="center" wrapText="1"/>
    </xf>
    <xf numFmtId="182" fontId="62" fillId="0" borderId="1" xfId="19" applyNumberFormat="1" applyFont="1" applyBorder="1" applyAlignment="1">
      <alignment horizontal="center" vertical="center" wrapText="1"/>
    </xf>
    <xf numFmtId="0" fontId="62" fillId="0" borderId="243" xfId="54" applyFont="1" applyBorder="1" applyAlignment="1">
      <alignment horizontal="center" vertical="center" wrapText="1"/>
    </xf>
    <xf numFmtId="0" fontId="62" fillId="0" borderId="22" xfId="54" applyFont="1" applyBorder="1" applyAlignment="1">
      <alignment horizontal="center" vertical="center" wrapText="1"/>
    </xf>
    <xf numFmtId="182" fontId="62" fillId="0" borderId="1" xfId="19" applyNumberFormat="1" applyFont="1" applyFill="1" applyBorder="1" applyAlignment="1">
      <alignment horizontal="center" vertical="center" wrapText="1"/>
    </xf>
    <xf numFmtId="0" fontId="62" fillId="0" borderId="1" xfId="54" applyFont="1" applyBorder="1" applyAlignment="1">
      <alignment vertical="center" wrapText="1"/>
    </xf>
    <xf numFmtId="0" fontId="62" fillId="0" borderId="0" xfId="54" applyFont="1" applyAlignment="1">
      <alignment vertical="center"/>
    </xf>
    <xf numFmtId="2" fontId="62" fillId="0" borderId="0" xfId="54" applyNumberFormat="1" applyFont="1" applyAlignment="1">
      <alignment horizontal="center" vertical="center"/>
    </xf>
    <xf numFmtId="0" fontId="60" fillId="19" borderId="203" xfId="54" applyFont="1" applyFill="1" applyBorder="1" applyAlignment="1">
      <alignment horizontal="center" vertical="center" wrapText="1"/>
    </xf>
    <xf numFmtId="0" fontId="60" fillId="19" borderId="204" xfId="54" applyFont="1" applyFill="1" applyBorder="1" applyAlignment="1">
      <alignment horizontal="center" vertical="center" wrapText="1"/>
    </xf>
    <xf numFmtId="2" fontId="60" fillId="19" borderId="204" xfId="7" applyNumberFormat="1" applyFont="1" applyFill="1" applyBorder="1" applyAlignment="1">
      <alignment horizontal="center" vertical="center" wrapText="1"/>
    </xf>
    <xf numFmtId="182" fontId="60" fillId="19" borderId="247" xfId="19" applyNumberFormat="1" applyFont="1" applyFill="1" applyBorder="1" applyAlignment="1">
      <alignment horizontal="center" vertical="center" wrapText="1"/>
    </xf>
    <xf numFmtId="182" fontId="60" fillId="19" borderId="35" xfId="19" applyNumberFormat="1" applyFont="1" applyFill="1" applyBorder="1" applyAlignment="1">
      <alignment horizontal="center" vertical="center" wrapText="1"/>
    </xf>
    <xf numFmtId="44" fontId="62" fillId="0" borderId="1" xfId="32" applyFont="1" applyFill="1" applyBorder="1" applyAlignment="1">
      <alignment horizontal="center" vertical="center" wrapText="1"/>
    </xf>
    <xf numFmtId="44" fontId="62" fillId="0" borderId="1" xfId="32" applyFont="1" applyBorder="1" applyAlignment="1">
      <alignment horizontal="center" vertical="center" wrapText="1"/>
    </xf>
    <xf numFmtId="44" fontId="62" fillId="0" borderId="29" xfId="32" applyFont="1" applyFill="1" applyBorder="1" applyAlignment="1">
      <alignment horizontal="center" vertical="center" wrapText="1"/>
    </xf>
    <xf numFmtId="0" fontId="62" fillId="0" borderId="29" xfId="54" applyFont="1" applyBorder="1" applyAlignment="1">
      <alignment vertical="center" wrapText="1"/>
    </xf>
    <xf numFmtId="182" fontId="62" fillId="0" borderId="1" xfId="19" applyNumberFormat="1" applyFont="1" applyFill="1" applyBorder="1" applyAlignment="1">
      <alignment horizontal="center" vertical="center"/>
    </xf>
    <xf numFmtId="44" fontId="62" fillId="0" borderId="29" xfId="32" applyFont="1" applyBorder="1" applyAlignment="1">
      <alignment horizontal="center" vertical="center" wrapText="1"/>
    </xf>
    <xf numFmtId="0" fontId="38" fillId="0" borderId="29" xfId="54" applyFont="1" applyBorder="1" applyAlignment="1">
      <alignment vertical="center" wrapText="1"/>
    </xf>
    <xf numFmtId="43" fontId="38" fillId="0" borderId="29" xfId="7" applyFont="1" applyFill="1" applyBorder="1" applyAlignment="1">
      <alignment horizontal="center" vertical="center" wrapText="1"/>
    </xf>
    <xf numFmtId="44" fontId="38" fillId="0" borderId="29" xfId="32" applyFont="1" applyBorder="1" applyAlignment="1">
      <alignment horizontal="center" vertical="center" wrapText="1"/>
    </xf>
    <xf numFmtId="0" fontId="62" fillId="0" borderId="1" xfId="54" applyFont="1" applyBorder="1" applyAlignment="1">
      <alignment vertical="center"/>
    </xf>
    <xf numFmtId="0" fontId="62" fillId="2" borderId="1" xfId="54" applyFont="1" applyFill="1" applyBorder="1" applyAlignment="1">
      <alignment vertical="center" wrapText="1"/>
    </xf>
    <xf numFmtId="44" fontId="62" fillId="2" borderId="1" xfId="32" applyFont="1" applyFill="1" applyBorder="1" applyAlignment="1">
      <alignment horizontal="center" vertical="center" wrapText="1"/>
    </xf>
    <xf numFmtId="0" fontId="60" fillId="20" borderId="28" xfId="54" applyFont="1" applyFill="1" applyBorder="1" applyAlignment="1">
      <alignment horizontal="center" vertical="center" wrapText="1"/>
    </xf>
    <xf numFmtId="0" fontId="60" fillId="20" borderId="204" xfId="54" applyFont="1" applyFill="1" applyBorder="1" applyAlignment="1">
      <alignment horizontal="center" vertical="center" wrapText="1"/>
    </xf>
    <xf numFmtId="2" fontId="60" fillId="20" borderId="204" xfId="7" applyNumberFormat="1" applyFont="1" applyFill="1" applyBorder="1" applyAlignment="1">
      <alignment horizontal="center" vertical="center" wrapText="1"/>
    </xf>
    <xf numFmtId="182" fontId="60" fillId="20" borderId="204" xfId="19" applyNumberFormat="1" applyFont="1" applyFill="1" applyBorder="1" applyAlignment="1">
      <alignment horizontal="center" vertical="center" wrapText="1"/>
    </xf>
    <xf numFmtId="182" fontId="60" fillId="20" borderId="247" xfId="19" applyNumberFormat="1" applyFont="1" applyFill="1" applyBorder="1" applyAlignment="1">
      <alignment horizontal="center" vertical="center" wrapText="1"/>
    </xf>
    <xf numFmtId="167" fontId="62" fillId="0" borderId="1" xfId="19" applyFont="1" applyFill="1" applyBorder="1" applyAlignment="1">
      <alignment horizontal="center" vertical="center" wrapText="1"/>
    </xf>
    <xf numFmtId="0" fontId="62" fillId="21" borderId="249" xfId="54" applyFont="1" applyFill="1" applyBorder="1" applyAlignment="1">
      <alignment horizontal="center" vertical="center" wrapText="1"/>
    </xf>
    <xf numFmtId="0" fontId="62" fillId="21" borderId="242" xfId="54" applyFont="1" applyFill="1" applyBorder="1" applyAlignment="1">
      <alignment horizontal="center" vertical="center" wrapText="1"/>
    </xf>
    <xf numFmtId="0" fontId="60" fillId="21" borderId="242" xfId="54" applyFont="1" applyFill="1" applyBorder="1" applyAlignment="1">
      <alignment horizontal="center" vertical="center" wrapText="1"/>
    </xf>
    <xf numFmtId="2" fontId="60" fillId="21" borderId="242" xfId="7" applyNumberFormat="1" applyFont="1" applyFill="1" applyBorder="1" applyAlignment="1">
      <alignment horizontal="center" vertical="center" wrapText="1"/>
    </xf>
    <xf numFmtId="182" fontId="60" fillId="21" borderId="242" xfId="19" applyNumberFormat="1" applyFont="1" applyFill="1" applyBorder="1" applyAlignment="1">
      <alignment horizontal="center" vertical="center" wrapText="1"/>
    </xf>
    <xf numFmtId="182" fontId="60" fillId="21" borderId="250" xfId="19" applyNumberFormat="1" applyFont="1" applyFill="1" applyBorder="1" applyAlignment="1">
      <alignment horizontal="center" vertical="center" wrapText="1"/>
    </xf>
    <xf numFmtId="182" fontId="62" fillId="0" borderId="29" xfId="19" applyNumberFormat="1" applyFont="1" applyFill="1" applyBorder="1" applyAlignment="1">
      <alignment horizontal="center" vertical="center"/>
    </xf>
    <xf numFmtId="0" fontId="42" fillId="2" borderId="1" xfId="58" applyFont="1" applyFill="1" applyBorder="1" applyAlignment="1" applyProtection="1">
      <alignment horizontal="center" vertical="center" wrapText="1"/>
    </xf>
    <xf numFmtId="0" fontId="42" fillId="2" borderId="1" xfId="58" applyFont="1" applyFill="1" applyBorder="1" applyAlignment="1" applyProtection="1">
      <alignment vertical="center" wrapText="1"/>
    </xf>
    <xf numFmtId="164" fontId="42" fillId="2" borderId="1" xfId="59" applyFont="1" applyFill="1" applyBorder="1" applyAlignment="1" applyProtection="1">
      <alignment vertical="center" wrapText="1"/>
    </xf>
    <xf numFmtId="44" fontId="42" fillId="2" borderId="1" xfId="59" applyNumberFormat="1" applyFont="1" applyFill="1" applyBorder="1" applyAlignment="1" applyProtection="1">
      <alignment vertical="center" wrapText="1"/>
    </xf>
    <xf numFmtId="0" fontId="33" fillId="12" borderId="1" xfId="3" applyFont="1" applyFill="1" applyBorder="1" applyAlignment="1">
      <alignment horizontal="center" vertical="center"/>
    </xf>
    <xf numFmtId="0" fontId="33" fillId="12" borderId="1" xfId="3" applyFont="1" applyFill="1" applyBorder="1" applyAlignment="1">
      <alignment horizontal="center" vertical="center" wrapText="1"/>
    </xf>
    <xf numFmtId="164" fontId="33" fillId="12" borderId="1" xfId="3" applyNumberFormat="1" applyFont="1" applyFill="1" applyBorder="1" applyAlignment="1">
      <alignment horizontal="center" vertical="center"/>
    </xf>
    <xf numFmtId="10" fontId="46" fillId="2" borderId="0" xfId="2" applyNumberFormat="1" applyFont="1" applyFill="1" applyAlignment="1" applyProtection="1">
      <alignment vertical="center"/>
      <protection locked="0"/>
    </xf>
    <xf numFmtId="192" fontId="46" fillId="2" borderId="0" xfId="2" applyNumberFormat="1" applyFont="1" applyFill="1" applyAlignment="1" applyProtection="1">
      <alignment vertical="center"/>
      <protection locked="0"/>
    </xf>
    <xf numFmtId="0" fontId="0" fillId="2" borderId="0" xfId="0" applyFill="1" applyAlignment="1">
      <alignment horizontal="center" vertical="center"/>
    </xf>
    <xf numFmtId="0" fontId="47" fillId="2" borderId="203" xfId="0" applyFont="1" applyFill="1" applyBorder="1" applyAlignment="1">
      <alignment horizontal="center" vertical="center"/>
    </xf>
    <xf numFmtId="0" fontId="14" fillId="2" borderId="247" xfId="0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4" fillId="12" borderId="19" xfId="0" applyFont="1" applyFill="1" applyBorder="1" applyAlignment="1">
      <alignment horizontal="left" vertical="center" indent="1"/>
    </xf>
    <xf numFmtId="182" fontId="14" fillId="2" borderId="21" xfId="32" applyNumberFormat="1" applyFont="1" applyFill="1" applyBorder="1" applyAlignment="1">
      <alignment horizontal="left" vertical="center" indent="1"/>
    </xf>
    <xf numFmtId="0" fontId="47" fillId="2" borderId="0" xfId="0" applyFont="1" applyFill="1" applyAlignment="1">
      <alignment horizontal="left" vertical="center" indent="1"/>
    </xf>
    <xf numFmtId="0" fontId="25" fillId="2" borderId="0" xfId="0" applyFont="1" applyFill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14" fillId="12" borderId="15" xfId="0" applyFont="1" applyFill="1" applyBorder="1" applyAlignment="1">
      <alignment horizontal="left" vertical="center" indent="1"/>
    </xf>
    <xf numFmtId="0" fontId="14" fillId="0" borderId="19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/>
    </xf>
    <xf numFmtId="182" fontId="47" fillId="0" borderId="20" xfId="32" applyNumberFormat="1" applyFont="1" applyBorder="1" applyAlignment="1">
      <alignment horizontal="center" vertical="center"/>
    </xf>
    <xf numFmtId="182" fontId="47" fillId="0" borderId="21" xfId="32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182" fontId="47" fillId="0" borderId="16" xfId="32" applyNumberFormat="1" applyFont="1" applyBorder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182" fontId="47" fillId="0" borderId="12" xfId="32" applyNumberFormat="1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182" fontId="47" fillId="0" borderId="16" xfId="32" applyNumberFormat="1" applyFont="1" applyBorder="1" applyAlignment="1">
      <alignment horizontal="center" vertical="center"/>
    </xf>
    <xf numFmtId="182" fontId="47" fillId="0" borderId="23" xfId="32" applyNumberFormat="1" applyFont="1" applyBorder="1" applyAlignment="1">
      <alignment horizontal="center" vertical="center"/>
    </xf>
    <xf numFmtId="0" fontId="14" fillId="2" borderId="8" xfId="0" applyFont="1" applyFill="1" applyBorder="1"/>
    <xf numFmtId="0" fontId="14" fillId="2" borderId="0" xfId="0" applyFont="1" applyFill="1"/>
    <xf numFmtId="0" fontId="14" fillId="9" borderId="204" xfId="0" applyFont="1" applyFill="1" applyBorder="1" applyAlignment="1">
      <alignment horizontal="center" vertical="center"/>
    </xf>
    <xf numFmtId="0" fontId="14" fillId="9" borderId="247" xfId="0" applyFont="1" applyFill="1" applyBorder="1" applyAlignment="1">
      <alignment horizontal="center" vertical="center"/>
    </xf>
    <xf numFmtId="0" fontId="47" fillId="2" borderId="206" xfId="0" applyFont="1" applyFill="1" applyBorder="1" applyAlignment="1">
      <alignment vertical="center"/>
    </xf>
    <xf numFmtId="0" fontId="47" fillId="2" borderId="13" xfId="0" applyFont="1" applyFill="1" applyBorder="1" applyAlignment="1">
      <alignment vertical="center"/>
    </xf>
    <xf numFmtId="10" fontId="47" fillId="0" borderId="29" xfId="2" applyNumberFormat="1" applyFont="1" applyBorder="1" applyAlignment="1">
      <alignment horizontal="center" vertical="center"/>
    </xf>
    <xf numFmtId="10" fontId="47" fillId="0" borderId="262" xfId="2" applyNumberFormat="1" applyFont="1" applyBorder="1" applyAlignment="1">
      <alignment horizontal="center" vertical="center"/>
    </xf>
    <xf numFmtId="0" fontId="47" fillId="2" borderId="0" xfId="0" applyFont="1" applyFill="1" applyAlignment="1">
      <alignment vertical="center"/>
    </xf>
    <xf numFmtId="0" fontId="25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7" fillId="2" borderId="14" xfId="0" applyFont="1" applyFill="1" applyBorder="1" applyAlignment="1">
      <alignment vertical="center"/>
    </xf>
    <xf numFmtId="0" fontId="47" fillId="2" borderId="4" xfId="0" applyFont="1" applyFill="1" applyBorder="1" applyAlignment="1">
      <alignment vertical="center"/>
    </xf>
    <xf numFmtId="10" fontId="47" fillId="0" borderId="1" xfId="2" applyNumberFormat="1" applyFont="1" applyBorder="1" applyAlignment="1">
      <alignment horizontal="center" vertical="center"/>
    </xf>
    <xf numFmtId="10" fontId="47" fillId="0" borderId="12" xfId="2" applyNumberFormat="1" applyFont="1" applyBorder="1" applyAlignment="1">
      <alignment horizontal="center" vertical="center"/>
    </xf>
    <xf numFmtId="0" fontId="47" fillId="2" borderId="263" xfId="0" applyFont="1" applyFill="1" applyBorder="1" applyAlignment="1">
      <alignment vertical="center"/>
    </xf>
    <xf numFmtId="0" fontId="47" fillId="2" borderId="11" xfId="0" applyFont="1" applyFill="1" applyBorder="1" applyAlignment="1">
      <alignment vertical="center"/>
    </xf>
    <xf numFmtId="10" fontId="47" fillId="0" borderId="22" xfId="2" applyNumberFormat="1" applyFont="1" applyBorder="1" applyAlignment="1">
      <alignment horizontal="center" vertical="center"/>
    </xf>
    <xf numFmtId="10" fontId="47" fillId="0" borderId="244" xfId="2" applyNumberFormat="1" applyFont="1" applyBorder="1" applyAlignment="1">
      <alignment horizontal="center" vertical="center"/>
    </xf>
    <xf numFmtId="0" fontId="14" fillId="12" borderId="34" xfId="0" applyFont="1" applyFill="1" applyBorder="1" applyAlignment="1">
      <alignment vertical="center"/>
    </xf>
    <xf numFmtId="0" fontId="14" fillId="12" borderId="28" xfId="0" applyFont="1" applyFill="1" applyBorder="1" applyAlignment="1">
      <alignment vertical="center"/>
    </xf>
    <xf numFmtId="10" fontId="14" fillId="12" borderId="204" xfId="2" applyNumberFormat="1" applyFont="1" applyFill="1" applyBorder="1" applyAlignment="1">
      <alignment horizontal="center" vertical="center"/>
    </xf>
    <xf numFmtId="10" fontId="14" fillId="12" borderId="247" xfId="2" applyNumberFormat="1" applyFont="1" applyFill="1" applyBorder="1" applyAlignment="1">
      <alignment horizontal="center" vertical="center"/>
    </xf>
    <xf numFmtId="0" fontId="47" fillId="2" borderId="8" xfId="0" applyFont="1" applyFill="1" applyBorder="1" applyAlignment="1">
      <alignment vertical="center"/>
    </xf>
    <xf numFmtId="10" fontId="47" fillId="2" borderId="0" xfId="0" applyNumberFormat="1" applyFont="1" applyFill="1" applyAlignment="1">
      <alignment vertical="center"/>
    </xf>
    <xf numFmtId="10" fontId="14" fillId="9" borderId="204" xfId="0" applyNumberFormat="1" applyFont="1" applyFill="1" applyBorder="1" applyAlignment="1">
      <alignment horizontal="center" vertical="center"/>
    </xf>
    <xf numFmtId="10" fontId="14" fillId="9" borderId="247" xfId="0" applyNumberFormat="1" applyFont="1" applyFill="1" applyBorder="1" applyAlignment="1">
      <alignment horizontal="center" vertical="center"/>
    </xf>
    <xf numFmtId="10" fontId="14" fillId="23" borderId="204" xfId="0" applyNumberFormat="1" applyFont="1" applyFill="1" applyBorder="1" applyAlignment="1">
      <alignment horizontal="center" vertical="center"/>
    </xf>
    <xf numFmtId="10" fontId="14" fillId="23" borderId="247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wrapText="1"/>
    </xf>
    <xf numFmtId="0" fontId="14" fillId="12" borderId="37" xfId="0" applyFont="1" applyFill="1" applyBorder="1" applyAlignment="1">
      <alignment horizontal="center" vertical="center" wrapText="1"/>
    </xf>
    <xf numFmtId="0" fontId="14" fillId="12" borderId="38" xfId="0" applyFont="1" applyFill="1" applyBorder="1" applyAlignment="1">
      <alignment horizontal="center" vertical="center" wrapText="1"/>
    </xf>
    <xf numFmtId="0" fontId="14" fillId="12" borderId="252" xfId="0" applyFont="1" applyFill="1" applyBorder="1" applyAlignment="1">
      <alignment horizontal="center" vertical="center" wrapText="1"/>
    </xf>
    <xf numFmtId="193" fontId="14" fillId="2" borderId="23" xfId="0" applyNumberFormat="1" applyFont="1" applyFill="1" applyBorder="1" applyAlignment="1">
      <alignment horizontal="center" vertical="center"/>
    </xf>
    <xf numFmtId="182" fontId="7" fillId="0" borderId="1" xfId="32" applyNumberFormat="1" applyFont="1" applyBorder="1" applyAlignment="1">
      <alignment horizontal="center" vertical="center"/>
    </xf>
    <xf numFmtId="182" fontId="7" fillId="2" borderId="1" xfId="32" applyNumberFormat="1" applyFont="1" applyFill="1" applyBorder="1" applyAlignment="1">
      <alignment horizontal="center" vertical="center"/>
    </xf>
    <xf numFmtId="0" fontId="14" fillId="12" borderId="240" xfId="0" applyFont="1" applyFill="1" applyBorder="1" applyAlignment="1">
      <alignment horizontal="left" vertical="center" indent="1"/>
    </xf>
    <xf numFmtId="182" fontId="14" fillId="2" borderId="259" xfId="32" applyNumberFormat="1" applyFont="1" applyFill="1" applyBorder="1" applyAlignment="1">
      <alignment horizontal="left" vertical="center" indent="1"/>
    </xf>
    <xf numFmtId="190" fontId="0" fillId="2" borderId="0" xfId="0" applyNumberFormat="1" applyFill="1"/>
    <xf numFmtId="182" fontId="25" fillId="2" borderId="0" xfId="0" applyNumberFormat="1" applyFont="1" applyFill="1"/>
    <xf numFmtId="0" fontId="49" fillId="0" borderId="1" xfId="12" applyFont="1" applyBorder="1" applyAlignment="1">
      <alignment horizontal="center" vertical="center"/>
    </xf>
    <xf numFmtId="0" fontId="48" fillId="0" borderId="1" xfId="12" applyFont="1" applyBorder="1" applyAlignment="1">
      <alignment horizontal="left" vertical="center" wrapText="1"/>
    </xf>
    <xf numFmtId="182" fontId="49" fillId="2" borderId="1" xfId="32" applyNumberFormat="1" applyFont="1" applyFill="1" applyBorder="1" applyAlignment="1">
      <alignment horizontal="center" vertical="center"/>
    </xf>
    <xf numFmtId="2" fontId="49" fillId="0" borderId="1" xfId="12" applyNumberFormat="1" applyFont="1" applyBorder="1" applyAlignment="1">
      <alignment horizontal="center" vertical="center"/>
    </xf>
    <xf numFmtId="9" fontId="49" fillId="2" borderId="1" xfId="12" applyNumberFormat="1" applyFont="1" applyFill="1" applyBorder="1" applyAlignment="1">
      <alignment horizontal="center" vertical="center"/>
    </xf>
    <xf numFmtId="4" fontId="49" fillId="2" borderId="1" xfId="12" applyNumberFormat="1" applyFont="1" applyFill="1" applyBorder="1" applyAlignment="1">
      <alignment horizontal="center" vertical="center"/>
    </xf>
    <xf numFmtId="1" fontId="49" fillId="2" borderId="1" xfId="12" applyNumberFormat="1" applyFont="1" applyFill="1" applyBorder="1" applyAlignment="1">
      <alignment horizontal="center" vertical="center"/>
    </xf>
    <xf numFmtId="170" fontId="49" fillId="0" borderId="1" xfId="12" applyNumberFormat="1" applyFont="1" applyBorder="1" applyAlignment="1">
      <alignment horizontal="center" vertical="center"/>
    </xf>
    <xf numFmtId="0" fontId="65" fillId="0" borderId="0" xfId="12" applyFont="1" applyAlignment="1">
      <alignment horizontal="left" vertical="center"/>
    </xf>
    <xf numFmtId="182" fontId="65" fillId="0" borderId="0" xfId="32" applyNumberFormat="1" applyFont="1" applyAlignment="1">
      <alignment vertical="center"/>
    </xf>
    <xf numFmtId="182" fontId="2" fillId="0" borderId="0" xfId="32" applyNumberFormat="1" applyFont="1" applyAlignment="1">
      <alignment horizontal="center" vertical="center"/>
    </xf>
    <xf numFmtId="2" fontId="16" fillId="12" borderId="256" xfId="0" applyNumberFormat="1" applyFont="1" applyFill="1" applyBorder="1" applyAlignment="1">
      <alignment horizontal="center" vertical="center" wrapText="1"/>
    </xf>
    <xf numFmtId="182" fontId="2" fillId="0" borderId="0" xfId="32" applyNumberFormat="1" applyFont="1" applyAlignment="1">
      <alignment vertical="center"/>
    </xf>
    <xf numFmtId="0" fontId="20" fillId="0" borderId="146" xfId="27" applyFont="1" applyBorder="1" applyAlignment="1">
      <alignment horizontal="center" vertical="center" wrapText="1" shrinkToFit="1"/>
    </xf>
    <xf numFmtId="42" fontId="23" fillId="12" borderId="255" xfId="1" applyFont="1" applyFill="1" applyBorder="1" applyAlignment="1">
      <alignment horizontal="justify" vertical="center"/>
    </xf>
    <xf numFmtId="10" fontId="16" fillId="12" borderId="256" xfId="2" applyNumberFormat="1" applyFont="1" applyFill="1" applyBorder="1" applyAlignment="1">
      <alignment horizontal="right"/>
    </xf>
    <xf numFmtId="42" fontId="16" fillId="12" borderId="256" xfId="0" applyNumberFormat="1" applyFont="1" applyFill="1" applyBorder="1"/>
    <xf numFmtId="42" fontId="23" fillId="12" borderId="257" xfId="1" applyFont="1" applyFill="1" applyBorder="1" applyAlignment="1">
      <alignment horizontal="justify" vertical="center"/>
    </xf>
    <xf numFmtId="172" fontId="15" fillId="0" borderId="0" xfId="0" applyNumberFormat="1" applyFont="1"/>
    <xf numFmtId="182" fontId="15" fillId="0" borderId="256" xfId="32" applyNumberFormat="1" applyFont="1" applyBorder="1"/>
    <xf numFmtId="182" fontId="15" fillId="0" borderId="257" xfId="32" applyNumberFormat="1" applyFont="1" applyBorder="1"/>
    <xf numFmtId="42" fontId="16" fillId="12" borderId="238" xfId="2" applyNumberFormat="1" applyFont="1" applyFill="1" applyBorder="1" applyAlignment="1">
      <alignment horizontal="right"/>
    </xf>
    <xf numFmtId="172" fontId="25" fillId="0" borderId="0" xfId="0" applyNumberFormat="1" applyFont="1"/>
    <xf numFmtId="0" fontId="66" fillId="0" borderId="0" xfId="0" applyFont="1" applyAlignment="1">
      <alignment wrapText="1"/>
    </xf>
    <xf numFmtId="172" fontId="25" fillId="0" borderId="0" xfId="0" applyNumberFormat="1" applyFont="1" applyAlignment="1">
      <alignment horizontal="center"/>
    </xf>
    <xf numFmtId="182" fontId="25" fillId="0" borderId="0" xfId="32" applyNumberFormat="1" applyFont="1"/>
    <xf numFmtId="44" fontId="25" fillId="0" borderId="0" xfId="32" applyFont="1"/>
    <xf numFmtId="42" fontId="25" fillId="0" borderId="0" xfId="0" applyNumberFormat="1" applyFont="1"/>
    <xf numFmtId="182" fontId="25" fillId="0" borderId="0" xfId="0" applyNumberFormat="1" applyFont="1"/>
    <xf numFmtId="44" fontId="25" fillId="0" borderId="0" xfId="0" applyNumberFormat="1" applyFont="1"/>
    <xf numFmtId="182" fontId="67" fillId="0" borderId="0" xfId="32" applyNumberFormat="1" applyFont="1"/>
    <xf numFmtId="0" fontId="25" fillId="0" borderId="41" xfId="0" applyFont="1" applyBorder="1"/>
    <xf numFmtId="1" fontId="11" fillId="16" borderId="4" xfId="21" applyNumberFormat="1" applyFont="1" applyFill="1" applyBorder="1" applyAlignment="1" applyProtection="1">
      <alignment horizontal="center" vertical="center"/>
    </xf>
    <xf numFmtId="1" fontId="11" fillId="16" borderId="1" xfId="21" applyNumberFormat="1" applyFont="1" applyFill="1" applyBorder="1" applyAlignment="1" applyProtection="1">
      <alignment horizontal="center" vertical="center"/>
    </xf>
    <xf numFmtId="1" fontId="11" fillId="16" borderId="2" xfId="21" applyNumberFormat="1" applyFont="1" applyFill="1" applyBorder="1" applyAlignment="1" applyProtection="1">
      <alignment horizontal="center" vertical="center"/>
    </xf>
    <xf numFmtId="1" fontId="11" fillId="10" borderId="203" xfId="0" applyNumberFormat="1" applyFont="1" applyFill="1" applyBorder="1" applyAlignment="1">
      <alignment horizontal="center" vertical="center" wrapText="1"/>
    </xf>
    <xf numFmtId="1" fontId="11" fillId="10" borderId="204" xfId="0" applyNumberFormat="1" applyFont="1" applyFill="1" applyBorder="1" applyAlignment="1">
      <alignment horizontal="center" vertical="center" wrapText="1"/>
    </xf>
    <xf numFmtId="1" fontId="11" fillId="10" borderId="247" xfId="0" applyNumberFormat="1" applyFont="1" applyFill="1" applyBorder="1" applyAlignment="1">
      <alignment horizontal="center" vertical="center" wrapText="1"/>
    </xf>
    <xf numFmtId="1" fontId="11" fillId="2" borderId="240" xfId="0" applyNumberFormat="1" applyFont="1" applyFill="1" applyBorder="1" applyAlignment="1">
      <alignment horizontal="center" vertical="center" wrapText="1"/>
    </xf>
    <xf numFmtId="1" fontId="11" fillId="2" borderId="30" xfId="0" applyNumberFormat="1" applyFont="1" applyFill="1" applyBorder="1" applyAlignment="1">
      <alignment horizontal="center" vertical="center" wrapText="1"/>
    </xf>
    <xf numFmtId="1" fontId="11" fillId="2" borderId="259" xfId="0" applyNumberFormat="1" applyFont="1" applyFill="1" applyBorder="1" applyAlignment="1">
      <alignment horizontal="center" vertical="center" wrapText="1"/>
    </xf>
    <xf numFmtId="2" fontId="47" fillId="0" borderId="240" xfId="0" applyNumberFormat="1" applyFont="1" applyBorder="1" applyAlignment="1">
      <alignment horizontal="center" vertical="justify"/>
    </xf>
    <xf numFmtId="2" fontId="47" fillId="0" borderId="30" xfId="0" applyNumberFormat="1" applyFont="1" applyBorder="1" applyAlignment="1">
      <alignment horizontal="center" vertical="justify"/>
    </xf>
    <xf numFmtId="2" fontId="47" fillId="0" borderId="259" xfId="0" applyNumberFormat="1" applyFont="1" applyBorder="1" applyAlignment="1">
      <alignment horizontal="center" vertical="justify"/>
    </xf>
    <xf numFmtId="0" fontId="23" fillId="12" borderId="34" xfId="0" applyFont="1" applyFill="1" applyBorder="1" applyAlignment="1">
      <alignment horizontal="left" vertical="center" indent="1"/>
    </xf>
    <xf numFmtId="0" fontId="23" fillId="12" borderId="27" xfId="0" applyFont="1" applyFill="1" applyBorder="1" applyAlignment="1">
      <alignment horizontal="left" vertical="center" indent="1"/>
    </xf>
    <xf numFmtId="0" fontId="23" fillId="12" borderId="35" xfId="0" applyFont="1" applyFill="1" applyBorder="1" applyAlignment="1">
      <alignment horizontal="left" vertical="center" indent="1"/>
    </xf>
    <xf numFmtId="0" fontId="23" fillId="12" borderId="19" xfId="0" applyFont="1" applyFill="1" applyBorder="1" applyAlignment="1">
      <alignment horizontal="left" vertical="center" indent="1"/>
    </xf>
    <xf numFmtId="0" fontId="23" fillId="12" borderId="20" xfId="0" applyFont="1" applyFill="1" applyBorder="1" applyAlignment="1">
      <alignment horizontal="left" vertical="center" indent="1"/>
    </xf>
    <xf numFmtId="0" fontId="23" fillId="12" borderId="253" xfId="0" applyFont="1" applyFill="1" applyBorder="1" applyAlignment="1">
      <alignment horizontal="left" vertical="center" indent="1"/>
    </xf>
    <xf numFmtId="0" fontId="23" fillId="12" borderId="10" xfId="0" applyFont="1" applyFill="1" applyBorder="1" applyAlignment="1">
      <alignment horizontal="left" vertical="center" indent="1"/>
    </xf>
    <xf numFmtId="0" fontId="23" fillId="12" borderId="1" xfId="0" applyFont="1" applyFill="1" applyBorder="1" applyAlignment="1">
      <alignment horizontal="left" vertical="center" indent="1"/>
    </xf>
    <xf numFmtId="0" fontId="23" fillId="12" borderId="2" xfId="0" applyFont="1" applyFill="1" applyBorder="1" applyAlignment="1">
      <alignment horizontal="left" vertical="center" indent="1"/>
    </xf>
    <xf numFmtId="0" fontId="23" fillId="12" borderId="15" xfId="0" applyFont="1" applyFill="1" applyBorder="1" applyAlignment="1">
      <alignment horizontal="left" vertical="center" indent="1"/>
    </xf>
    <xf numFmtId="0" fontId="23" fillId="12" borderId="16" xfId="0" applyFont="1" applyFill="1" applyBorder="1" applyAlignment="1">
      <alignment horizontal="left" vertical="center" indent="1"/>
    </xf>
    <xf numFmtId="0" fontId="23" fillId="12" borderId="254" xfId="0" applyFont="1" applyFill="1" applyBorder="1" applyAlignment="1">
      <alignment horizontal="left" vertical="center" indent="1"/>
    </xf>
    <xf numFmtId="0" fontId="15" fillId="0" borderId="14" xfId="0" applyFont="1" applyBorder="1" applyAlignment="1">
      <alignment horizontal="left" indent="1"/>
    </xf>
    <xf numFmtId="0" fontId="15" fillId="0" borderId="3" xfId="0" applyFont="1" applyBorder="1" applyAlignment="1">
      <alignment horizontal="left" indent="1"/>
    </xf>
    <xf numFmtId="0" fontId="15" fillId="0" borderId="260" xfId="0" applyFont="1" applyBorder="1" applyAlignment="1">
      <alignment horizontal="left" indent="1"/>
    </xf>
    <xf numFmtId="0" fontId="15" fillId="0" borderId="261" xfId="0" applyFont="1" applyBorder="1" applyAlignment="1">
      <alignment horizontal="left" indent="1"/>
    </xf>
    <xf numFmtId="0" fontId="15" fillId="0" borderId="264" xfId="0" applyFont="1" applyBorder="1" applyAlignment="1">
      <alignment horizontal="left" indent="1"/>
    </xf>
    <xf numFmtId="0" fontId="15" fillId="0" borderId="265" xfId="0" applyFont="1" applyBorder="1" applyAlignment="1">
      <alignment horizontal="left" indent="1"/>
    </xf>
    <xf numFmtId="1" fontId="6" fillId="10" borderId="34" xfId="0" applyNumberFormat="1" applyFont="1" applyFill="1" applyBorder="1" applyAlignment="1">
      <alignment horizontal="center" vertical="center" wrapText="1"/>
    </xf>
    <xf numFmtId="1" fontId="6" fillId="10" borderId="27" xfId="0" applyNumberFormat="1" applyFont="1" applyFill="1" applyBorder="1" applyAlignment="1">
      <alignment horizontal="center" vertical="center" wrapText="1"/>
    </xf>
    <xf numFmtId="1" fontId="6" fillId="10" borderId="35" xfId="0" applyNumberFormat="1" applyFont="1" applyFill="1" applyBorder="1" applyAlignment="1">
      <alignment horizontal="center" vertical="center" wrapText="1"/>
    </xf>
    <xf numFmtId="0" fontId="6" fillId="12" borderId="1" xfId="12" applyFont="1" applyFill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2" borderId="1" xfId="12" applyFont="1" applyFill="1" applyBorder="1" applyAlignment="1">
      <alignment horizontal="center" vertical="center"/>
    </xf>
    <xf numFmtId="0" fontId="60" fillId="18" borderId="34" xfId="54" applyFont="1" applyFill="1" applyBorder="1" applyAlignment="1">
      <alignment horizontal="left" vertical="center" wrapText="1"/>
    </xf>
    <xf numFmtId="0" fontId="60" fillId="18" borderId="27" xfId="54" applyFont="1" applyFill="1" applyBorder="1" applyAlignment="1">
      <alignment horizontal="left" vertical="center" wrapText="1"/>
    </xf>
    <xf numFmtId="0" fontId="60" fillId="18" borderId="28" xfId="54" applyFont="1" applyFill="1" applyBorder="1" applyAlignment="1">
      <alignment horizontal="left" vertical="center" wrapText="1"/>
    </xf>
    <xf numFmtId="0" fontId="60" fillId="19" borderId="34" xfId="54" applyFont="1" applyFill="1" applyBorder="1" applyAlignment="1">
      <alignment horizontal="center" vertical="center" wrapText="1"/>
    </xf>
    <xf numFmtId="0" fontId="60" fillId="19" borderId="27" xfId="54" applyFont="1" applyFill="1" applyBorder="1" applyAlignment="1">
      <alignment horizontal="center" vertical="center" wrapText="1"/>
    </xf>
    <xf numFmtId="0" fontId="60" fillId="19" borderId="35" xfId="54" applyFont="1" applyFill="1" applyBorder="1" applyAlignment="1">
      <alignment horizontal="center" vertical="center" wrapText="1"/>
    </xf>
    <xf numFmtId="0" fontId="26" fillId="2" borderId="24" xfId="3" applyFont="1" applyFill="1" applyBorder="1" applyAlignment="1" applyProtection="1">
      <alignment horizontal="center" vertical="center" wrapText="1"/>
      <protection locked="0"/>
    </xf>
    <xf numFmtId="0" fontId="26" fillId="2" borderId="17" xfId="3" applyFont="1" applyFill="1" applyBorder="1" applyAlignment="1" applyProtection="1">
      <alignment horizontal="center" vertical="center" wrapText="1"/>
      <protection locked="0"/>
    </xf>
    <xf numFmtId="0" fontId="60" fillId="18" borderId="34" xfId="54" applyFont="1" applyFill="1" applyBorder="1" applyAlignment="1">
      <alignment horizontal="center" vertical="center" wrapText="1"/>
    </xf>
    <xf numFmtId="0" fontId="60" fillId="18" borderId="27" xfId="54" applyFont="1" applyFill="1" applyBorder="1" applyAlignment="1">
      <alignment horizontal="center" vertical="center" wrapText="1"/>
    </xf>
    <xf numFmtId="0" fontId="60" fillId="18" borderId="35" xfId="54" applyFont="1" applyFill="1" applyBorder="1" applyAlignment="1">
      <alignment horizontal="center" vertical="center" wrapText="1"/>
    </xf>
    <xf numFmtId="0" fontId="61" fillId="5" borderId="36" xfId="55" applyFont="1" applyFill="1" applyBorder="1" applyAlignment="1">
      <alignment horizontal="center" vertical="center" textRotation="90"/>
    </xf>
    <xf numFmtId="0" fontId="61" fillId="5" borderId="41" xfId="55" applyFont="1" applyFill="1" applyBorder="1" applyAlignment="1">
      <alignment horizontal="center" vertical="center" textRotation="90"/>
    </xf>
    <xf numFmtId="0" fontId="62" fillId="0" borderId="37" xfId="54" applyFont="1" applyBorder="1" applyAlignment="1">
      <alignment horizontal="center" vertical="center" wrapText="1"/>
    </xf>
    <xf numFmtId="0" fontId="62" fillId="0" borderId="240" xfId="54" applyFont="1" applyBorder="1" applyAlignment="1">
      <alignment horizontal="center" vertical="center" wrapText="1"/>
    </xf>
    <xf numFmtId="0" fontId="62" fillId="0" borderId="38" xfId="54" applyFont="1" applyBorder="1" applyAlignment="1">
      <alignment horizontal="center" vertical="center" wrapText="1"/>
    </xf>
    <xf numFmtId="0" fontId="62" fillId="0" borderId="30" xfId="54" applyFont="1" applyBorder="1" applyAlignment="1">
      <alignment horizontal="center" vertical="center" wrapText="1"/>
    </xf>
    <xf numFmtId="0" fontId="62" fillId="0" borderId="243" xfId="54" applyFont="1" applyBorder="1" applyAlignment="1">
      <alignment horizontal="center" vertical="center" wrapText="1"/>
    </xf>
    <xf numFmtId="0" fontId="62" fillId="0" borderId="22" xfId="54" applyFont="1" applyBorder="1" applyAlignment="1">
      <alignment horizontal="center" vertical="center" wrapText="1"/>
    </xf>
    <xf numFmtId="0" fontId="62" fillId="0" borderId="241" xfId="54" applyFont="1" applyBorder="1" applyAlignment="1">
      <alignment horizontal="center" vertical="center" wrapText="1"/>
    </xf>
    <xf numFmtId="0" fontId="62" fillId="0" borderId="242" xfId="54" applyFont="1" applyBorder="1" applyAlignment="1">
      <alignment horizontal="center" vertical="center" wrapText="1"/>
    </xf>
    <xf numFmtId="0" fontId="61" fillId="6" borderId="36" xfId="55" applyFont="1" applyFill="1" applyBorder="1" applyAlignment="1">
      <alignment horizontal="center" vertical="center" textRotation="90" wrapText="1"/>
    </xf>
    <xf numFmtId="0" fontId="61" fillId="6" borderId="41" xfId="55" applyFont="1" applyFill="1" applyBorder="1" applyAlignment="1">
      <alignment horizontal="center" vertical="center" textRotation="90" wrapText="1"/>
    </xf>
    <xf numFmtId="0" fontId="61" fillId="6" borderId="248" xfId="55" applyFont="1" applyFill="1" applyBorder="1" applyAlignment="1">
      <alignment horizontal="center" vertical="center" textRotation="90" wrapText="1"/>
    </xf>
    <xf numFmtId="0" fontId="62" fillId="0" borderId="29" xfId="54" applyFont="1" applyBorder="1" applyAlignment="1">
      <alignment horizontal="center" vertical="center" wrapText="1"/>
    </xf>
    <xf numFmtId="0" fontId="62" fillId="0" borderId="40" xfId="54" applyFont="1" applyBorder="1" applyAlignment="1">
      <alignment horizontal="center" vertical="center" wrapText="1"/>
    </xf>
    <xf numFmtId="1" fontId="23" fillId="10" borderId="1" xfId="0" applyNumberFormat="1" applyFont="1" applyFill="1" applyBorder="1" applyAlignment="1">
      <alignment horizontal="center" vertical="center" wrapText="1"/>
    </xf>
    <xf numFmtId="0" fontId="60" fillId="20" borderId="34" xfId="54" applyFont="1" applyFill="1" applyBorder="1" applyAlignment="1">
      <alignment horizontal="left" vertical="center" wrapText="1"/>
    </xf>
    <xf numFmtId="0" fontId="60" fillId="20" borderId="27" xfId="54" applyFont="1" applyFill="1" applyBorder="1" applyAlignment="1">
      <alignment horizontal="left" vertical="center" wrapText="1"/>
    </xf>
    <xf numFmtId="0" fontId="60" fillId="20" borderId="28" xfId="54" applyFont="1" applyFill="1" applyBorder="1" applyAlignment="1">
      <alignment horizontal="left" vertical="center" wrapText="1"/>
    </xf>
    <xf numFmtId="0" fontId="60" fillId="21" borderId="34" xfId="54" applyFont="1" applyFill="1" applyBorder="1" applyAlignment="1">
      <alignment horizontal="center" vertical="center" wrapText="1"/>
    </xf>
    <xf numFmtId="0" fontId="60" fillId="21" borderId="27" xfId="54" applyFont="1" applyFill="1" applyBorder="1" applyAlignment="1">
      <alignment horizontal="center" vertical="center" wrapText="1"/>
    </xf>
    <xf numFmtId="0" fontId="60" fillId="21" borderId="35" xfId="54" applyFont="1" applyFill="1" applyBorder="1" applyAlignment="1">
      <alignment horizontal="center" vertical="center" wrapText="1"/>
    </xf>
    <xf numFmtId="0" fontId="63" fillId="21" borderId="34" xfId="54" applyFont="1" applyFill="1" applyBorder="1" applyAlignment="1">
      <alignment horizontal="left" vertical="center" wrapText="1"/>
    </xf>
    <xf numFmtId="0" fontId="63" fillId="21" borderId="27" xfId="54" applyFont="1" applyFill="1" applyBorder="1" applyAlignment="1">
      <alignment horizontal="left" vertical="center" wrapText="1"/>
    </xf>
    <xf numFmtId="0" fontId="63" fillId="21" borderId="28" xfId="54" applyFont="1" applyFill="1" applyBorder="1" applyAlignment="1">
      <alignment horizontal="left" vertical="center" wrapText="1"/>
    </xf>
    <xf numFmtId="0" fontId="64" fillId="9" borderId="34" xfId="54" applyFont="1" applyFill="1" applyBorder="1" applyAlignment="1">
      <alignment horizontal="left" vertical="center" wrapText="1"/>
    </xf>
    <xf numFmtId="0" fontId="64" fillId="9" borderId="27" xfId="54" applyFont="1" applyFill="1" applyBorder="1" applyAlignment="1">
      <alignment horizontal="left" vertical="center" wrapText="1"/>
    </xf>
    <xf numFmtId="0" fontId="64" fillId="9" borderId="35" xfId="54" applyFont="1" applyFill="1" applyBorder="1" applyAlignment="1">
      <alignment horizontal="left" vertical="center" wrapText="1"/>
    </xf>
    <xf numFmtId="0" fontId="61" fillId="8" borderId="36" xfId="55" applyFont="1" applyFill="1" applyBorder="1" applyAlignment="1">
      <alignment horizontal="center" vertical="center" textRotation="90"/>
    </xf>
    <xf numFmtId="0" fontId="61" fillId="8" borderId="41" xfId="55" applyFont="1" applyFill="1" applyBorder="1" applyAlignment="1">
      <alignment horizontal="center" vertical="center" textRotation="90"/>
    </xf>
    <xf numFmtId="0" fontId="60" fillId="19" borderId="34" xfId="54" applyFont="1" applyFill="1" applyBorder="1" applyAlignment="1">
      <alignment horizontal="left" vertical="center" wrapText="1"/>
    </xf>
    <xf numFmtId="0" fontId="60" fillId="19" borderId="27" xfId="54" applyFont="1" applyFill="1" applyBorder="1" applyAlignment="1">
      <alignment horizontal="left" vertical="center" wrapText="1"/>
    </xf>
    <xf numFmtId="0" fontId="60" fillId="19" borderId="28" xfId="54" applyFont="1" applyFill="1" applyBorder="1" applyAlignment="1">
      <alignment horizontal="left" vertical="center" wrapText="1"/>
    </xf>
    <xf numFmtId="0" fontId="60" fillId="20" borderId="34" xfId="54" applyFont="1" applyFill="1" applyBorder="1" applyAlignment="1">
      <alignment horizontal="center" vertical="center" wrapText="1"/>
    </xf>
    <xf numFmtId="0" fontId="60" fillId="20" borderId="27" xfId="54" applyFont="1" applyFill="1" applyBorder="1" applyAlignment="1">
      <alignment horizontal="center" vertical="center" wrapText="1"/>
    </xf>
    <xf numFmtId="0" fontId="60" fillId="20" borderId="35" xfId="54" applyFont="1" applyFill="1" applyBorder="1" applyAlignment="1">
      <alignment horizontal="center" vertical="center" wrapText="1"/>
    </xf>
    <xf numFmtId="0" fontId="61" fillId="7" borderId="36" xfId="55" applyFont="1" applyFill="1" applyBorder="1" applyAlignment="1">
      <alignment horizontal="center" vertical="center" textRotation="90" wrapText="1"/>
    </xf>
    <xf numFmtId="0" fontId="61" fillId="7" borderId="41" xfId="55" applyFont="1" applyFill="1" applyBorder="1" applyAlignment="1">
      <alignment horizontal="center" vertical="center" textRotation="90" wrapText="1"/>
    </xf>
    <xf numFmtId="0" fontId="61" fillId="7" borderId="248" xfId="55" applyFont="1" applyFill="1" applyBorder="1" applyAlignment="1">
      <alignment horizontal="center" vertical="center" textRotation="90" wrapText="1"/>
    </xf>
    <xf numFmtId="0" fontId="32" fillId="14" borderId="186" xfId="27" applyFont="1" applyFill="1" applyBorder="1" applyAlignment="1">
      <alignment horizontal="center" vertical="center" shrinkToFit="1"/>
    </xf>
    <xf numFmtId="0" fontId="32" fillId="14" borderId="47" xfId="27" applyFont="1" applyFill="1" applyBorder="1" applyAlignment="1">
      <alignment horizontal="center" vertical="center" shrinkToFit="1"/>
    </xf>
    <xf numFmtId="0" fontId="32" fillId="14" borderId="51" xfId="27" applyFont="1" applyFill="1" applyBorder="1" applyAlignment="1">
      <alignment horizontal="center" vertical="center"/>
    </xf>
    <xf numFmtId="0" fontId="32" fillId="14" borderId="172" xfId="27" applyFont="1" applyFill="1" applyBorder="1" applyAlignment="1">
      <alignment horizontal="center" vertical="center"/>
    </xf>
    <xf numFmtId="0" fontId="32" fillId="14" borderId="187" xfId="27" applyFont="1" applyFill="1" applyBorder="1" applyAlignment="1">
      <alignment horizontal="center" vertical="center"/>
    </xf>
    <xf numFmtId="0" fontId="21" fillId="15" borderId="51" xfId="27" applyFont="1" applyFill="1" applyBorder="1" applyAlignment="1">
      <alignment horizontal="center" vertical="center"/>
    </xf>
    <xf numFmtId="0" fontId="21" fillId="15" borderId="52" xfId="27" applyFont="1" applyFill="1" applyBorder="1" applyAlignment="1">
      <alignment horizontal="center" vertical="center"/>
    </xf>
    <xf numFmtId="0" fontId="21" fillId="15" borderId="42" xfId="27" applyFont="1" applyFill="1" applyBorder="1" applyAlignment="1">
      <alignment horizontal="center" vertical="center"/>
    </xf>
    <xf numFmtId="0" fontId="21" fillId="15" borderId="43" xfId="27" applyFont="1" applyFill="1" applyBorder="1" applyAlignment="1">
      <alignment horizontal="center" vertical="center"/>
    </xf>
    <xf numFmtId="0" fontId="21" fillId="15" borderId="182" xfId="27" applyFont="1" applyFill="1" applyBorder="1" applyAlignment="1">
      <alignment horizontal="center" vertical="center"/>
    </xf>
    <xf numFmtId="0" fontId="21" fillId="15" borderId="194" xfId="27" applyFont="1" applyFill="1" applyBorder="1" applyAlignment="1">
      <alignment horizontal="center" vertical="center"/>
    </xf>
    <xf numFmtId="0" fontId="21" fillId="15" borderId="168" xfId="27" applyFont="1" applyFill="1" applyBorder="1" applyAlignment="1">
      <alignment horizontal="center" vertical="center"/>
    </xf>
    <xf numFmtId="0" fontId="21" fillId="15" borderId="193" xfId="27" applyFont="1" applyFill="1" applyBorder="1" applyAlignment="1">
      <alignment horizontal="center" vertical="center"/>
    </xf>
    <xf numFmtId="0" fontId="21" fillId="0" borderId="145" xfId="27" applyFont="1" applyBorder="1" applyAlignment="1">
      <alignment horizontal="justify" vertical="center"/>
    </xf>
    <xf numFmtId="0" fontId="21" fillId="0" borderId="168" xfId="27" applyFont="1" applyBorder="1" applyAlignment="1">
      <alignment horizontal="justify" vertical="center"/>
    </xf>
    <xf numFmtId="0" fontId="9" fillId="13" borderId="34" xfId="27" applyFont="1" applyFill="1" applyBorder="1" applyAlignment="1">
      <alignment horizontal="center" vertical="center"/>
    </xf>
    <xf numFmtId="0" fontId="9" fillId="13" borderId="27" xfId="27" applyFont="1" applyFill="1" applyBorder="1" applyAlignment="1">
      <alignment horizontal="center" vertical="center"/>
    </xf>
    <xf numFmtId="0" fontId="9" fillId="13" borderId="195" xfId="27" applyFont="1" applyFill="1" applyBorder="1" applyAlignment="1">
      <alignment horizontal="center" vertical="center"/>
    </xf>
    <xf numFmtId="0" fontId="20" fillId="0" borderId="200" xfId="27" applyFont="1" applyBorder="1" applyAlignment="1">
      <alignment horizontal="left" vertical="center"/>
    </xf>
    <xf numFmtId="0" fontId="20" fillId="0" borderId="201" xfId="27" applyFont="1" applyBorder="1" applyAlignment="1">
      <alignment horizontal="left" vertical="center"/>
    </xf>
    <xf numFmtId="0" fontId="20" fillId="0" borderId="97" xfId="27" applyFont="1" applyBorder="1" applyAlignment="1">
      <alignment horizontal="left" vertical="center"/>
    </xf>
    <xf numFmtId="0" fontId="20" fillId="0" borderId="98" xfId="27" applyFont="1" applyBorder="1" applyAlignment="1">
      <alignment horizontal="left" vertical="center"/>
    </xf>
    <xf numFmtId="0" fontId="20" fillId="0" borderId="56" xfId="27" applyFont="1" applyBorder="1" applyAlignment="1">
      <alignment horizontal="left" vertical="center"/>
    </xf>
    <xf numFmtId="0" fontId="20" fillId="0" borderId="57" xfId="27" applyFont="1" applyBorder="1" applyAlignment="1">
      <alignment horizontal="left" vertical="center"/>
    </xf>
    <xf numFmtId="0" fontId="20" fillId="15" borderId="180" xfId="27" applyFont="1" applyFill="1" applyBorder="1" applyAlignment="1">
      <alignment horizontal="center" vertical="center" wrapText="1" shrinkToFit="1"/>
    </xf>
    <xf numFmtId="0" fontId="20" fillId="15" borderId="172" xfId="27" applyFont="1" applyFill="1" applyBorder="1" applyAlignment="1">
      <alignment horizontal="center" vertical="center" wrapText="1" shrinkToFit="1"/>
    </xf>
    <xf numFmtId="0" fontId="20" fillId="15" borderId="184" xfId="27" applyFont="1" applyFill="1" applyBorder="1" applyAlignment="1">
      <alignment horizontal="center" vertical="center" wrapText="1" shrinkToFit="1"/>
    </xf>
    <xf numFmtId="0" fontId="21" fillId="15" borderId="185" xfId="27" applyFont="1" applyFill="1" applyBorder="1" applyAlignment="1">
      <alignment horizontal="center" vertical="center"/>
    </xf>
    <xf numFmtId="0" fontId="21" fillId="15" borderId="172" xfId="27" applyFont="1" applyFill="1" applyBorder="1" applyAlignment="1">
      <alignment horizontal="center" vertical="center"/>
    </xf>
    <xf numFmtId="0" fontId="21" fillId="15" borderId="184" xfId="27" applyFont="1" applyFill="1" applyBorder="1" applyAlignment="1">
      <alignment horizontal="center" vertical="center"/>
    </xf>
    <xf numFmtId="0" fontId="20" fillId="0" borderId="75" xfId="42" applyFont="1" applyBorder="1" applyAlignment="1">
      <alignment horizontal="left" vertical="center" wrapText="1"/>
    </xf>
    <xf numFmtId="0" fontId="20" fillId="0" borderId="76" xfId="42" applyFont="1" applyBorder="1" applyAlignment="1">
      <alignment horizontal="left" vertical="center" wrapText="1"/>
    </xf>
    <xf numFmtId="0" fontId="20" fillId="0" borderId="80" xfId="27" applyFont="1" applyBorder="1" applyAlignment="1">
      <alignment horizontal="left" vertical="center"/>
    </xf>
    <xf numFmtId="0" fontId="20" fillId="0" borderId="81" xfId="27" applyFont="1" applyBorder="1" applyAlignment="1">
      <alignment horizontal="left" vertical="center"/>
    </xf>
    <xf numFmtId="0" fontId="20" fillId="0" borderId="85" xfId="27" applyFont="1" applyBorder="1" applyAlignment="1">
      <alignment horizontal="left" vertical="center"/>
    </xf>
    <xf numFmtId="0" fontId="20" fillId="0" borderId="86" xfId="27" applyFont="1" applyBorder="1" applyAlignment="1">
      <alignment horizontal="left" vertical="center"/>
    </xf>
    <xf numFmtId="0" fontId="20" fillId="15" borderId="189" xfId="27" applyFont="1" applyFill="1" applyBorder="1" applyAlignment="1">
      <alignment horizontal="center" vertical="center" wrapText="1" shrinkToFit="1"/>
    </xf>
    <xf numFmtId="0" fontId="20" fillId="15" borderId="190" xfId="27" applyFont="1" applyFill="1" applyBorder="1" applyAlignment="1">
      <alignment horizontal="center" vertical="center" wrapText="1" shrinkToFit="1"/>
    </xf>
    <xf numFmtId="0" fontId="20" fillId="15" borderId="191" xfId="27" applyFont="1" applyFill="1" applyBorder="1" applyAlignment="1">
      <alignment horizontal="center" vertical="center" wrapText="1" shrinkToFit="1"/>
    </xf>
    <xf numFmtId="0" fontId="21" fillId="15" borderId="192" xfId="27" applyFont="1" applyFill="1" applyBorder="1" applyAlignment="1">
      <alignment horizontal="center" vertical="center"/>
    </xf>
    <xf numFmtId="0" fontId="21" fillId="15" borderId="190" xfId="27" applyFont="1" applyFill="1" applyBorder="1" applyAlignment="1">
      <alignment horizontal="center" vertical="center"/>
    </xf>
    <xf numFmtId="0" fontId="21" fillId="15" borderId="191" xfId="27" applyFont="1" applyFill="1" applyBorder="1" applyAlignment="1">
      <alignment horizontal="center" vertical="center"/>
    </xf>
    <xf numFmtId="0" fontId="21" fillId="15" borderId="164" xfId="27" applyFont="1" applyFill="1" applyBorder="1" applyAlignment="1">
      <alignment horizontal="left" vertical="center" shrinkToFit="1"/>
    </xf>
    <xf numFmtId="0" fontId="21" fillId="15" borderId="165" xfId="27" applyFont="1" applyFill="1" applyBorder="1" applyAlignment="1">
      <alignment horizontal="left" vertical="center" shrinkToFit="1"/>
    </xf>
    <xf numFmtId="0" fontId="21" fillId="15" borderId="166" xfId="27" applyFont="1" applyFill="1" applyBorder="1" applyAlignment="1">
      <alignment horizontal="left" vertical="center" shrinkToFit="1"/>
    </xf>
    <xf numFmtId="0" fontId="20" fillId="0" borderId="153" xfId="29" applyFont="1" applyBorder="1" applyAlignment="1">
      <alignment horizontal="justify" vertical="top" wrapText="1"/>
    </xf>
    <xf numFmtId="0" fontId="20" fillId="0" borderId="154" xfId="29" applyFont="1" applyBorder="1" applyAlignment="1">
      <alignment horizontal="justify" vertical="top" wrapText="1"/>
    </xf>
    <xf numFmtId="0" fontId="20" fillId="0" borderId="155" xfId="29" applyFont="1" applyBorder="1" applyAlignment="1">
      <alignment horizontal="justify" vertical="top" wrapText="1"/>
    </xf>
    <xf numFmtId="0" fontId="20" fillId="0" borderId="8" xfId="29" applyFont="1" applyBorder="1" applyAlignment="1">
      <alignment horizontal="justify" vertical="top" wrapText="1"/>
    </xf>
    <xf numFmtId="0" fontId="20" fillId="0" borderId="0" xfId="29" applyFont="1" applyAlignment="1">
      <alignment horizontal="justify" vertical="top" wrapText="1"/>
    </xf>
    <xf numFmtId="0" fontId="20" fillId="0" borderId="156" xfId="29" applyFont="1" applyBorder="1" applyAlignment="1">
      <alignment horizontal="justify" vertical="top" wrapText="1"/>
    </xf>
    <xf numFmtId="0" fontId="20" fillId="0" borderId="25" xfId="29" applyFont="1" applyBorder="1" applyAlignment="1">
      <alignment horizontal="justify" vertical="top" wrapText="1"/>
    </xf>
    <xf numFmtId="0" fontId="20" fillId="0" borderId="24" xfId="29" applyFont="1" applyBorder="1" applyAlignment="1">
      <alignment horizontal="justify" vertical="top" wrapText="1"/>
    </xf>
    <xf numFmtId="0" fontId="20" fillId="0" borderId="157" xfId="29" applyFont="1" applyBorder="1" applyAlignment="1">
      <alignment horizontal="justify" vertical="top" wrapText="1"/>
    </xf>
    <xf numFmtId="0" fontId="32" fillId="14" borderId="139" xfId="27" applyFont="1" applyFill="1" applyBorder="1" applyAlignment="1">
      <alignment horizontal="center" vertical="center" shrinkToFit="1"/>
    </xf>
    <xf numFmtId="0" fontId="32" fillId="14" borderId="183" xfId="27" applyFont="1" applyFill="1" applyBorder="1" applyAlignment="1">
      <alignment horizontal="center" vertical="center"/>
    </xf>
    <xf numFmtId="0" fontId="32" fillId="14" borderId="71" xfId="27" applyFont="1" applyFill="1" applyBorder="1" applyAlignment="1">
      <alignment horizontal="center" vertical="center"/>
    </xf>
    <xf numFmtId="0" fontId="32" fillId="14" borderId="159" xfId="27" applyFont="1" applyFill="1" applyBorder="1" applyAlignment="1">
      <alignment horizontal="center" vertical="center"/>
    </xf>
    <xf numFmtId="0" fontId="20" fillId="0" borderId="51" xfId="27" applyFont="1" applyBorder="1" applyAlignment="1">
      <alignment horizontal="left" vertical="center"/>
    </xf>
    <xf numFmtId="0" fontId="20" fillId="0" borderId="52" xfId="27" applyFont="1" applyBorder="1" applyAlignment="1">
      <alignment horizontal="left" vertical="center"/>
    </xf>
    <xf numFmtId="0" fontId="20" fillId="0" borderId="61" xfId="27" applyFont="1" applyBorder="1" applyAlignment="1">
      <alignment horizontal="left" vertical="center"/>
    </xf>
    <xf numFmtId="0" fontId="20" fillId="0" borderId="62" xfId="27" applyFont="1" applyBorder="1" applyAlignment="1">
      <alignment horizontal="left" vertical="center"/>
    </xf>
    <xf numFmtId="0" fontId="20" fillId="15" borderId="196" xfId="27" applyFont="1" applyFill="1" applyBorder="1" applyAlignment="1">
      <alignment horizontal="center" vertical="center"/>
    </xf>
    <xf numFmtId="0" fontId="20" fillId="15" borderId="197" xfId="27" applyFont="1" applyFill="1" applyBorder="1" applyAlignment="1">
      <alignment horizontal="center" vertical="center"/>
    </xf>
    <xf numFmtId="0" fontId="20" fillId="15" borderId="198" xfId="27" applyFont="1" applyFill="1" applyBorder="1" applyAlignment="1">
      <alignment horizontal="center" vertical="center"/>
    </xf>
    <xf numFmtId="0" fontId="21" fillId="15" borderId="199" xfId="27" applyFont="1" applyFill="1" applyBorder="1" applyAlignment="1">
      <alignment horizontal="center" vertical="center"/>
    </xf>
    <xf numFmtId="0" fontId="21" fillId="15" borderId="197" xfId="27" applyFont="1" applyFill="1" applyBorder="1" applyAlignment="1">
      <alignment horizontal="center" vertical="center"/>
    </xf>
    <xf numFmtId="0" fontId="21" fillId="15" borderId="198" xfId="27" applyFont="1" applyFill="1" applyBorder="1" applyAlignment="1">
      <alignment horizontal="center" vertical="center"/>
    </xf>
    <xf numFmtId="0" fontId="20" fillId="0" borderId="56" xfId="27" applyFont="1" applyBorder="1" applyAlignment="1">
      <alignment horizontal="left" vertical="center" wrapText="1"/>
    </xf>
    <xf numFmtId="0" fontId="20" fillId="0" borderId="57" xfId="27" applyFont="1" applyBorder="1" applyAlignment="1">
      <alignment horizontal="left" vertical="center" wrapText="1"/>
    </xf>
    <xf numFmtId="0" fontId="20" fillId="15" borderId="14" xfId="27" applyFont="1" applyFill="1" applyBorder="1" applyAlignment="1">
      <alignment horizontal="center" vertical="center" wrapText="1" shrinkToFit="1"/>
    </xf>
    <xf numFmtId="0" fontId="20" fillId="15" borderId="3" xfId="27" applyFont="1" applyFill="1" applyBorder="1" applyAlignment="1">
      <alignment horizontal="center" vertical="center" wrapText="1" shrinkToFit="1"/>
    </xf>
    <xf numFmtId="0" fontId="20" fillId="15" borderId="4" xfId="27" applyFont="1" applyFill="1" applyBorder="1" applyAlignment="1">
      <alignment horizontal="center" vertical="center" wrapText="1" shrinkToFit="1"/>
    </xf>
    <xf numFmtId="0" fontId="21" fillId="15" borderId="72" xfId="27" applyFont="1" applyFill="1" applyBorder="1" applyAlignment="1">
      <alignment horizontal="center" vertical="center"/>
    </xf>
    <xf numFmtId="0" fontId="32" fillId="14" borderId="117" xfId="27" applyFont="1" applyFill="1" applyBorder="1" applyAlignment="1">
      <alignment horizontal="center" vertical="center" shrinkToFit="1"/>
    </xf>
    <xf numFmtId="0" fontId="32" fillId="14" borderId="53" xfId="27" applyFont="1" applyFill="1" applyBorder="1" applyAlignment="1">
      <alignment horizontal="center" vertical="center"/>
    </xf>
    <xf numFmtId="0" fontId="32" fillId="14" borderId="118" xfId="27" applyFont="1" applyFill="1" applyBorder="1" applyAlignment="1">
      <alignment horizontal="center" vertical="center"/>
    </xf>
    <xf numFmtId="0" fontId="20" fillId="0" borderId="127" xfId="27" applyFont="1" applyBorder="1" applyAlignment="1">
      <alignment horizontal="left" vertical="center"/>
    </xf>
    <xf numFmtId="0" fontId="20" fillId="0" borderId="128" xfId="27" applyFont="1" applyBorder="1" applyAlignment="1">
      <alignment horizontal="left" vertical="center"/>
    </xf>
    <xf numFmtId="0" fontId="21" fillId="15" borderId="8" xfId="27" applyFont="1" applyFill="1" applyBorder="1" applyAlignment="1">
      <alignment horizontal="center" vertical="center"/>
    </xf>
    <xf numFmtId="0" fontId="21" fillId="15" borderId="0" xfId="27" applyFont="1" applyFill="1" applyAlignment="1">
      <alignment horizontal="center" vertical="center"/>
    </xf>
    <xf numFmtId="0" fontId="21" fillId="15" borderId="32" xfId="27" applyFont="1" applyFill="1" applyBorder="1" applyAlignment="1">
      <alignment horizontal="center" vertical="center"/>
    </xf>
    <xf numFmtId="0" fontId="21" fillId="15" borderId="104" xfId="27" applyFont="1" applyFill="1" applyBorder="1" applyAlignment="1">
      <alignment horizontal="center" vertical="center"/>
    </xf>
    <xf numFmtId="0" fontId="21" fillId="0" borderId="0" xfId="27" applyFont="1" applyAlignment="1">
      <alignment horizontal="justify" vertical="center"/>
    </xf>
    <xf numFmtId="0" fontId="9" fillId="13" borderId="136" xfId="27" applyFont="1" applyFill="1" applyBorder="1" applyAlignment="1">
      <alignment horizontal="center" vertical="center"/>
    </xf>
    <xf numFmtId="0" fontId="9" fillId="13" borderId="137" xfId="27" applyFont="1" applyFill="1" applyBorder="1" applyAlignment="1">
      <alignment horizontal="center" vertical="center"/>
    </xf>
    <xf numFmtId="0" fontId="20" fillId="15" borderId="124" xfId="27" applyFont="1" applyFill="1" applyBorder="1" applyAlignment="1">
      <alignment horizontal="center" vertical="center"/>
    </xf>
    <xf numFmtId="0" fontId="20" fillId="15" borderId="71" xfId="27" applyFont="1" applyFill="1" applyBorder="1" applyAlignment="1">
      <alignment horizontal="center" vertical="center"/>
    </xf>
    <xf numFmtId="0" fontId="20" fillId="15" borderId="206" xfId="27" applyFont="1" applyFill="1" applyBorder="1" applyAlignment="1">
      <alignment horizontal="center" vertical="center"/>
    </xf>
    <xf numFmtId="0" fontId="20" fillId="15" borderId="90" xfId="27" applyFont="1" applyFill="1" applyBorder="1" applyAlignment="1">
      <alignment horizontal="center" vertical="center"/>
    </xf>
    <xf numFmtId="0" fontId="20" fillId="15" borderId="13" xfId="27" applyFont="1" applyFill="1" applyBorder="1" applyAlignment="1">
      <alignment horizontal="center" vertical="center"/>
    </xf>
    <xf numFmtId="0" fontId="20" fillId="0" borderId="75" xfId="27" applyFont="1" applyBorder="1" applyAlignment="1">
      <alignment horizontal="left" vertical="center" wrapText="1"/>
    </xf>
    <xf numFmtId="0" fontId="20" fillId="0" borderId="76" xfId="27" applyFont="1" applyBorder="1" applyAlignment="1">
      <alignment horizontal="left" vertical="center" wrapText="1"/>
    </xf>
    <xf numFmtId="0" fontId="20" fillId="15" borderId="91" xfId="27" applyFont="1" applyFill="1" applyBorder="1" applyAlignment="1">
      <alignment horizontal="center" vertical="center" wrapText="1" shrinkToFit="1"/>
    </xf>
    <xf numFmtId="0" fontId="32" fillId="14" borderId="50" xfId="27" applyFont="1" applyFill="1" applyBorder="1" applyAlignment="1">
      <alignment horizontal="center" vertical="center" shrinkToFit="1"/>
    </xf>
    <xf numFmtId="0" fontId="32" fillId="14" borderId="54" xfId="27" applyFont="1" applyFill="1" applyBorder="1" applyAlignment="1">
      <alignment horizontal="center" vertical="center"/>
    </xf>
    <xf numFmtId="0" fontId="21" fillId="15" borderId="103" xfId="27" applyFont="1" applyFill="1" applyBorder="1" applyAlignment="1">
      <alignment horizontal="center" vertical="center"/>
    </xf>
    <xf numFmtId="0" fontId="21" fillId="0" borderId="106" xfId="27" applyFont="1" applyBorder="1" applyAlignment="1">
      <alignment horizontal="justify" vertical="center"/>
    </xf>
    <xf numFmtId="0" fontId="21" fillId="15" borderId="110" xfId="27" applyFont="1" applyFill="1" applyBorder="1" applyAlignment="1">
      <alignment horizontal="left" vertical="center" shrinkToFit="1"/>
    </xf>
    <xf numFmtId="0" fontId="21" fillId="15" borderId="45" xfId="27" applyFont="1" applyFill="1" applyBorder="1" applyAlignment="1">
      <alignment horizontal="left" vertical="center" shrinkToFit="1"/>
    </xf>
    <xf numFmtId="0" fontId="32" fillId="14" borderId="115" xfId="27" applyFont="1" applyFill="1" applyBorder="1" applyAlignment="1">
      <alignment horizontal="center" vertical="center" shrinkToFit="1"/>
    </xf>
    <xf numFmtId="0" fontId="32" fillId="14" borderId="48" xfId="27" applyFont="1" applyFill="1" applyBorder="1" applyAlignment="1">
      <alignment horizontal="center" vertical="center"/>
    </xf>
    <xf numFmtId="0" fontId="32" fillId="14" borderId="116" xfId="27" applyFont="1" applyFill="1" applyBorder="1" applyAlignment="1">
      <alignment horizontal="center" vertical="center"/>
    </xf>
    <xf numFmtId="0" fontId="32" fillId="14" borderId="49" xfId="27" applyFont="1" applyFill="1" applyBorder="1" applyAlignment="1">
      <alignment horizontal="center" vertical="center"/>
    </xf>
    <xf numFmtId="0" fontId="20" fillId="0" borderId="66" xfId="27" applyFont="1" applyBorder="1" applyAlignment="1">
      <alignment horizontal="left" vertical="center"/>
    </xf>
    <xf numFmtId="0" fontId="20" fillId="0" borderId="67" xfId="27" applyFont="1" applyBorder="1" applyAlignment="1">
      <alignment horizontal="left" vertical="center"/>
    </xf>
    <xf numFmtId="0" fontId="20" fillId="15" borderId="70" xfId="27" applyFont="1" applyFill="1" applyBorder="1" applyAlignment="1">
      <alignment horizontal="center" vertical="center"/>
    </xf>
    <xf numFmtId="0" fontId="20" fillId="0" borderId="141" xfId="27" applyFont="1" applyBorder="1" applyAlignment="1">
      <alignment horizontal="left" vertical="center"/>
    </xf>
    <xf numFmtId="0" fontId="20" fillId="0" borderId="142" xfId="27" applyFont="1" applyBorder="1" applyAlignment="1">
      <alignment horizontal="left" vertical="center"/>
    </xf>
    <xf numFmtId="0" fontId="20" fillId="15" borderId="89" xfId="27" applyFont="1" applyFill="1" applyBorder="1" applyAlignment="1">
      <alignment horizontal="center" vertical="center"/>
    </xf>
    <xf numFmtId="0" fontId="20" fillId="0" borderId="153" xfId="29" applyFont="1" applyBorder="1" applyAlignment="1">
      <alignment horizontal="justify" vertical="center" wrapText="1"/>
    </xf>
    <xf numFmtId="0" fontId="20" fillId="0" borderId="154" xfId="29" applyFont="1" applyBorder="1" applyAlignment="1">
      <alignment horizontal="justify" vertical="center" wrapText="1"/>
    </xf>
    <xf numFmtId="0" fontId="20" fillId="0" borderId="155" xfId="29" applyFont="1" applyBorder="1" applyAlignment="1">
      <alignment horizontal="justify" vertical="center" wrapText="1"/>
    </xf>
    <xf numFmtId="0" fontId="20" fillId="0" borderId="8" xfId="29" applyFont="1" applyBorder="1" applyAlignment="1">
      <alignment horizontal="justify" vertical="center" wrapText="1"/>
    </xf>
    <xf numFmtId="0" fontId="20" fillId="0" borderId="0" xfId="29" applyFont="1" applyAlignment="1">
      <alignment horizontal="justify" vertical="center" wrapText="1"/>
    </xf>
    <xf numFmtId="0" fontId="20" fillId="0" borderId="156" xfId="29" applyFont="1" applyBorder="1" applyAlignment="1">
      <alignment horizontal="justify" vertical="center" wrapText="1"/>
    </xf>
    <xf numFmtId="0" fontId="20" fillId="0" borderId="25" xfId="29" applyFont="1" applyBorder="1" applyAlignment="1">
      <alignment horizontal="justify" vertical="center" wrapText="1"/>
    </xf>
    <xf numFmtId="0" fontId="20" fillId="0" borderId="24" xfId="29" applyFont="1" applyBorder="1" applyAlignment="1">
      <alignment horizontal="justify" vertical="center" wrapText="1"/>
    </xf>
    <xf numFmtId="0" fontId="20" fillId="0" borderId="157" xfId="29" applyFont="1" applyBorder="1" applyAlignment="1">
      <alignment horizontal="justify" vertical="center" wrapText="1"/>
    </xf>
    <xf numFmtId="0" fontId="9" fillId="14" borderId="161" xfId="27" applyFont="1" applyFill="1" applyBorder="1" applyAlignment="1">
      <alignment horizontal="center" vertical="center"/>
    </xf>
    <xf numFmtId="0" fontId="9" fillId="14" borderId="162" xfId="27" applyFont="1" applyFill="1" applyBorder="1" applyAlignment="1">
      <alignment horizontal="center" vertical="center"/>
    </xf>
    <xf numFmtId="0" fontId="9" fillId="14" borderId="163" xfId="27" applyFont="1" applyFill="1" applyBorder="1" applyAlignment="1">
      <alignment horizontal="center" vertical="center"/>
    </xf>
    <xf numFmtId="0" fontId="20" fillId="0" borderId="51" xfId="27" applyFont="1" applyBorder="1" applyAlignment="1">
      <alignment horizontal="left" vertical="center" wrapText="1"/>
    </xf>
    <xf numFmtId="0" fontId="20" fillId="0" borderId="52" xfId="27" applyFont="1" applyBorder="1" applyAlignment="1">
      <alignment horizontal="left" vertical="center" wrapText="1"/>
    </xf>
    <xf numFmtId="0" fontId="32" fillId="14" borderId="214" xfId="27" applyFont="1" applyFill="1" applyBorder="1" applyAlignment="1">
      <alignment horizontal="center" vertical="center" shrinkToFit="1"/>
    </xf>
    <xf numFmtId="0" fontId="32" fillId="14" borderId="211" xfId="27" applyFont="1" applyFill="1" applyBorder="1" applyAlignment="1">
      <alignment horizontal="center" vertical="center"/>
    </xf>
    <xf numFmtId="0" fontId="32" fillId="14" borderId="212" xfId="27" applyFont="1" applyFill="1" applyBorder="1" applyAlignment="1">
      <alignment horizontal="center" vertical="center"/>
    </xf>
    <xf numFmtId="0" fontId="32" fillId="14" borderId="213" xfId="27" applyFont="1" applyFill="1" applyBorder="1" applyAlignment="1">
      <alignment horizontal="center" vertical="center"/>
    </xf>
    <xf numFmtId="0" fontId="9" fillId="14" borderId="208" xfId="27" applyFont="1" applyFill="1" applyBorder="1" applyAlignment="1">
      <alignment horizontal="center" vertical="center"/>
    </xf>
    <xf numFmtId="0" fontId="9" fillId="14" borderId="209" xfId="27" applyFont="1" applyFill="1" applyBorder="1" applyAlignment="1">
      <alignment horizontal="center" vertical="center"/>
    </xf>
    <xf numFmtId="0" fontId="9" fillId="14" borderId="210" xfId="27" applyFont="1" applyFill="1" applyBorder="1" applyAlignment="1">
      <alignment horizontal="center" vertical="center"/>
    </xf>
    <xf numFmtId="0" fontId="20" fillId="0" borderId="97" xfId="27" applyFont="1" applyBorder="1" applyAlignment="1">
      <alignment horizontal="left" vertical="center" wrapText="1"/>
    </xf>
    <xf numFmtId="0" fontId="20" fillId="0" borderId="98" xfId="27" applyFont="1" applyBorder="1" applyAlignment="1">
      <alignment horizontal="left" vertical="center" wrapText="1"/>
    </xf>
    <xf numFmtId="0" fontId="9" fillId="13" borderId="44" xfId="27" applyFont="1" applyFill="1" applyBorder="1" applyAlignment="1">
      <alignment horizontal="center" vertical="center"/>
    </xf>
    <xf numFmtId="0" fontId="32" fillId="14" borderId="50" xfId="42" applyFont="1" applyFill="1" applyBorder="1" applyAlignment="1">
      <alignment horizontal="center" vertical="center" shrinkToFit="1"/>
    </xf>
    <xf numFmtId="0" fontId="32" fillId="14" borderId="53" xfId="42" applyFont="1" applyFill="1" applyBorder="1" applyAlignment="1">
      <alignment horizontal="center" vertical="center"/>
    </xf>
    <xf numFmtId="0" fontId="32" fillId="14" borderId="54" xfId="42" applyFont="1" applyFill="1" applyBorder="1" applyAlignment="1">
      <alignment horizontal="center" vertical="center"/>
    </xf>
    <xf numFmtId="0" fontId="21" fillId="15" borderId="51" xfId="42" applyFont="1" applyFill="1" applyBorder="1" applyAlignment="1">
      <alignment horizontal="center" vertical="center"/>
    </xf>
    <xf numFmtId="0" fontId="21" fillId="15" borderId="52" xfId="42" applyFont="1" applyFill="1" applyBorder="1" applyAlignment="1">
      <alignment horizontal="center" vertical="center"/>
    </xf>
    <xf numFmtId="0" fontId="20" fillId="0" borderId="85" xfId="42" applyFont="1" applyBorder="1" applyAlignment="1">
      <alignment horizontal="left" vertical="center"/>
    </xf>
    <xf numFmtId="0" fontId="20" fillId="0" borderId="86" xfId="42" applyFont="1" applyBorder="1" applyAlignment="1">
      <alignment horizontal="left" vertical="center"/>
    </xf>
    <xf numFmtId="0" fontId="20" fillId="15" borderId="91" xfId="42" applyFont="1" applyFill="1" applyBorder="1" applyAlignment="1">
      <alignment horizontal="center" vertical="center" wrapText="1" shrinkToFit="1"/>
    </xf>
    <xf numFmtId="0" fontId="20" fillId="15" borderId="3" xfId="42" applyFont="1" applyFill="1" applyBorder="1" applyAlignment="1">
      <alignment horizontal="center" vertical="center" wrapText="1" shrinkToFit="1"/>
    </xf>
    <xf numFmtId="0" fontId="20" fillId="15" borderId="4" xfId="42" applyFont="1" applyFill="1" applyBorder="1" applyAlignment="1">
      <alignment horizontal="center" vertical="center" wrapText="1" shrinkToFit="1"/>
    </xf>
    <xf numFmtId="0" fontId="21" fillId="15" borderId="72" xfId="42" applyFont="1" applyFill="1" applyBorder="1" applyAlignment="1">
      <alignment horizontal="center" vertical="center"/>
    </xf>
    <xf numFmtId="0" fontId="20" fillId="0" borderId="75" xfId="42" applyFont="1" applyBorder="1" applyAlignment="1">
      <alignment horizontal="left" vertical="center"/>
    </xf>
    <xf numFmtId="0" fontId="20" fillId="0" borderId="76" xfId="42" applyFont="1" applyBorder="1" applyAlignment="1">
      <alignment horizontal="left" vertical="center"/>
    </xf>
    <xf numFmtId="0" fontId="21" fillId="15" borderId="103" xfId="42" applyFont="1" applyFill="1" applyBorder="1" applyAlignment="1">
      <alignment horizontal="center" vertical="center"/>
    </xf>
    <xf numFmtId="0" fontId="21" fillId="15" borderId="0" xfId="42" applyFont="1" applyFill="1" applyAlignment="1">
      <alignment horizontal="center" vertical="center"/>
    </xf>
    <xf numFmtId="0" fontId="21" fillId="15" borderId="32" xfId="42" applyFont="1" applyFill="1" applyBorder="1" applyAlignment="1">
      <alignment horizontal="center" vertical="center"/>
    </xf>
    <xf numFmtId="0" fontId="21" fillId="15" borderId="104" xfId="42" applyFont="1" applyFill="1" applyBorder="1" applyAlignment="1">
      <alignment horizontal="center" vertical="center"/>
    </xf>
    <xf numFmtId="0" fontId="21" fillId="0" borderId="106" xfId="42" applyFont="1" applyBorder="1" applyAlignment="1">
      <alignment horizontal="justify" vertical="center"/>
    </xf>
    <xf numFmtId="0" fontId="21" fillId="0" borderId="145" xfId="42" applyFont="1" applyBorder="1" applyAlignment="1">
      <alignment horizontal="justify" vertical="center"/>
    </xf>
    <xf numFmtId="0" fontId="9" fillId="13" borderId="136" xfId="42" applyFont="1" applyFill="1" applyBorder="1" applyAlignment="1">
      <alignment horizontal="center" vertical="center"/>
    </xf>
    <xf numFmtId="0" fontId="9" fillId="13" borderId="137" xfId="42" applyFont="1" applyFill="1" applyBorder="1" applyAlignment="1">
      <alignment horizontal="center" vertical="center"/>
    </xf>
    <xf numFmtId="0" fontId="32" fillId="14" borderId="47" xfId="42" applyFont="1" applyFill="1" applyBorder="1" applyAlignment="1">
      <alignment horizontal="center" vertical="center" shrinkToFit="1"/>
    </xf>
    <xf numFmtId="0" fontId="32" fillId="14" borderId="48" xfId="42" applyFont="1" applyFill="1" applyBorder="1" applyAlignment="1">
      <alignment horizontal="center" vertical="center"/>
    </xf>
    <xf numFmtId="0" fontId="32" fillId="14" borderId="49" xfId="42" applyFont="1" applyFill="1" applyBorder="1" applyAlignment="1">
      <alignment horizontal="center" vertical="center"/>
    </xf>
    <xf numFmtId="0" fontId="20" fillId="0" borderId="56" xfId="42" applyFont="1" applyBorder="1" applyAlignment="1">
      <alignment horizontal="left" vertical="center"/>
    </xf>
    <xf numFmtId="0" fontId="20" fillId="0" borderId="57" xfId="42" applyFont="1" applyBorder="1" applyAlignment="1">
      <alignment horizontal="left" vertical="center"/>
    </xf>
    <xf numFmtId="0" fontId="20" fillId="0" borderId="66" xfId="42" applyFont="1" applyBorder="1" applyAlignment="1">
      <alignment horizontal="left" vertical="center"/>
    </xf>
    <xf numFmtId="0" fontId="20" fillId="0" borderId="67" xfId="42" applyFont="1" applyBorder="1" applyAlignment="1">
      <alignment horizontal="left" vertical="center"/>
    </xf>
    <xf numFmtId="0" fontId="20" fillId="15" borderId="70" xfId="42" applyFont="1" applyFill="1" applyBorder="1" applyAlignment="1">
      <alignment horizontal="center" vertical="center"/>
    </xf>
    <xf numFmtId="0" fontId="20" fillId="15" borderId="71" xfId="42" applyFont="1" applyFill="1" applyBorder="1" applyAlignment="1">
      <alignment horizontal="center" vertical="center"/>
    </xf>
    <xf numFmtId="0" fontId="20" fillId="15" borderId="89" xfId="42" applyFont="1" applyFill="1" applyBorder="1" applyAlignment="1">
      <alignment horizontal="center" vertical="center"/>
    </xf>
    <xf numFmtId="0" fontId="20" fillId="15" borderId="90" xfId="42" applyFont="1" applyFill="1" applyBorder="1" applyAlignment="1">
      <alignment horizontal="center" vertical="center"/>
    </xf>
    <xf numFmtId="0" fontId="20" fillId="15" borderId="13" xfId="42" applyFont="1" applyFill="1" applyBorder="1" applyAlignment="1">
      <alignment horizontal="center" vertical="center"/>
    </xf>
    <xf numFmtId="0" fontId="20" fillId="0" borderId="75" xfId="27" applyFont="1" applyBorder="1" applyAlignment="1">
      <alignment horizontal="left" vertical="center"/>
    </xf>
    <xf numFmtId="0" fontId="20" fillId="0" borderId="76" xfId="27" applyFont="1" applyBorder="1" applyAlignment="1">
      <alignment horizontal="left" vertical="center"/>
    </xf>
    <xf numFmtId="0" fontId="9" fillId="14" borderId="150" xfId="27" applyFont="1" applyFill="1" applyBorder="1" applyAlignment="1">
      <alignment horizontal="center" vertical="center"/>
    </xf>
    <xf numFmtId="0" fontId="9" fillId="14" borderId="151" xfId="27" applyFont="1" applyFill="1" applyBorder="1" applyAlignment="1">
      <alignment horizontal="center" vertical="center"/>
    </xf>
    <xf numFmtId="0" fontId="9" fillId="14" borderId="152" xfId="27" applyFont="1" applyFill="1" applyBorder="1" applyAlignment="1">
      <alignment horizontal="center" vertical="center"/>
    </xf>
    <xf numFmtId="0" fontId="9" fillId="4" borderId="107" xfId="27" applyFont="1" applyFill="1" applyBorder="1" applyAlignment="1">
      <alignment horizontal="center" vertical="center"/>
    </xf>
    <xf numFmtId="0" fontId="9" fillId="4" borderId="108" xfId="27" applyFont="1" applyFill="1" applyBorder="1" applyAlignment="1">
      <alignment horizontal="center" vertical="center"/>
    </xf>
    <xf numFmtId="0" fontId="9" fillId="4" borderId="109" xfId="27" applyFont="1" applyFill="1" applyBorder="1" applyAlignment="1">
      <alignment horizontal="center" vertical="center"/>
    </xf>
    <xf numFmtId="0" fontId="20" fillId="0" borderId="56" xfId="42" applyFont="1" applyBorder="1" applyAlignment="1">
      <alignment horizontal="left" vertical="center" wrapText="1"/>
    </xf>
    <xf numFmtId="0" fontId="20" fillId="0" borderId="57" xfId="42" applyFont="1" applyBorder="1" applyAlignment="1">
      <alignment horizontal="left" vertical="center" wrapText="1"/>
    </xf>
    <xf numFmtId="0" fontId="20" fillId="0" borderId="141" xfId="42" applyFont="1" applyBorder="1" applyAlignment="1">
      <alignment horizontal="left" vertical="center"/>
    </xf>
    <xf numFmtId="0" fontId="20" fillId="0" borderId="142" xfId="42" applyFont="1" applyBorder="1" applyAlignment="1">
      <alignment horizontal="left" vertical="center"/>
    </xf>
    <xf numFmtId="0" fontId="20" fillId="15" borderId="180" xfId="27" applyFont="1" applyFill="1" applyBorder="1" applyAlignment="1">
      <alignment horizontal="center" vertical="center"/>
    </xf>
    <xf numFmtId="0" fontId="20" fillId="15" borderId="172" xfId="27" applyFont="1" applyFill="1" applyBorder="1" applyAlignment="1">
      <alignment horizontal="center" vertical="center"/>
    </xf>
    <xf numFmtId="0" fontId="20" fillId="15" borderId="184" xfId="27" applyFont="1" applyFill="1" applyBorder="1" applyAlignment="1">
      <alignment horizontal="center" vertical="center"/>
    </xf>
    <xf numFmtId="0" fontId="21" fillId="15" borderId="145" xfId="27" applyFont="1" applyFill="1" applyBorder="1" applyAlignment="1">
      <alignment horizontal="center" vertical="center"/>
    </xf>
    <xf numFmtId="0" fontId="20" fillId="0" borderId="61" xfId="27" applyFont="1" applyBorder="1" applyAlignment="1">
      <alignment horizontal="left" vertical="center" wrapText="1"/>
    </xf>
    <xf numFmtId="0" fontId="20" fillId="0" borderId="62" xfId="27" applyFont="1" applyBorder="1" applyAlignment="1">
      <alignment horizontal="left" vertical="center" wrapText="1"/>
    </xf>
    <xf numFmtId="0" fontId="38" fillId="0" borderId="127" xfId="27" applyFont="1" applyBorder="1" applyAlignment="1">
      <alignment horizontal="left" vertical="center" wrapText="1"/>
    </xf>
    <xf numFmtId="0" fontId="38" fillId="0" borderId="128" xfId="27" applyFont="1" applyBorder="1" applyAlignment="1">
      <alignment horizontal="left" vertical="center"/>
    </xf>
    <xf numFmtId="0" fontId="20" fillId="0" borderId="228" xfId="27" applyFont="1" applyBorder="1" applyAlignment="1">
      <alignment horizontal="left" vertical="center"/>
    </xf>
    <xf numFmtId="0" fontId="20" fillId="0" borderId="229" xfId="27" applyFont="1" applyBorder="1" applyAlignment="1">
      <alignment horizontal="left" vertical="center"/>
    </xf>
    <xf numFmtId="0" fontId="40" fillId="0" borderId="56" xfId="42" applyFont="1" applyBorder="1" applyAlignment="1">
      <alignment horizontal="left" vertical="center"/>
    </xf>
    <xf numFmtId="0" fontId="40" fillId="0" borderId="57" xfId="42" applyFont="1" applyBorder="1" applyAlignment="1">
      <alignment horizontal="left" vertical="center"/>
    </xf>
    <xf numFmtId="0" fontId="40" fillId="0" borderId="66" xfId="27" applyFont="1" applyBorder="1" applyAlignment="1">
      <alignment horizontal="left" vertical="center"/>
    </xf>
    <xf numFmtId="0" fontId="40" fillId="0" borderId="67" xfId="27" applyFont="1" applyBorder="1" applyAlignment="1">
      <alignment horizontal="left" vertical="center"/>
    </xf>
    <xf numFmtId="0" fontId="9" fillId="14" borderId="150" xfId="42" applyFont="1" applyFill="1" applyBorder="1" applyAlignment="1">
      <alignment horizontal="center" vertical="center"/>
    </xf>
    <xf numFmtId="0" fontId="9" fillId="14" borderId="151" xfId="42" applyFont="1" applyFill="1" applyBorder="1" applyAlignment="1">
      <alignment horizontal="center" vertical="center"/>
    </xf>
    <xf numFmtId="0" fontId="9" fillId="14" borderId="152" xfId="42" applyFont="1" applyFill="1" applyBorder="1" applyAlignment="1">
      <alignment horizontal="center" vertical="center"/>
    </xf>
    <xf numFmtId="0" fontId="21" fillId="15" borderId="110" xfId="42" applyFont="1" applyFill="1" applyBorder="1" applyAlignment="1">
      <alignment horizontal="left" vertical="center" shrinkToFit="1"/>
    </xf>
    <xf numFmtId="0" fontId="21" fillId="15" borderId="45" xfId="42" applyFont="1" applyFill="1" applyBorder="1" applyAlignment="1">
      <alignment horizontal="left" vertical="center" shrinkToFit="1"/>
    </xf>
    <xf numFmtId="0" fontId="9" fillId="13" borderId="44" xfId="42" applyFont="1" applyFill="1" applyBorder="1" applyAlignment="1">
      <alignment horizontal="center" vertical="center"/>
    </xf>
    <xf numFmtId="0" fontId="20" fillId="0" borderId="61" xfId="42" applyFont="1" applyBorder="1" applyAlignment="1">
      <alignment horizontal="left" vertical="center"/>
    </xf>
    <xf numFmtId="0" fontId="20" fillId="0" borderId="62" xfId="42" applyFont="1" applyBorder="1" applyAlignment="1">
      <alignment horizontal="left" vertical="center"/>
    </xf>
    <xf numFmtId="0" fontId="20" fillId="15" borderId="221" xfId="27" applyFont="1" applyFill="1" applyBorder="1" applyAlignment="1">
      <alignment horizontal="center" vertical="center"/>
    </xf>
    <xf numFmtId="0" fontId="21" fillId="15" borderId="222" xfId="27" applyFont="1" applyFill="1" applyBorder="1" applyAlignment="1">
      <alignment horizontal="center" vertical="center"/>
    </xf>
    <xf numFmtId="0" fontId="21" fillId="15" borderId="71" xfId="27" applyFont="1" applyFill="1" applyBorder="1" applyAlignment="1">
      <alignment horizontal="center" vertical="center"/>
    </xf>
    <xf numFmtId="0" fontId="21" fillId="15" borderId="223" xfId="27" applyFont="1" applyFill="1" applyBorder="1" applyAlignment="1">
      <alignment horizontal="center" vertical="center"/>
    </xf>
    <xf numFmtId="0" fontId="32" fillId="14" borderId="224" xfId="27" applyFont="1" applyFill="1" applyBorder="1" applyAlignment="1">
      <alignment horizontal="center" vertical="center" shrinkToFit="1"/>
    </xf>
    <xf numFmtId="0" fontId="32" fillId="14" borderId="220" xfId="27" applyFont="1" applyFill="1" applyBorder="1" applyAlignment="1">
      <alignment horizontal="center" vertical="center" shrinkToFit="1"/>
    </xf>
    <xf numFmtId="0" fontId="32" fillId="14" borderId="225" xfId="27" applyFont="1" applyFill="1" applyBorder="1" applyAlignment="1">
      <alignment horizontal="center" vertical="center"/>
    </xf>
    <xf numFmtId="0" fontId="9" fillId="14" borderId="215" xfId="27" applyFont="1" applyFill="1" applyBorder="1" applyAlignment="1">
      <alignment horizontal="center" vertical="center"/>
    </xf>
    <xf numFmtId="0" fontId="9" fillId="14" borderId="216" xfId="27" applyFont="1" applyFill="1" applyBorder="1" applyAlignment="1">
      <alignment horizontal="center" vertical="center"/>
    </xf>
    <xf numFmtId="0" fontId="9" fillId="14" borderId="217" xfId="27" applyFont="1" applyFill="1" applyBorder="1" applyAlignment="1">
      <alignment horizontal="center" vertical="center"/>
    </xf>
    <xf numFmtId="0" fontId="32" fillId="14" borderId="218" xfId="27" applyFont="1" applyFill="1" applyBorder="1" applyAlignment="1">
      <alignment horizontal="center" vertical="center" shrinkToFit="1"/>
    </xf>
    <xf numFmtId="0" fontId="32" fillId="14" borderId="219" xfId="27" applyFont="1" applyFill="1" applyBorder="1" applyAlignment="1">
      <alignment horizontal="center" vertical="center"/>
    </xf>
    <xf numFmtId="0" fontId="20" fillId="15" borderId="226" xfId="27" applyFont="1" applyFill="1" applyBorder="1" applyAlignment="1">
      <alignment horizontal="center" vertical="center"/>
    </xf>
    <xf numFmtId="0" fontId="20" fillId="15" borderId="227" xfId="27" applyFont="1" applyFill="1" applyBorder="1" applyAlignment="1">
      <alignment horizontal="center" vertical="center"/>
    </xf>
    <xf numFmtId="0" fontId="20" fillId="15" borderId="201" xfId="27" applyFont="1" applyFill="1" applyBorder="1" applyAlignment="1">
      <alignment horizontal="center" vertical="center"/>
    </xf>
    <xf numFmtId="0" fontId="21" fillId="15" borderId="200" xfId="27" applyFont="1" applyFill="1" applyBorder="1" applyAlignment="1">
      <alignment horizontal="center" vertical="center"/>
    </xf>
    <xf numFmtId="0" fontId="21" fillId="15" borderId="227" xfId="27" applyFont="1" applyFill="1" applyBorder="1" applyAlignment="1">
      <alignment horizontal="center" vertical="center"/>
    </xf>
    <xf numFmtId="0" fontId="21" fillId="15" borderId="201" xfId="27" applyFont="1" applyFill="1" applyBorder="1" applyAlignment="1">
      <alignment horizontal="center" vertical="center"/>
    </xf>
    <xf numFmtId="0" fontId="21" fillId="15" borderId="233" xfId="27" applyFont="1" applyFill="1" applyBorder="1" applyAlignment="1">
      <alignment horizontal="center" vertical="center"/>
    </xf>
    <xf numFmtId="0" fontId="21" fillId="15" borderId="234" xfId="27" applyFont="1" applyFill="1" applyBorder="1" applyAlignment="1">
      <alignment horizontal="center" vertical="center"/>
    </xf>
    <xf numFmtId="0" fontId="21" fillId="15" borderId="177" xfId="27" applyFont="1" applyFill="1" applyBorder="1" applyAlignment="1">
      <alignment horizontal="center" vertical="center"/>
    </xf>
    <xf numFmtId="0" fontId="21" fillId="15" borderId="235" xfId="27" applyFont="1" applyFill="1" applyBorder="1" applyAlignment="1">
      <alignment horizontal="center" vertical="center"/>
    </xf>
    <xf numFmtId="0" fontId="21" fillId="15" borderId="236" xfId="27" applyFont="1" applyFill="1" applyBorder="1" applyAlignment="1">
      <alignment horizontal="center" vertical="center"/>
    </xf>
    <xf numFmtId="0" fontId="21" fillId="15" borderId="237" xfId="27" applyFont="1" applyFill="1" applyBorder="1" applyAlignment="1">
      <alignment horizontal="center" vertical="center"/>
    </xf>
    <xf numFmtId="0" fontId="21" fillId="0" borderId="31" xfId="27" applyFont="1" applyBorder="1" applyAlignment="1">
      <alignment horizontal="justify" vertical="center"/>
    </xf>
    <xf numFmtId="0" fontId="21" fillId="0" borderId="9" xfId="27" applyFont="1" applyBorder="1" applyAlignment="1">
      <alignment horizontal="justify" vertical="center"/>
    </xf>
    <xf numFmtId="0" fontId="20" fillId="15" borderId="232" xfId="27" applyFont="1" applyFill="1" applyBorder="1" applyAlignment="1">
      <alignment horizontal="center" vertical="center" wrapText="1" shrinkToFit="1"/>
    </xf>
    <xf numFmtId="0" fontId="20" fillId="0" borderId="230" xfId="27" applyFont="1" applyBorder="1" applyAlignment="1">
      <alignment horizontal="left" vertical="center"/>
    </xf>
    <xf numFmtId="0" fontId="20" fillId="0" borderId="231" xfId="27" applyFont="1" applyBorder="1" applyAlignment="1">
      <alignment horizontal="left" vertical="center"/>
    </xf>
    <xf numFmtId="0" fontId="32" fillId="14" borderId="246" xfId="27" applyFont="1" applyFill="1" applyBorder="1" applyAlignment="1">
      <alignment horizontal="center" vertical="center" shrinkToFit="1"/>
    </xf>
    <xf numFmtId="0" fontId="20" fillId="0" borderId="199" xfId="27" applyFont="1" applyBorder="1" applyAlignment="1">
      <alignment horizontal="left" vertical="center"/>
    </xf>
    <xf numFmtId="0" fontId="20" fillId="0" borderId="198" xfId="27" applyFont="1" applyBorder="1" applyAlignment="1">
      <alignment horizontal="left" vertical="center"/>
    </xf>
    <xf numFmtId="0" fontId="20" fillId="15" borderId="171" xfId="27" applyFont="1" applyFill="1" applyBorder="1" applyAlignment="1">
      <alignment horizontal="center" vertical="center" wrapText="1" shrinkToFit="1"/>
    </xf>
    <xf numFmtId="0" fontId="32" fillId="14" borderId="245" xfId="27" applyFont="1" applyFill="1" applyBorder="1" applyAlignment="1">
      <alignment horizontal="center" vertical="center" shrinkToFit="1"/>
    </xf>
    <xf numFmtId="0" fontId="20" fillId="15" borderId="171" xfId="27" applyFont="1" applyFill="1" applyBorder="1" applyAlignment="1">
      <alignment horizontal="center" vertical="center"/>
    </xf>
    <xf numFmtId="0" fontId="33" fillId="12" borderId="26" xfId="3" applyFont="1" applyFill="1" applyBorder="1" applyAlignment="1">
      <alignment horizontal="center" vertical="center"/>
    </xf>
    <xf numFmtId="0" fontId="33" fillId="12" borderId="27" xfId="3" applyFont="1" applyFill="1" applyBorder="1" applyAlignment="1">
      <alignment horizontal="center" vertical="center"/>
    </xf>
    <xf numFmtId="0" fontId="14" fillId="23" borderId="203" xfId="0" applyFont="1" applyFill="1" applyBorder="1" applyAlignment="1">
      <alignment horizontal="center" vertical="center" wrapText="1"/>
    </xf>
    <xf numFmtId="0" fontId="14" fillId="23" borderId="204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 wrapText="1"/>
    </xf>
    <xf numFmtId="0" fontId="45" fillId="2" borderId="6" xfId="0" applyFont="1" applyFill="1" applyBorder="1" applyAlignment="1">
      <alignment horizontal="center" vertical="center"/>
    </xf>
    <xf numFmtId="0" fontId="45" fillId="2" borderId="7" xfId="0" applyFont="1" applyFill="1" applyBorder="1" applyAlignment="1">
      <alignment horizontal="center" vertical="center"/>
    </xf>
    <xf numFmtId="0" fontId="14" fillId="2" borderId="204" xfId="0" applyFont="1" applyFill="1" applyBorder="1" applyAlignment="1">
      <alignment horizontal="center" vertical="center"/>
    </xf>
    <xf numFmtId="0" fontId="53" fillId="16" borderId="34" xfId="0" applyFont="1" applyFill="1" applyBorder="1" applyAlignment="1">
      <alignment horizontal="center" vertical="center"/>
    </xf>
    <xf numFmtId="0" fontId="53" fillId="16" borderId="27" xfId="0" applyFont="1" applyFill="1" applyBorder="1" applyAlignment="1">
      <alignment horizontal="center" vertical="center"/>
    </xf>
    <xf numFmtId="0" fontId="53" fillId="16" borderId="35" xfId="0" applyFont="1" applyFill="1" applyBorder="1" applyAlignment="1">
      <alignment horizontal="center" vertical="center"/>
    </xf>
    <xf numFmtId="0" fontId="14" fillId="16" borderId="34" xfId="0" applyFont="1" applyFill="1" applyBorder="1" applyAlignment="1">
      <alignment horizontal="center" vertical="center"/>
    </xf>
    <xf numFmtId="0" fontId="14" fillId="16" borderId="27" xfId="0" applyFont="1" applyFill="1" applyBorder="1" applyAlignment="1">
      <alignment horizontal="center" vertical="center"/>
    </xf>
    <xf numFmtId="0" fontId="14" fillId="16" borderId="35" xfId="0" applyFont="1" applyFill="1" applyBorder="1" applyAlignment="1">
      <alignment horizontal="center" vertical="center"/>
    </xf>
    <xf numFmtId="0" fontId="14" fillId="9" borderId="34" xfId="0" applyFont="1" applyFill="1" applyBorder="1" applyAlignment="1">
      <alignment horizontal="center" vertical="center"/>
    </xf>
    <xf numFmtId="0" fontId="14" fillId="9" borderId="28" xfId="0" applyFont="1" applyFill="1" applyBorder="1" applyAlignment="1">
      <alignment horizontal="center" vertical="center"/>
    </xf>
    <xf numFmtId="0" fontId="14" fillId="26" borderId="1" xfId="0" applyFont="1" applyFill="1" applyBorder="1" applyAlignment="1">
      <alignment horizontal="center" vertical="center"/>
    </xf>
    <xf numFmtId="0" fontId="14" fillId="27" borderId="1" xfId="0" applyFont="1" applyFill="1" applyBorder="1" applyAlignment="1">
      <alignment horizontal="center" vertical="center"/>
    </xf>
    <xf numFmtId="0" fontId="11" fillId="26" borderId="1" xfId="60" applyFont="1" applyFill="1" applyBorder="1" applyAlignment="1">
      <alignment horizontal="left" vertical="center" wrapText="1" indent="1"/>
    </xf>
    <xf numFmtId="0" fontId="11" fillId="2" borderId="1" xfId="60" applyFont="1" applyFill="1" applyBorder="1" applyAlignment="1">
      <alignment horizontal="left" vertical="center" wrapText="1" indent="1"/>
    </xf>
    <xf numFmtId="0" fontId="54" fillId="26" borderId="1" xfId="62" applyFont="1" applyFill="1" applyBorder="1" applyAlignment="1">
      <alignment horizontal="left" vertical="center" wrapText="1" indent="1"/>
    </xf>
    <xf numFmtId="3" fontId="11" fillId="9" borderId="1" xfId="60" applyNumberFormat="1" applyFont="1" applyFill="1" applyBorder="1" applyAlignment="1">
      <alignment horizontal="center" vertical="center" wrapText="1"/>
    </xf>
    <xf numFmtId="0" fontId="56" fillId="2" borderId="1" xfId="62" applyFont="1" applyFill="1" applyBorder="1" applyAlignment="1">
      <alignment horizontal="left" vertical="center" wrapText="1" indent="1"/>
    </xf>
    <xf numFmtId="0" fontId="56" fillId="2" borderId="2" xfId="62" applyFont="1" applyFill="1" applyBorder="1" applyAlignment="1">
      <alignment horizontal="left" vertical="center" wrapText="1" indent="1"/>
    </xf>
    <xf numFmtId="0" fontId="56" fillId="2" borderId="4" xfId="62" applyFont="1" applyFill="1" applyBorder="1" applyAlignment="1">
      <alignment horizontal="left" vertical="center" wrapText="1" indent="1"/>
    </xf>
    <xf numFmtId="0" fontId="47" fillId="2" borderId="1" xfId="62" applyFont="1" applyFill="1" applyBorder="1" applyAlignment="1">
      <alignment horizontal="left" vertical="center" wrapText="1" indent="1"/>
    </xf>
    <xf numFmtId="0" fontId="11" fillId="9" borderId="1" xfId="60" applyFont="1" applyFill="1" applyBorder="1" applyAlignment="1">
      <alignment horizontal="center" vertical="center" wrapText="1"/>
    </xf>
    <xf numFmtId="10" fontId="11" fillId="9" borderId="1" xfId="61" applyNumberFormat="1" applyFont="1" applyFill="1" applyBorder="1" applyAlignment="1">
      <alignment horizontal="center" vertical="center" wrapText="1"/>
    </xf>
    <xf numFmtId="0" fontId="4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53" fillId="16" borderId="1" xfId="0" applyFont="1" applyFill="1" applyBorder="1" applyAlignment="1">
      <alignment horizontal="center" vertical="center"/>
    </xf>
    <xf numFmtId="0" fontId="45" fillId="16" borderId="1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58" fillId="2" borderId="29" xfId="0" applyFont="1" applyFill="1" applyBorder="1" applyAlignment="1">
      <alignment horizontal="center"/>
    </xf>
    <xf numFmtId="0" fontId="16" fillId="10" borderId="34" xfId="0" applyFont="1" applyFill="1" applyBorder="1" applyAlignment="1">
      <alignment horizontal="center" vertical="center"/>
    </xf>
    <xf numFmtId="0" fontId="16" fillId="10" borderId="27" xfId="0" applyFont="1" applyFill="1" applyBorder="1" applyAlignment="1">
      <alignment horizontal="center" vertical="center"/>
    </xf>
    <xf numFmtId="0" fontId="16" fillId="10" borderId="35" xfId="0" applyFont="1" applyFill="1" applyBorder="1" applyAlignment="1">
      <alignment horizontal="center" vertical="center"/>
    </xf>
    <xf numFmtId="0" fontId="48" fillId="12" borderId="37" xfId="3" applyFont="1" applyFill="1" applyBorder="1" applyAlignment="1" applyProtection="1">
      <alignment horizontal="left" vertical="center" wrapText="1" indent="1"/>
      <protection locked="0"/>
    </xf>
    <xf numFmtId="0" fontId="48" fillId="12" borderId="38" xfId="3" applyFont="1" applyFill="1" applyBorder="1" applyAlignment="1" applyProtection="1">
      <alignment horizontal="left" vertical="center" wrapText="1" indent="1"/>
      <protection locked="0"/>
    </xf>
    <xf numFmtId="0" fontId="48" fillId="12" borderId="203" xfId="3" applyFont="1" applyFill="1" applyBorder="1" applyAlignment="1" applyProtection="1">
      <alignment horizontal="left" vertical="center" wrapText="1" indent="1"/>
      <protection locked="0"/>
    </xf>
    <xf numFmtId="0" fontId="48" fillId="12" borderId="204" xfId="3" applyFont="1" applyFill="1" applyBorder="1" applyAlignment="1" applyProtection="1">
      <alignment horizontal="left" vertical="center" wrapText="1" indent="1"/>
      <protection locked="0"/>
    </xf>
    <xf numFmtId="0" fontId="48" fillId="12" borderId="241" xfId="3" applyFont="1" applyFill="1" applyBorder="1" applyAlignment="1" applyProtection="1">
      <alignment horizontal="left" vertical="center" wrapText="1" indent="1"/>
      <protection locked="0"/>
    </xf>
    <xf numFmtId="0" fontId="48" fillId="12" borderId="242" xfId="3" applyFont="1" applyFill="1" applyBorder="1" applyAlignment="1" applyProtection="1">
      <alignment horizontal="left" vertical="center" wrapText="1" indent="1"/>
      <protection locked="0"/>
    </xf>
    <xf numFmtId="0" fontId="11" fillId="0" borderId="38" xfId="3" applyFont="1" applyBorder="1" applyAlignment="1" applyProtection="1">
      <alignment horizontal="center" vertical="center"/>
      <protection locked="0"/>
    </xf>
    <xf numFmtId="0" fontId="11" fillId="0" borderId="242" xfId="3" applyFont="1" applyBorder="1" applyAlignment="1" applyProtection="1">
      <alignment horizontal="center" vertical="center"/>
      <protection locked="0"/>
    </xf>
    <xf numFmtId="0" fontId="45" fillId="10" borderId="34" xfId="0" applyFont="1" applyFill="1" applyBorder="1" applyAlignment="1">
      <alignment horizontal="center" vertical="center"/>
    </xf>
    <xf numFmtId="0" fontId="45" fillId="10" borderId="27" xfId="0" applyFont="1" applyFill="1" applyBorder="1" applyAlignment="1">
      <alignment horizontal="center" vertical="center"/>
    </xf>
    <xf numFmtId="0" fontId="45" fillId="10" borderId="35" xfId="0" applyFont="1" applyFill="1" applyBorder="1" applyAlignment="1">
      <alignment horizontal="center" vertical="center"/>
    </xf>
    <xf numFmtId="0" fontId="14" fillId="9" borderId="38" xfId="3" applyFont="1" applyFill="1" applyBorder="1" applyAlignment="1" applyProtection="1">
      <alignment horizontal="center" vertical="center"/>
      <protection locked="0"/>
    </xf>
    <xf numFmtId="0" fontId="14" fillId="9" borderId="242" xfId="3" applyFont="1" applyFill="1" applyBorder="1" applyAlignment="1" applyProtection="1">
      <alignment horizontal="center" vertical="center"/>
      <protection locked="0"/>
    </xf>
    <xf numFmtId="0" fontId="11" fillId="2" borderId="38" xfId="3" applyFont="1" applyFill="1" applyBorder="1" applyAlignment="1" applyProtection="1">
      <alignment horizontal="center" vertical="center"/>
      <protection locked="0"/>
    </xf>
    <xf numFmtId="0" fontId="11" fillId="2" borderId="242" xfId="3" applyFont="1" applyFill="1" applyBorder="1" applyAlignment="1" applyProtection="1">
      <alignment horizontal="center" vertical="center"/>
      <protection locked="0"/>
    </xf>
    <xf numFmtId="0" fontId="11" fillId="23" borderId="37" xfId="3" applyFont="1" applyFill="1" applyBorder="1" applyAlignment="1" applyProtection="1">
      <alignment horizontal="center" vertical="center"/>
      <protection locked="0"/>
    </xf>
    <xf numFmtId="0" fontId="11" fillId="23" borderId="241" xfId="3" applyFont="1" applyFill="1" applyBorder="1" applyAlignment="1" applyProtection="1">
      <alignment horizontal="center" vertical="center"/>
      <protection locked="0"/>
    </xf>
    <xf numFmtId="0" fontId="11" fillId="12" borderId="5" xfId="3" applyFont="1" applyFill="1" applyBorder="1" applyAlignment="1" applyProtection="1">
      <alignment horizontal="left" vertical="center" indent="1"/>
      <protection locked="0"/>
    </xf>
    <xf numFmtId="0" fontId="11" fillId="12" borderId="6" xfId="3" applyFont="1" applyFill="1" applyBorder="1" applyAlignment="1" applyProtection="1">
      <alignment horizontal="left" vertical="center" indent="1"/>
      <protection locked="0"/>
    </xf>
    <xf numFmtId="0" fontId="11" fillId="12" borderId="7" xfId="3" applyFont="1" applyFill="1" applyBorder="1" applyAlignment="1" applyProtection="1">
      <alignment horizontal="left" vertical="center" indent="1"/>
      <protection locked="0"/>
    </xf>
    <xf numFmtId="0" fontId="11" fillId="12" borderId="34" xfId="3" applyFont="1" applyFill="1" applyBorder="1" applyAlignment="1" applyProtection="1">
      <alignment horizontal="left" vertical="center" indent="1"/>
      <protection locked="0"/>
    </xf>
    <xf numFmtId="0" fontId="11" fillId="12" borderId="27" xfId="3" applyFont="1" applyFill="1" applyBorder="1" applyAlignment="1" applyProtection="1">
      <alignment horizontal="left" vertical="center" indent="1"/>
      <protection locked="0"/>
    </xf>
    <xf numFmtId="0" fontId="11" fillId="12" borderId="28" xfId="3" applyFont="1" applyFill="1" applyBorder="1" applyAlignment="1" applyProtection="1">
      <alignment horizontal="left" vertical="center" indent="1"/>
      <protection locked="0"/>
    </xf>
    <xf numFmtId="0" fontId="11" fillId="9" borderId="20" xfId="3" applyFont="1" applyFill="1" applyBorder="1" applyAlignment="1">
      <alignment horizontal="center" vertical="center" wrapText="1"/>
    </xf>
    <xf numFmtId="0" fontId="11" fillId="9" borderId="16" xfId="3" applyFont="1" applyFill="1" applyBorder="1" applyAlignment="1">
      <alignment horizontal="center" vertical="center"/>
    </xf>
    <xf numFmtId="0" fontId="11" fillId="9" borderId="21" xfId="3" applyFont="1" applyFill="1" applyBorder="1" applyAlignment="1">
      <alignment horizontal="center" vertical="center"/>
    </xf>
    <xf numFmtId="0" fontId="11" fillId="9" borderId="23" xfId="3" applyFont="1" applyFill="1" applyBorder="1" applyAlignment="1">
      <alignment horizontal="center" vertical="center"/>
    </xf>
    <xf numFmtId="0" fontId="50" fillId="10" borderId="34" xfId="3" applyFont="1" applyFill="1" applyBorder="1" applyAlignment="1">
      <alignment horizontal="center" vertical="center" wrapText="1"/>
    </xf>
    <xf numFmtId="0" fontId="50" fillId="10" borderId="27" xfId="3" applyFont="1" applyFill="1" applyBorder="1" applyAlignment="1">
      <alignment horizontal="center" vertical="center" wrapText="1"/>
    </xf>
    <xf numFmtId="0" fontId="50" fillId="10" borderId="35" xfId="3" applyFont="1" applyFill="1" applyBorder="1" applyAlignment="1">
      <alignment horizontal="center" vertical="center" wrapText="1"/>
    </xf>
    <xf numFmtId="0" fontId="11" fillId="9" borderId="19" xfId="3" applyFont="1" applyFill="1" applyBorder="1" applyAlignment="1">
      <alignment horizontal="center" vertical="center"/>
    </xf>
    <xf numFmtId="0" fontId="11" fillId="9" borderId="20" xfId="3" applyFont="1" applyFill="1" applyBorder="1" applyAlignment="1">
      <alignment horizontal="center" vertical="center"/>
    </xf>
    <xf numFmtId="0" fontId="11" fillId="9" borderId="15" xfId="3" applyFont="1" applyFill="1" applyBorder="1" applyAlignment="1">
      <alignment horizontal="center" vertical="center"/>
    </xf>
    <xf numFmtId="17" fontId="11" fillId="9" borderId="20" xfId="3" applyNumberFormat="1" applyFont="1" applyFill="1" applyBorder="1" applyAlignment="1" applyProtection="1">
      <alignment horizontal="center" vertical="center"/>
      <protection locked="0"/>
    </xf>
    <xf numFmtId="17" fontId="11" fillId="9" borderId="16" xfId="3" applyNumberFormat="1" applyFont="1" applyFill="1" applyBorder="1" applyAlignment="1" applyProtection="1">
      <alignment horizontal="center" vertical="center"/>
      <protection locked="0"/>
    </xf>
    <xf numFmtId="0" fontId="11" fillId="25" borderId="19" xfId="53" applyFont="1" applyFill="1" applyBorder="1" applyAlignment="1">
      <alignment horizontal="left" vertical="center" wrapText="1"/>
    </xf>
    <xf numFmtId="0" fontId="11" fillId="25" borderId="20" xfId="53" applyFont="1" applyFill="1" applyBorder="1" applyAlignment="1">
      <alignment horizontal="left" vertical="center" wrapText="1"/>
    </xf>
    <xf numFmtId="0" fontId="11" fillId="25" borderId="10" xfId="53" applyFont="1" applyFill="1" applyBorder="1" applyAlignment="1">
      <alignment horizontal="left" vertical="center" wrapText="1"/>
    </xf>
    <xf numFmtId="0" fontId="11" fillId="25" borderId="1" xfId="53" applyFont="1" applyFill="1" applyBorder="1" applyAlignment="1">
      <alignment horizontal="left" vertical="center" wrapText="1"/>
    </xf>
    <xf numFmtId="49" fontId="11" fillId="0" borderId="20" xfId="53" applyNumberFormat="1" applyFont="1" applyBorder="1" applyAlignment="1">
      <alignment horizontal="center" vertical="center" wrapText="1"/>
    </xf>
    <xf numFmtId="49" fontId="11" fillId="0" borderId="1" xfId="53" applyNumberFormat="1" applyFont="1" applyBorder="1" applyAlignment="1">
      <alignment horizontal="center" vertical="center" wrapText="1"/>
    </xf>
    <xf numFmtId="10" fontId="46" fillId="0" borderId="20" xfId="49" applyNumberFormat="1" applyFont="1" applyFill="1" applyBorder="1" applyAlignment="1" applyProtection="1">
      <alignment horizontal="center" vertical="center"/>
    </xf>
    <xf numFmtId="10" fontId="46" fillId="0" borderId="1" xfId="49" applyNumberFormat="1" applyFont="1" applyFill="1" applyBorder="1" applyAlignment="1" applyProtection="1">
      <alignment horizontal="center" vertical="center"/>
    </xf>
    <xf numFmtId="182" fontId="11" fillId="0" borderId="21" xfId="32" applyNumberFormat="1" applyFont="1" applyFill="1" applyBorder="1" applyAlignment="1" applyProtection="1">
      <alignment horizontal="center" vertical="center"/>
    </xf>
    <xf numFmtId="182" fontId="11" fillId="0" borderId="12" xfId="32" applyNumberFormat="1" applyFont="1" applyFill="1" applyBorder="1" applyAlignment="1" applyProtection="1">
      <alignment horizontal="center" vertical="center"/>
    </xf>
    <xf numFmtId="0" fontId="11" fillId="25" borderId="14" xfId="55" applyFont="1" applyFill="1" applyBorder="1" applyAlignment="1">
      <alignment horizontal="left" vertical="center"/>
    </xf>
    <xf numFmtId="0" fontId="11" fillId="25" borderId="4" xfId="55" applyFont="1" applyFill="1" applyBorder="1" applyAlignment="1">
      <alignment horizontal="left" vertical="center"/>
    </xf>
    <xf numFmtId="49" fontId="11" fillId="0" borderId="16" xfId="53" applyNumberFormat="1" applyFont="1" applyBorder="1" applyAlignment="1">
      <alignment horizontal="center" vertical="center" wrapText="1"/>
    </xf>
    <xf numFmtId="0" fontId="11" fillId="25" borderId="261" xfId="55" applyFont="1" applyFill="1" applyBorder="1" applyAlignment="1">
      <alignment horizontal="left" vertical="center"/>
    </xf>
    <xf numFmtId="0" fontId="11" fillId="25" borderId="258" xfId="55" applyFont="1" applyFill="1" applyBorder="1" applyAlignment="1">
      <alignment horizontal="left" vertical="center"/>
    </xf>
    <xf numFmtId="188" fontId="60" fillId="18" borderId="247" xfId="19" applyNumberFormat="1" applyFont="1" applyFill="1" applyBorder="1" applyAlignment="1">
      <alignment horizontal="center" vertical="center" wrapText="1"/>
    </xf>
    <xf numFmtId="188" fontId="60" fillId="19" borderId="247" xfId="19" applyNumberFormat="1" applyFont="1" applyFill="1" applyBorder="1" applyAlignment="1">
      <alignment horizontal="center" vertical="center" wrapText="1"/>
    </xf>
    <xf numFmtId="188" fontId="60" fillId="20" borderId="247" xfId="19" applyNumberFormat="1" applyFont="1" applyFill="1" applyBorder="1" applyAlignment="1">
      <alignment horizontal="center" vertical="center" wrapText="1"/>
    </xf>
    <xf numFmtId="188" fontId="60" fillId="21" borderId="247" xfId="19" applyNumberFormat="1" applyFont="1" applyFill="1" applyBorder="1" applyAlignment="1">
      <alignment horizontal="center" vertical="center" wrapText="1"/>
    </xf>
    <xf numFmtId="188" fontId="64" fillId="9" borderId="238" xfId="19" applyNumberFormat="1" applyFont="1" applyFill="1" applyBorder="1" applyAlignment="1">
      <alignment horizontal="center" vertical="center" wrapText="1"/>
    </xf>
  </cellXfs>
  <cellStyles count="69">
    <cellStyle name="Hipervínculo 2" xfId="21" xr:uid="{21DE2AD0-6D99-4A12-8E67-7796DE84BE0A}"/>
    <cellStyle name="Hipervínculo 2 2" xfId="30" xr:uid="{610EC700-5499-4494-ABCB-22DF81432843}"/>
    <cellStyle name="Hipervínculo 3" xfId="44" xr:uid="{41B1A5EC-9E4F-49CC-9C82-BF446B7586F7}"/>
    <cellStyle name="Millares" xfId="11" builtinId="3"/>
    <cellStyle name="Millares 2" xfId="7" xr:uid="{520C2C0B-B854-4120-A9A0-EFABB5CD138B}"/>
    <cellStyle name="Millares 2 2" xfId="35" xr:uid="{CA1B94E7-31BE-47BD-933F-0451D9F19528}"/>
    <cellStyle name="Millares 3" xfId="26" xr:uid="{54D4E215-BF43-499D-962A-5E7DE47C0FDB}"/>
    <cellStyle name="Millares 3 2" xfId="28" xr:uid="{E87C72CC-283A-4865-9456-5AA78FC6270F}"/>
    <cellStyle name="Millares 3 2 2" xfId="43" xr:uid="{9B2C135F-D03B-4699-A9F1-8EF0EE99CC45}"/>
    <cellStyle name="Millares 3 3" xfId="67" xr:uid="{5F09E392-A78D-4C0E-A96A-7DBB795EC52A}"/>
    <cellStyle name="Millares 4" xfId="10" xr:uid="{8D02C306-2FDC-4A7F-86BD-05DD38965D12}"/>
    <cellStyle name="Millares 4 2" xfId="41" xr:uid="{34AC72D7-0FE8-48AA-B676-9BEFAA7BBC80}"/>
    <cellStyle name="Millares 5" xfId="45" xr:uid="{1D6B688C-84B0-4E44-AF2A-63C5D99DE898}"/>
    <cellStyle name="Moneda" xfId="32" builtinId="4"/>
    <cellStyle name="Moneda [0]" xfId="1" builtinId="7"/>
    <cellStyle name="Moneda [0] 2" xfId="38" xr:uid="{D8F1D377-FC21-476A-8941-F002B5D9E210}"/>
    <cellStyle name="Moneda [0] 2 2" xfId="59" xr:uid="{85657EA8-97B7-4A76-BBE8-FCB2587824B6}"/>
    <cellStyle name="Moneda [0] 3" xfId="33" xr:uid="{5A18D48D-D724-444F-B187-7F5E1964EB0B}"/>
    <cellStyle name="Moneda [0] 4" xfId="17" xr:uid="{57B6627F-C199-4A47-AF8E-DB40B2268BD0}"/>
    <cellStyle name="Moneda [0] 4 2" xfId="20" xr:uid="{84FB4B32-9811-4B3C-9B48-E4085ADBF2D1}"/>
    <cellStyle name="Moneda [0] 4 2 2" xfId="36" xr:uid="{476DA133-3C8B-454E-BB49-249DA7E4640B}"/>
    <cellStyle name="Moneda 2" xfId="6" xr:uid="{2AEC9550-1D4B-4B30-B694-ED381129D222}"/>
    <cellStyle name="Moneda 2 2" xfId="19" xr:uid="{7FA1E55B-4737-4B3D-80BA-B2EC69731E3B}"/>
    <cellStyle name="Moneda 2 2 2 2" xfId="48" xr:uid="{1788143C-4FA2-4C72-96F0-02E514AF1958}"/>
    <cellStyle name="Moneda 2 2 4 2" xfId="18" xr:uid="{08A556DD-3E2B-47BC-911A-A3E5520274E7}"/>
    <cellStyle name="Moneda 2 2 4 2 2" xfId="52" xr:uid="{DD577FA2-DEBA-432B-AD8A-2DD9E06550E4}"/>
    <cellStyle name="Moneda 3" xfId="22" xr:uid="{23156E4D-CD8B-4104-B1E0-8F91B24F91B3}"/>
    <cellStyle name="Moneda 4" xfId="23" xr:uid="{779098E1-05C4-477D-B7F3-31A864F11074}"/>
    <cellStyle name="Moneda 4 2" xfId="25" xr:uid="{C8754CEA-4FBC-4703-80B3-6CB94EFD5DCE}"/>
    <cellStyle name="Moneda 4 2 2" xfId="66" xr:uid="{8F0E8671-5DDF-4348-B012-384FD91AF02E}"/>
    <cellStyle name="Moneda 5" xfId="46" xr:uid="{27561B25-386C-4D41-84A7-8F051B91268B}"/>
    <cellStyle name="Moneda 6" xfId="51" xr:uid="{0D56574C-C48B-4300-AF07-D3CF65643383}"/>
    <cellStyle name="Moneda 7 2 2" xfId="64" xr:uid="{DD0E1FFC-ABE0-47B7-B092-47B0D202EC85}"/>
    <cellStyle name="Moneda 9" xfId="9" xr:uid="{03644E05-4177-4577-95A8-EC1BCA558DED}"/>
    <cellStyle name="Moneda 9 2" xfId="39" xr:uid="{BFF6795B-1C2E-4281-B46B-BDFD3A2AD63E}"/>
    <cellStyle name="Normal" xfId="0" builtinId="0"/>
    <cellStyle name="Normal 10 10 2" xfId="12" xr:uid="{9BB18EA3-2826-4834-8C8A-A245E8471465}"/>
    <cellStyle name="Normal 10 2" xfId="27" xr:uid="{8B77F3E5-3EF1-4378-A267-88BF829804C9}"/>
    <cellStyle name="Normal 10 2 2" xfId="42" xr:uid="{920A4145-1B12-4B8E-A008-0009A4BC46D9}"/>
    <cellStyle name="Normal 12" xfId="15" xr:uid="{16B9D47B-1751-42E5-8188-9AD7BC94E330}"/>
    <cellStyle name="Normal 12 2" xfId="37" xr:uid="{A5E5C094-FA0F-4ED1-AC48-8CD7579151AD}"/>
    <cellStyle name="Normal 13" xfId="8" xr:uid="{9624E3AF-3607-41F3-A6DE-45154DD9AB63}"/>
    <cellStyle name="Normal 13 2" xfId="40" xr:uid="{F862880F-3C3B-46B3-9AF8-AAEC69263276}"/>
    <cellStyle name="Normal 2" xfId="5" xr:uid="{2DA6FDC9-CDC3-4C0D-B16A-E88CE4F92924}"/>
    <cellStyle name="Normal 2 10" xfId="3" xr:uid="{12C306AE-2370-4DE6-8628-4FD7A6CEC821}"/>
    <cellStyle name="Normal 2 10 2" xfId="56" xr:uid="{2EAE1A6B-51F5-49E3-A67A-57F011ACFA79}"/>
    <cellStyle name="Normal 2 2 2 2" xfId="47" xr:uid="{909EEF4D-E9DE-40C8-B364-E74EA548EFEA}"/>
    <cellStyle name="Normal 2 2 2 2 2 2" xfId="13" xr:uid="{63184048-EC9C-4BF7-A1EC-64297FCC1AD9}"/>
    <cellStyle name="Normal 2 2 2 2 2 2 2 2" xfId="14" xr:uid="{432A6A96-1111-46DC-9C95-DA356C89E335}"/>
    <cellStyle name="Normal 2 52" xfId="60" xr:uid="{A9DF2231-1D76-4E3E-9144-691E00463F4E}"/>
    <cellStyle name="Normal 3" xfId="54" xr:uid="{9DB6D8AD-AD4C-4F52-ACED-64325E506619}"/>
    <cellStyle name="Normal 3 2 2 3" xfId="16" xr:uid="{21924F79-F2F4-4F45-8DA8-8C0A9E2BAD63}"/>
    <cellStyle name="Normal 3 2 2 3 2" xfId="34" xr:uid="{9E06156E-2404-466A-ADB0-0CE64C5C569A}"/>
    <cellStyle name="Normal 3 2 4" xfId="55" xr:uid="{DE885E7B-80F8-489E-9D6E-6CED2D7F55F8}"/>
    <cellStyle name="Normal 3 3 2" xfId="57" xr:uid="{C9EC6C91-208A-4770-8C3A-F4E01971E6F3}"/>
    <cellStyle name="Normal 4 2 7 2 3" xfId="62" xr:uid="{5425D968-E2B8-432C-843E-84868202E8B3}"/>
    <cellStyle name="Normal 7" xfId="50" xr:uid="{0FC6FB6D-1107-48EC-B95D-391765054DF5}"/>
    <cellStyle name="Normal 8 4" xfId="31" xr:uid="{07A0D43D-24A4-4F16-977A-4F0D40D05FBA}"/>
    <cellStyle name="Normal_PRESUPUESTO VALLEJUELOS" xfId="29" xr:uid="{2AAC731A-F0F2-4855-A336-DCC48A5E4F74}"/>
    <cellStyle name="Normal_programación" xfId="53" xr:uid="{99D96B3E-EC9B-4900-9238-20BBA5F4326C}"/>
    <cellStyle name="Notas" xfId="58" builtinId="10"/>
    <cellStyle name="Porcentaje" xfId="2" builtinId="5"/>
    <cellStyle name="Porcentaje 2" xfId="24" xr:uid="{52D71872-5E40-402D-8F4C-1837A52E6057}"/>
    <cellStyle name="Porcentaje 2 2" xfId="49" xr:uid="{51D2A0C3-C8E8-4ACD-8991-A06C6D2633AA}"/>
    <cellStyle name="Porcentaje 3" xfId="65" xr:uid="{89AF2B88-9E04-4A72-9998-8ADFA115CFBE}"/>
    <cellStyle name="Porcentaje 4" xfId="68" xr:uid="{37DE9747-C42A-4A89-8ADF-AC165B2C0368}"/>
    <cellStyle name="Porcentual 2 10 2 2" xfId="4" xr:uid="{66A2D7F3-6028-482D-A631-6BBD328CC1F2}"/>
    <cellStyle name="Porcentual 2 2 5" xfId="61" xr:uid="{66FE58AA-4C27-4F65-AF7E-43082C2C1731}"/>
    <cellStyle name="Porcentual 7 2 2 2" xfId="63" xr:uid="{033C21C9-B0A3-49C1-939C-E43A8E6A84AB}"/>
  </cellStyles>
  <dxfs count="20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873125</xdr:colOff>
      <xdr:row>6</xdr:row>
      <xdr:rowOff>0</xdr:rowOff>
    </xdr:from>
    <xdr:to>
      <xdr:col>5</xdr:col>
      <xdr:colOff>976696</xdr:colOff>
      <xdr:row>6</xdr:row>
      <xdr:rowOff>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C647AA8D-FA15-453D-BF40-7097DC128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1450" y="2190750"/>
          <a:ext cx="10357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311603</xdr:colOff>
      <xdr:row>0</xdr:row>
      <xdr:rowOff>229961</xdr:rowOff>
    </xdr:from>
    <xdr:ext cx="1362076" cy="492186"/>
    <xdr:pic>
      <xdr:nvPicPr>
        <xdr:cNvPr id="3" name="Imagen 2">
          <a:extLst>
            <a:ext uri="{FF2B5EF4-FFF2-40B4-BE49-F238E27FC236}">
              <a16:creationId xmlns:a16="http://schemas.microsoft.com/office/drawing/2014/main" id="{335A1283-D255-4C0E-9432-CAABA32A7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3" y="229961"/>
          <a:ext cx="1362076" cy="492186"/>
        </a:xfrm>
        <a:prstGeom prst="rect">
          <a:avLst/>
        </a:prstGeom>
      </xdr:spPr>
    </xdr:pic>
    <xdr:clientData/>
  </xdr:oneCellAnchor>
  <xdr:oneCellAnchor>
    <xdr:from>
      <xdr:col>1</xdr:col>
      <xdr:colOff>2057399</xdr:colOff>
      <xdr:row>98</xdr:row>
      <xdr:rowOff>0</xdr:rowOff>
    </xdr:from>
    <xdr:ext cx="56515" cy="9525"/>
    <xdr:sp macro="" textlink="">
      <xdr:nvSpPr>
        <xdr:cNvPr id="4" name="Shape 5">
          <a:extLst>
            <a:ext uri="{FF2B5EF4-FFF2-40B4-BE49-F238E27FC236}">
              <a16:creationId xmlns:a16="http://schemas.microsoft.com/office/drawing/2014/main" id="{52ED7F02-39F9-45D5-A483-6090FC9C6169}"/>
            </a:ext>
          </a:extLst>
        </xdr:cNvPr>
        <xdr:cNvSpPr/>
      </xdr:nvSpPr>
      <xdr:spPr>
        <a:xfrm>
          <a:off x="2752724" y="50177700"/>
          <a:ext cx="56515" cy="9525"/>
        </a:xfrm>
        <a:custGeom>
          <a:avLst/>
          <a:gdLst/>
          <a:ahLst/>
          <a:cxnLst/>
          <a:rect l="0" t="0" r="0" b="0"/>
          <a:pathLst>
            <a:path w="56515" h="9525">
              <a:moveTo>
                <a:pt x="56388" y="9144"/>
              </a:moveTo>
              <a:lnTo>
                <a:pt x="0" y="9144"/>
              </a:lnTo>
              <a:lnTo>
                <a:pt x="0" y="0"/>
              </a:lnTo>
              <a:lnTo>
                <a:pt x="56388" y="0"/>
              </a:lnTo>
              <a:lnTo>
                <a:pt x="56388" y="9144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twoCellAnchor editAs="oneCell">
    <xdr:from>
      <xdr:col>5</xdr:col>
      <xdr:colOff>143405</xdr:colOff>
      <xdr:row>0</xdr:row>
      <xdr:rowOff>74231</xdr:rowOff>
    </xdr:from>
    <xdr:to>
      <xdr:col>5</xdr:col>
      <xdr:colOff>1615849</xdr:colOff>
      <xdr:row>0</xdr:row>
      <xdr:rowOff>836231</xdr:rowOff>
    </xdr:to>
    <xdr:pic>
      <xdr:nvPicPr>
        <xdr:cNvPr id="5" name="Imagen 4" descr="Texto&#10;&#10;Descripción generada automáticamente con confianza media">
          <a:extLst>
            <a:ext uri="{FF2B5EF4-FFF2-40B4-BE49-F238E27FC236}">
              <a16:creationId xmlns:a16="http://schemas.microsoft.com/office/drawing/2014/main" id="{B7B7D966-AB9D-4E4E-9617-57CCBE1864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56671"/>
        <a:stretch>
          <a:fillRect/>
        </a:stretch>
      </xdr:blipFill>
      <xdr:spPr>
        <a:xfrm>
          <a:off x="9600369" y="74231"/>
          <a:ext cx="1472444" cy="762000"/>
        </a:xfrm>
        <a:prstGeom prst="rect">
          <a:avLst/>
        </a:prstGeom>
      </xdr:spPr>
    </xdr:pic>
    <xdr:clientData/>
  </xdr:twoCellAnchor>
  <xdr:oneCellAnchor>
    <xdr:from>
      <xdr:col>5</xdr:col>
      <xdr:colOff>873125</xdr:colOff>
      <xdr:row>98</xdr:row>
      <xdr:rowOff>0</xdr:rowOff>
    </xdr:from>
    <xdr:ext cx="103571" cy="0"/>
    <xdr:pic>
      <xdr:nvPicPr>
        <xdr:cNvPr id="6" name="Imagen 7">
          <a:extLst>
            <a:ext uri="{FF2B5EF4-FFF2-40B4-BE49-F238E27FC236}">
              <a16:creationId xmlns:a16="http://schemas.microsoft.com/office/drawing/2014/main" id="{CA1D07CC-87C7-4A79-95A8-0FD31CE3F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1450" y="49034700"/>
          <a:ext cx="10357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873125</xdr:colOff>
      <xdr:row>98</xdr:row>
      <xdr:rowOff>0</xdr:rowOff>
    </xdr:from>
    <xdr:ext cx="103571" cy="0"/>
    <xdr:pic>
      <xdr:nvPicPr>
        <xdr:cNvPr id="7" name="Imagen 7">
          <a:extLst>
            <a:ext uri="{FF2B5EF4-FFF2-40B4-BE49-F238E27FC236}">
              <a16:creationId xmlns:a16="http://schemas.microsoft.com/office/drawing/2014/main" id="{DBBA22C3-5D9B-488F-9AF3-2DA153DD9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1450" y="49415700"/>
          <a:ext cx="10357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873125</xdr:colOff>
      <xdr:row>98</xdr:row>
      <xdr:rowOff>0</xdr:rowOff>
    </xdr:from>
    <xdr:ext cx="103571" cy="0"/>
    <xdr:pic>
      <xdr:nvPicPr>
        <xdr:cNvPr id="8" name="Imagen 7">
          <a:extLst>
            <a:ext uri="{FF2B5EF4-FFF2-40B4-BE49-F238E27FC236}">
              <a16:creationId xmlns:a16="http://schemas.microsoft.com/office/drawing/2014/main" id="{D5C46518-F8C7-4649-822C-C80A75D07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1450" y="49796700"/>
          <a:ext cx="10357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2057399</xdr:colOff>
      <xdr:row>103</xdr:row>
      <xdr:rowOff>0</xdr:rowOff>
    </xdr:from>
    <xdr:ext cx="56515" cy="9525"/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F8E41002-5835-40B9-B63B-B93504F1F37C}"/>
            </a:ext>
          </a:extLst>
        </xdr:cNvPr>
        <xdr:cNvSpPr/>
      </xdr:nvSpPr>
      <xdr:spPr>
        <a:xfrm>
          <a:off x="2747962" y="65496281"/>
          <a:ext cx="56515" cy="9525"/>
        </a:xfrm>
        <a:custGeom>
          <a:avLst/>
          <a:gdLst/>
          <a:ahLst/>
          <a:cxnLst/>
          <a:rect l="0" t="0" r="0" b="0"/>
          <a:pathLst>
            <a:path w="56515" h="9525">
              <a:moveTo>
                <a:pt x="56388" y="9144"/>
              </a:moveTo>
              <a:lnTo>
                <a:pt x="0" y="9144"/>
              </a:lnTo>
              <a:lnTo>
                <a:pt x="0" y="0"/>
              </a:lnTo>
              <a:lnTo>
                <a:pt x="56388" y="0"/>
              </a:lnTo>
              <a:lnTo>
                <a:pt x="56388" y="9144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257176</xdr:colOff>
      <xdr:row>0</xdr:row>
      <xdr:rowOff>166967</xdr:rowOff>
    </xdr:from>
    <xdr:ext cx="964266" cy="348437"/>
    <xdr:pic>
      <xdr:nvPicPr>
        <xdr:cNvPr id="2" name="Imagen 1">
          <a:extLst>
            <a:ext uri="{FF2B5EF4-FFF2-40B4-BE49-F238E27FC236}">
              <a16:creationId xmlns:a16="http://schemas.microsoft.com/office/drawing/2014/main" id="{87EB91B5-3838-434D-8F6E-8602B62BE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166967"/>
          <a:ext cx="964266" cy="348437"/>
        </a:xfrm>
        <a:prstGeom prst="rect">
          <a:avLst/>
        </a:prstGeom>
      </xdr:spPr>
    </xdr:pic>
    <xdr:clientData/>
  </xdr:oneCellAnchor>
  <xdr:twoCellAnchor editAs="oneCell">
    <xdr:from>
      <xdr:col>6</xdr:col>
      <xdr:colOff>537882</xdr:colOff>
      <xdr:row>0</xdr:row>
      <xdr:rowOff>78441</xdr:rowOff>
    </xdr:from>
    <xdr:to>
      <xdr:col>7</xdr:col>
      <xdr:colOff>878698</xdr:colOff>
      <xdr:row>0</xdr:row>
      <xdr:rowOff>672352</xdr:rowOff>
    </xdr:to>
    <xdr:pic>
      <xdr:nvPicPr>
        <xdr:cNvPr id="3" name="Imagen 2" descr="Texto&#10;&#10;Descripción generada automáticamente con confianza media">
          <a:extLst>
            <a:ext uri="{FF2B5EF4-FFF2-40B4-BE49-F238E27FC236}">
              <a16:creationId xmlns:a16="http://schemas.microsoft.com/office/drawing/2014/main" id="{0AB12CBD-5F35-403A-9DA0-551B046976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6671"/>
        <a:stretch>
          <a:fillRect/>
        </a:stretch>
      </xdr:blipFill>
      <xdr:spPr>
        <a:xfrm>
          <a:off x="8763000" y="78441"/>
          <a:ext cx="1147639" cy="5939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133350</xdr:rowOff>
    </xdr:from>
    <xdr:ext cx="962025" cy="347627"/>
    <xdr:pic>
      <xdr:nvPicPr>
        <xdr:cNvPr id="2" name="Imagen 1">
          <a:extLst>
            <a:ext uri="{FF2B5EF4-FFF2-40B4-BE49-F238E27FC236}">
              <a16:creationId xmlns:a16="http://schemas.microsoft.com/office/drawing/2014/main" id="{2E44BB2C-D5B0-4A7E-AB3E-653FC0BCD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133350"/>
          <a:ext cx="962025" cy="347627"/>
        </a:xfrm>
        <a:prstGeom prst="rect">
          <a:avLst/>
        </a:prstGeom>
      </xdr:spPr>
    </xdr:pic>
    <xdr:clientData/>
  </xdr:oneCellAnchor>
  <xdr:twoCellAnchor editAs="oneCell">
    <xdr:from>
      <xdr:col>7</xdr:col>
      <xdr:colOff>104775</xdr:colOff>
      <xdr:row>0</xdr:row>
      <xdr:rowOff>38100</xdr:rowOff>
    </xdr:from>
    <xdr:to>
      <xdr:col>7</xdr:col>
      <xdr:colOff>1117080</xdr:colOff>
      <xdr:row>0</xdr:row>
      <xdr:rowOff>561975</xdr:rowOff>
    </xdr:to>
    <xdr:pic>
      <xdr:nvPicPr>
        <xdr:cNvPr id="3" name="Imagen 2" descr="Texto&#10;&#10;Descripción generada automáticamente con confianza media">
          <a:extLst>
            <a:ext uri="{FF2B5EF4-FFF2-40B4-BE49-F238E27FC236}">
              <a16:creationId xmlns:a16="http://schemas.microsoft.com/office/drawing/2014/main" id="{07431A83-5580-4EC5-A380-FCFA8F81E5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6671"/>
        <a:stretch>
          <a:fillRect/>
        </a:stretch>
      </xdr:blipFill>
      <xdr:spPr>
        <a:xfrm>
          <a:off x="8115300" y="38100"/>
          <a:ext cx="1012305" cy="5238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402209</xdr:colOff>
      <xdr:row>0</xdr:row>
      <xdr:rowOff>136600</xdr:rowOff>
    </xdr:from>
    <xdr:to>
      <xdr:col>6</xdr:col>
      <xdr:colOff>1672046</xdr:colOff>
      <xdr:row>0</xdr:row>
      <xdr:rowOff>793750</xdr:rowOff>
    </xdr:to>
    <xdr:pic>
      <xdr:nvPicPr>
        <xdr:cNvPr id="3" name="Imagen 2" descr="Texto&#10;&#10;Descripción generada automáticamente con confianza media">
          <a:extLst>
            <a:ext uri="{FF2B5EF4-FFF2-40B4-BE49-F238E27FC236}">
              <a16:creationId xmlns:a16="http://schemas.microsoft.com/office/drawing/2014/main" id="{E79F6F05-4B59-49E1-890A-61D68AC677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6671"/>
        <a:stretch>
          <a:fillRect/>
        </a:stretch>
      </xdr:blipFill>
      <xdr:spPr>
        <a:xfrm>
          <a:off x="12102084" y="136600"/>
          <a:ext cx="1269837" cy="657150"/>
        </a:xfrm>
        <a:prstGeom prst="rect">
          <a:avLst/>
        </a:prstGeom>
      </xdr:spPr>
    </xdr:pic>
    <xdr:clientData/>
  </xdr:twoCellAnchor>
  <xdr:oneCellAnchor>
    <xdr:from>
      <xdr:col>1</xdr:col>
      <xdr:colOff>488949</xdr:colOff>
      <xdr:row>0</xdr:row>
      <xdr:rowOff>201840</xdr:rowOff>
    </xdr:from>
    <xdr:ext cx="1198727" cy="433160"/>
    <xdr:pic>
      <xdr:nvPicPr>
        <xdr:cNvPr id="4" name="Imagen 3">
          <a:extLst>
            <a:ext uri="{FF2B5EF4-FFF2-40B4-BE49-F238E27FC236}">
              <a16:creationId xmlns:a16="http://schemas.microsoft.com/office/drawing/2014/main" id="{66996E8B-E40B-42EB-AEE9-6CC573EE0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429" y="201840"/>
          <a:ext cx="1198727" cy="43316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370682</xdr:colOff>
      <xdr:row>0</xdr:row>
      <xdr:rowOff>134371</xdr:rowOff>
    </xdr:from>
    <xdr:ext cx="1110456" cy="401263"/>
    <xdr:pic>
      <xdr:nvPicPr>
        <xdr:cNvPr id="2" name="Imagen 1">
          <a:extLst>
            <a:ext uri="{FF2B5EF4-FFF2-40B4-BE49-F238E27FC236}">
              <a16:creationId xmlns:a16="http://schemas.microsoft.com/office/drawing/2014/main" id="{BAAA4477-77F0-497D-BC9D-8CE705AC9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8022" y="134371"/>
          <a:ext cx="1110456" cy="40126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348003</xdr:colOff>
      <xdr:row>0</xdr:row>
      <xdr:rowOff>205431</xdr:rowOff>
    </xdr:from>
    <xdr:ext cx="1110456" cy="401263"/>
    <xdr:pic>
      <xdr:nvPicPr>
        <xdr:cNvPr id="2" name="Imagen 1">
          <a:extLst>
            <a:ext uri="{FF2B5EF4-FFF2-40B4-BE49-F238E27FC236}">
              <a16:creationId xmlns:a16="http://schemas.microsoft.com/office/drawing/2014/main" id="{ECAC4FD3-752A-4463-AC5C-6C1BC09FD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003" y="205431"/>
          <a:ext cx="1110456" cy="401263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285750</xdr:colOff>
      <xdr:row>15</xdr:row>
      <xdr:rowOff>161925</xdr:rowOff>
    </xdr:from>
    <xdr:ext cx="8010525" cy="8001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4B0DD1F8-389B-4DA9-AD29-64D7740D973F}"/>
                </a:ext>
              </a:extLst>
            </xdr:cNvPr>
            <xdr:cNvSpPr txBox="1"/>
          </xdr:nvSpPr>
          <xdr:spPr>
            <a:xfrm>
              <a:off x="537210" y="3484245"/>
              <a:ext cx="8010525" cy="8001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CO" sz="1600" b="1" i="1">
                      <a:latin typeface="Cambria Math" panose="02040503050406030204" pitchFamily="18" charset="0"/>
                    </a:rPr>
                    <m:t>𝑷𝒓</m:t>
                  </m:r>
                  <m:r>
                    <a:rPr lang="es-CO" sz="1600" b="1" i="1">
                      <a:latin typeface="Cambria Math" panose="02040503050406030204" pitchFamily="18" charset="0"/>
                    </a:rPr>
                    <m:t>=</m:t>
                  </m:r>
                  <m:r>
                    <a:rPr lang="es-CO" sz="1600" b="1" i="1">
                      <a:latin typeface="Cambria Math" panose="02040503050406030204" pitchFamily="18" charset="0"/>
                    </a:rPr>
                    <m:t>𝑷𝒐</m:t>
                  </m:r>
                  <m:r>
                    <a:rPr lang="es-CO" sz="1600" b="1" i="1">
                      <a:latin typeface="Cambria Math" panose="02040503050406030204" pitchFamily="18" charset="0"/>
                    </a:rPr>
                    <m:t> (</m:t>
                  </m:r>
                  <m:f>
                    <m:fPr>
                      <m:ctrlPr>
                        <a:rPr lang="es-CO" sz="1600" b="1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𝟎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,</m:t>
                      </m:r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𝟏𝟔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𝑴𝑪𝒓</m:t>
                      </m:r>
                    </m:num>
                    <m:den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𝑴𝑪𝒐</m:t>
                      </m:r>
                    </m:den>
                  </m:f>
                </m:oMath>
              </a14:m>
              <a:r>
                <a:rPr lang="es-CO" sz="1600" b="1"/>
                <a:t> + </a:t>
              </a:r>
              <a14:m>
                <m:oMath xmlns:m="http://schemas.openxmlformats.org/officeDocument/2006/math">
                  <m:f>
                    <m:fPr>
                      <m:ctrlPr>
                        <a:rPr lang="es-CO" sz="1600" b="1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𝟎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,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𝟎𝟗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𝑪𝑴𝒓</m:t>
                      </m:r>
                    </m:num>
                    <m:den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𝑪𝑴𝒐</m:t>
                      </m:r>
                    </m:den>
                  </m:f>
                </m:oMath>
              </a14:m>
              <a:r>
                <a:rPr lang="es-CO" sz="1600" b="1"/>
                <a:t> + </a:t>
              </a:r>
              <a14:m>
                <m:oMath xmlns:m="http://schemas.openxmlformats.org/officeDocument/2006/math">
                  <m:f>
                    <m:fPr>
                      <m:ctrlPr>
                        <a:rPr lang="es-CO" sz="1600" b="1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𝟎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,</m:t>
                      </m:r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𝟏𝟐</m:t>
                      </m:r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𝑴𝑶𝑶𝑷𝒓</m:t>
                      </m:r>
                    </m:num>
                    <m:den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𝑴𝑶𝑶𝑷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𝒐</m:t>
                      </m:r>
                    </m:den>
                  </m:f>
                </m:oMath>
              </a14:m>
              <a:r>
                <a:rPr lang="es-CO" sz="1600" b="1"/>
                <a:t> + </a:t>
              </a:r>
              <a14:m>
                <m:oMath xmlns:m="http://schemas.openxmlformats.org/officeDocument/2006/math">
                  <m:f>
                    <m:fPr>
                      <m:ctrlPr>
                        <a:rPr lang="es-CO" sz="1600" b="1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𝟎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,</m:t>
                      </m:r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𝟐𝟒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𝑻𝑨𝒓</m:t>
                      </m:r>
                    </m:num>
                    <m:den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𝑻</m:t>
                      </m:r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𝑨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𝒐</m:t>
                      </m:r>
                    </m:den>
                  </m:f>
                </m:oMath>
              </a14:m>
              <a:r>
                <a:rPr lang="es-CO" sz="1600" b="1"/>
                <a:t> + </a:t>
              </a:r>
              <a14:m>
                <m:oMath xmlns:m="http://schemas.openxmlformats.org/officeDocument/2006/math">
                  <m:f>
                    <m:fPr>
                      <m:ctrlPr>
                        <a:rPr lang="es-CO" sz="1600" b="1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𝟎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,</m:t>
                      </m:r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𝟎𝟐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𝑰𝑯𝑺𝒓</m:t>
                      </m:r>
                    </m:num>
                    <m:den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𝑰𝑯𝑺𝒐</m:t>
                      </m:r>
                    </m:den>
                  </m:f>
                </m:oMath>
              </a14:m>
              <a:r>
                <a:rPr lang="es-CO" sz="1600" b="1"/>
                <a:t> + </a:t>
              </a:r>
              <a14:m>
                <m:oMath xmlns:m="http://schemas.openxmlformats.org/officeDocument/2006/math">
                  <m:f>
                    <m:fPr>
                      <m:ctrlPr>
                        <a:rPr lang="es-CO" sz="1600" b="1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𝟎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,</m:t>
                      </m:r>
                      <m:r>
                        <a:rPr lang="es-ES" sz="1600" b="1" i="1">
                          <a:latin typeface="Cambria Math" panose="02040503050406030204" pitchFamily="18" charset="0"/>
                        </a:rPr>
                        <m:t>𝟎𝟓</m:t>
                      </m:r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𝑴𝑴𝒓</m:t>
                      </m:r>
                    </m:num>
                    <m:den>
                      <m:r>
                        <a:rPr lang="es-CO" sz="1600" b="1" i="1">
                          <a:latin typeface="Cambria Math" panose="02040503050406030204" pitchFamily="18" charset="0"/>
                        </a:rPr>
                        <m:t>𝑴𝑴𝒐</m:t>
                      </m:r>
                    </m:den>
                  </m:f>
                </m:oMath>
              </a14:m>
              <a:r>
                <a:rPr lang="es-CO" sz="1600" b="1"/>
                <a:t> </a:t>
              </a:r>
              <a:r>
                <a:rPr lang="es-CO" sz="1600" b="1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+ </a:t>
              </a:r>
              <a14:m>
                <m:oMath xmlns:m="http://schemas.openxmlformats.org/officeDocument/2006/math">
                  <m:f>
                    <m:fPr>
                      <m:ctrlPr>
                        <a:rPr lang="es-CO" sz="1600" b="1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s-CO" sz="1600" b="1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𝟎</m:t>
                      </m:r>
                      <m:r>
                        <a:rPr lang="es-CO" sz="1600" b="1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,</m:t>
                      </m:r>
                      <m:r>
                        <a:rPr lang="es-ES" sz="1600" b="1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𝟑𝟏</m:t>
                      </m:r>
                      <m:r>
                        <a:rPr lang="es-CO" sz="1600" b="1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  <m:r>
                        <a:rPr lang="es-CO" sz="1600" b="1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𝑷𝑰𝒓</m:t>
                      </m:r>
                    </m:num>
                    <m:den>
                      <m:r>
                        <a:rPr lang="es-CO" sz="1600" b="1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𝑷𝑰𝒐</m:t>
                      </m:r>
                    </m:den>
                  </m:f>
                </m:oMath>
              </a14:m>
              <a:r>
                <a:rPr lang="es-CO" sz="1600" b="1"/>
                <a:t> )</a:t>
              </a:r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4B0DD1F8-389B-4DA9-AD29-64D7740D973F}"/>
                </a:ext>
              </a:extLst>
            </xdr:cNvPr>
            <xdr:cNvSpPr txBox="1"/>
          </xdr:nvSpPr>
          <xdr:spPr>
            <a:xfrm>
              <a:off x="537210" y="3484245"/>
              <a:ext cx="8010525" cy="8001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s-CO" sz="1600" b="1" i="0">
                  <a:latin typeface="Cambria Math" panose="02040503050406030204" pitchFamily="18" charset="0"/>
                </a:rPr>
                <a:t>𝑷𝒓=𝑷𝒐 ((𝟎,</a:t>
              </a:r>
              <a:r>
                <a:rPr lang="es-ES" sz="1600" b="1" i="0">
                  <a:latin typeface="Cambria Math" panose="02040503050406030204" pitchFamily="18" charset="0"/>
                </a:rPr>
                <a:t>𝟏𝟔</a:t>
              </a:r>
              <a:r>
                <a:rPr lang="es-CO" sz="1600" b="1" i="0">
                  <a:latin typeface="Cambria Math" panose="02040503050406030204" pitchFamily="18" charset="0"/>
                </a:rPr>
                <a:t>𝑴𝑪𝒓)/𝑴𝑪𝒐</a:t>
              </a:r>
              <a:r>
                <a:rPr lang="es-CO" sz="1600" b="1"/>
                <a:t> + </a:t>
              </a:r>
              <a:r>
                <a:rPr lang="es-CO" sz="1600" b="1" i="0">
                  <a:latin typeface="Cambria Math" panose="02040503050406030204" pitchFamily="18" charset="0"/>
                </a:rPr>
                <a:t>(𝟎,𝟎𝟗 𝑪𝑴𝒓)/𝑪𝑴𝒐</a:t>
              </a:r>
              <a:r>
                <a:rPr lang="es-CO" sz="1600" b="1"/>
                <a:t> + </a:t>
              </a:r>
              <a:r>
                <a:rPr lang="es-CO" sz="1600" b="1" i="0">
                  <a:latin typeface="Cambria Math" panose="02040503050406030204" pitchFamily="18" charset="0"/>
                </a:rPr>
                <a:t>(𝟎,</a:t>
              </a:r>
              <a:r>
                <a:rPr lang="es-ES" sz="1600" b="1" i="0">
                  <a:latin typeface="Cambria Math" panose="02040503050406030204" pitchFamily="18" charset="0"/>
                </a:rPr>
                <a:t>𝟏𝟐𝑴𝑶𝑶𝑷𝒓</a:t>
              </a:r>
              <a:r>
                <a:rPr lang="es-CO" sz="1600" b="1" i="0">
                  <a:latin typeface="Cambria Math" panose="02040503050406030204" pitchFamily="18" charset="0"/>
                </a:rPr>
                <a:t>)/</a:t>
              </a:r>
              <a:r>
                <a:rPr lang="es-ES" sz="1600" b="1" i="0">
                  <a:latin typeface="Cambria Math" panose="02040503050406030204" pitchFamily="18" charset="0"/>
                </a:rPr>
                <a:t>𝑴𝑶𝑶𝑷</a:t>
              </a:r>
              <a:r>
                <a:rPr lang="es-CO" sz="1600" b="1" i="0">
                  <a:latin typeface="Cambria Math" panose="02040503050406030204" pitchFamily="18" charset="0"/>
                </a:rPr>
                <a:t>𝒐</a:t>
              </a:r>
              <a:r>
                <a:rPr lang="es-CO" sz="1600" b="1"/>
                <a:t> + </a:t>
              </a:r>
              <a:r>
                <a:rPr lang="es-CO" sz="1600" b="1" i="0">
                  <a:latin typeface="Cambria Math" panose="02040503050406030204" pitchFamily="18" charset="0"/>
                </a:rPr>
                <a:t>(𝟎,</a:t>
              </a:r>
              <a:r>
                <a:rPr lang="es-ES" sz="1600" b="1" i="0">
                  <a:latin typeface="Cambria Math" panose="02040503050406030204" pitchFamily="18" charset="0"/>
                </a:rPr>
                <a:t>𝟐𝟒</a:t>
              </a:r>
              <a:r>
                <a:rPr lang="es-CO" sz="1600" b="1" i="0">
                  <a:latin typeface="Cambria Math" panose="02040503050406030204" pitchFamily="18" charset="0"/>
                </a:rPr>
                <a:t> 𝑻𝑨𝒓)/𝑻</a:t>
              </a:r>
              <a:r>
                <a:rPr lang="es-ES" sz="1600" b="1" i="0">
                  <a:latin typeface="Cambria Math" panose="02040503050406030204" pitchFamily="18" charset="0"/>
                </a:rPr>
                <a:t>𝑨</a:t>
              </a:r>
              <a:r>
                <a:rPr lang="es-CO" sz="1600" b="1" i="0">
                  <a:latin typeface="Cambria Math" panose="02040503050406030204" pitchFamily="18" charset="0"/>
                </a:rPr>
                <a:t>𝒐</a:t>
              </a:r>
              <a:r>
                <a:rPr lang="es-CO" sz="1600" b="1"/>
                <a:t> + </a:t>
              </a:r>
              <a:r>
                <a:rPr lang="es-CO" sz="1600" b="1" i="0">
                  <a:latin typeface="Cambria Math" panose="02040503050406030204" pitchFamily="18" charset="0"/>
                </a:rPr>
                <a:t>(𝟎,</a:t>
              </a:r>
              <a:r>
                <a:rPr lang="es-ES" sz="1600" b="1" i="0">
                  <a:latin typeface="Cambria Math" panose="02040503050406030204" pitchFamily="18" charset="0"/>
                </a:rPr>
                <a:t>𝟎𝟐</a:t>
              </a:r>
              <a:r>
                <a:rPr lang="es-CO" sz="1600" b="1" i="0">
                  <a:latin typeface="Cambria Math" panose="02040503050406030204" pitchFamily="18" charset="0"/>
                </a:rPr>
                <a:t> 𝑰𝑯𝑺𝒓)/𝑰𝑯𝑺𝒐</a:t>
              </a:r>
              <a:r>
                <a:rPr lang="es-CO" sz="1600" b="1"/>
                <a:t> + </a:t>
              </a:r>
              <a:r>
                <a:rPr lang="es-CO" sz="1600" b="1" i="0">
                  <a:latin typeface="Cambria Math" panose="02040503050406030204" pitchFamily="18" charset="0"/>
                </a:rPr>
                <a:t>(𝟎,</a:t>
              </a:r>
              <a:r>
                <a:rPr lang="es-ES" sz="1600" b="1" i="0">
                  <a:latin typeface="Cambria Math" panose="02040503050406030204" pitchFamily="18" charset="0"/>
                </a:rPr>
                <a:t>𝟎𝟓</a:t>
              </a:r>
              <a:r>
                <a:rPr lang="es-CO" sz="1600" b="1" i="0">
                  <a:latin typeface="Cambria Math" panose="02040503050406030204" pitchFamily="18" charset="0"/>
                </a:rPr>
                <a:t>𝑴𝑴𝒓)/𝑴𝑴𝒐</a:t>
              </a:r>
              <a:r>
                <a:rPr lang="es-CO" sz="1600" b="1"/>
                <a:t> </a:t>
              </a:r>
              <a:r>
                <a:rPr lang="es-CO" sz="1600" b="1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+ </a:t>
              </a:r>
              <a:r>
                <a:rPr lang="es-CO" sz="16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(𝟎,</a:t>
              </a:r>
              <a:r>
                <a:rPr lang="es-ES" sz="16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𝟑𝟏</a:t>
              </a:r>
              <a:r>
                <a:rPr lang="es-CO" sz="16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𝑷𝑰𝒓)/𝑷𝑰𝒐</a:t>
              </a:r>
              <a:r>
                <a:rPr lang="es-CO" sz="1600" b="1"/>
                <a:t> )</a:t>
              </a:r>
            </a:p>
          </xdr:txBody>
        </xdr:sp>
      </mc:Fallback>
    </mc:AlternateContent>
    <xdr:clientData/>
  </xdr:oneCellAnchor>
  <xdr:oneCellAnchor>
    <xdr:from>
      <xdr:col>1</xdr:col>
      <xdr:colOff>229370</xdr:colOff>
      <xdr:row>0</xdr:row>
      <xdr:rowOff>147431</xdr:rowOff>
    </xdr:from>
    <xdr:ext cx="817138" cy="295273"/>
    <xdr:pic>
      <xdr:nvPicPr>
        <xdr:cNvPr id="3" name="Imagen 2">
          <a:extLst>
            <a:ext uri="{FF2B5EF4-FFF2-40B4-BE49-F238E27FC236}">
              <a16:creationId xmlns:a16="http://schemas.microsoft.com/office/drawing/2014/main" id="{76E37493-A1F6-4CB1-B261-18DE67F24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161" y="147431"/>
          <a:ext cx="817138" cy="295273"/>
        </a:xfrm>
        <a:prstGeom prst="rect">
          <a:avLst/>
        </a:prstGeom>
      </xdr:spPr>
    </xdr:pic>
    <xdr:clientData/>
  </xdr:oneCellAnchor>
  <xdr:twoCellAnchor editAs="oneCell">
    <xdr:from>
      <xdr:col>5</xdr:col>
      <xdr:colOff>9525</xdr:colOff>
      <xdr:row>0</xdr:row>
      <xdr:rowOff>47625</xdr:rowOff>
    </xdr:from>
    <xdr:to>
      <xdr:col>5</xdr:col>
      <xdr:colOff>820917</xdr:colOff>
      <xdr:row>0</xdr:row>
      <xdr:rowOff>616226</xdr:rowOff>
    </xdr:to>
    <xdr:pic>
      <xdr:nvPicPr>
        <xdr:cNvPr id="4" name="Imagen 3" descr="Texto&#10;&#10;Descripción generada automáticamente con confianza media">
          <a:extLst>
            <a:ext uri="{FF2B5EF4-FFF2-40B4-BE49-F238E27FC236}">
              <a16:creationId xmlns:a16="http://schemas.microsoft.com/office/drawing/2014/main" id="{B10F031F-2828-4DFF-8B38-52361FB955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7613"/>
        <a:stretch>
          <a:fillRect/>
        </a:stretch>
      </xdr:blipFill>
      <xdr:spPr>
        <a:xfrm>
          <a:off x="6655490" y="47625"/>
          <a:ext cx="811392" cy="5686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272900</xdr:colOff>
      <xdr:row>0</xdr:row>
      <xdr:rowOff>156634</xdr:rowOff>
    </xdr:from>
    <xdr:ext cx="1181048" cy="426772"/>
    <xdr:pic>
      <xdr:nvPicPr>
        <xdr:cNvPr id="2" name="Imagen 1">
          <a:extLst>
            <a:ext uri="{FF2B5EF4-FFF2-40B4-BE49-F238E27FC236}">
              <a16:creationId xmlns:a16="http://schemas.microsoft.com/office/drawing/2014/main" id="{84AF79FA-06C1-4B8D-AB0C-D61560903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360" y="156634"/>
          <a:ext cx="1181048" cy="426772"/>
        </a:xfrm>
        <a:prstGeom prst="rect">
          <a:avLst/>
        </a:prstGeom>
      </xdr:spPr>
    </xdr:pic>
    <xdr:clientData/>
  </xdr:oneCellAnchor>
  <xdr:twoCellAnchor editAs="oneCell">
    <xdr:from>
      <xdr:col>8</xdr:col>
      <xdr:colOff>995362</xdr:colOff>
      <xdr:row>0</xdr:row>
      <xdr:rowOff>85724</xdr:rowOff>
    </xdr:from>
    <xdr:to>
      <xdr:col>9</xdr:col>
      <xdr:colOff>802005</xdr:colOff>
      <xdr:row>0</xdr:row>
      <xdr:rowOff>685800</xdr:rowOff>
    </xdr:to>
    <xdr:pic>
      <xdr:nvPicPr>
        <xdr:cNvPr id="3" name="Imagen 2" descr="Texto&#10;&#10;Descripción generada automáticamente con confianza media">
          <a:extLst>
            <a:ext uri="{FF2B5EF4-FFF2-40B4-BE49-F238E27FC236}">
              <a16:creationId xmlns:a16="http://schemas.microsoft.com/office/drawing/2014/main" id="{B14D26B4-2E70-44FE-B23B-A3E5208E2F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7613"/>
        <a:stretch>
          <a:fillRect/>
        </a:stretch>
      </xdr:blipFill>
      <xdr:spPr>
        <a:xfrm>
          <a:off x="11617642" y="85724"/>
          <a:ext cx="1223963" cy="60007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261937</xdr:colOff>
      <xdr:row>0</xdr:row>
      <xdr:rowOff>114302</xdr:rowOff>
    </xdr:from>
    <xdr:ext cx="1133452" cy="409573"/>
    <xdr:pic>
      <xdr:nvPicPr>
        <xdr:cNvPr id="2" name="Imagen 1">
          <a:extLst>
            <a:ext uri="{FF2B5EF4-FFF2-40B4-BE49-F238E27FC236}">
              <a16:creationId xmlns:a16="http://schemas.microsoft.com/office/drawing/2014/main" id="{82E930DE-69F1-44E7-BA60-6ECCAFFA2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7" y="114302"/>
          <a:ext cx="1133452" cy="409573"/>
        </a:xfrm>
        <a:prstGeom prst="rect">
          <a:avLst/>
        </a:prstGeom>
      </xdr:spPr>
    </xdr:pic>
    <xdr:clientData/>
  </xdr:oneCellAnchor>
  <xdr:twoCellAnchor editAs="oneCell">
    <xdr:from>
      <xdr:col>9</xdr:col>
      <xdr:colOff>179272</xdr:colOff>
      <xdr:row>0</xdr:row>
      <xdr:rowOff>83344</xdr:rowOff>
    </xdr:from>
    <xdr:to>
      <xdr:col>9</xdr:col>
      <xdr:colOff>1178717</xdr:colOff>
      <xdr:row>0</xdr:row>
      <xdr:rowOff>606398</xdr:rowOff>
    </xdr:to>
    <xdr:pic>
      <xdr:nvPicPr>
        <xdr:cNvPr id="3" name="Imagen 2" descr="Texto&#10;&#10;Descripción generada automáticamente con confianza media">
          <a:extLst>
            <a:ext uri="{FF2B5EF4-FFF2-40B4-BE49-F238E27FC236}">
              <a16:creationId xmlns:a16="http://schemas.microsoft.com/office/drawing/2014/main" id="{B41FB005-8B54-40AC-928F-9E2A0F64C4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57613"/>
        <a:stretch>
          <a:fillRect/>
        </a:stretch>
      </xdr:blipFill>
      <xdr:spPr>
        <a:xfrm>
          <a:off x="11205412" y="83344"/>
          <a:ext cx="999445" cy="52305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F1A9-7037-45E3-A7AE-B9097EC673FD}">
  <sheetPr>
    <pageSetUpPr fitToPage="1"/>
  </sheetPr>
  <dimension ref="A1:K573"/>
  <sheetViews>
    <sheetView tabSelected="1" view="pageBreakPreview" topLeftCell="A88" zoomScale="70" zoomScaleNormal="70" zoomScaleSheetLayoutView="70" workbookViewId="0">
      <selection activeCell="A100" sqref="A100:E100"/>
    </sheetView>
  </sheetViews>
  <sheetFormatPr baseColWidth="10" defaultColWidth="11.42578125" defaultRowHeight="14.25" outlineLevelRow="2"/>
  <cols>
    <col min="1" max="1" width="10.42578125" style="406" customWidth="1"/>
    <col min="2" max="2" width="80.85546875" style="406" customWidth="1"/>
    <col min="3" max="3" width="11.42578125" style="406" customWidth="1"/>
    <col min="4" max="4" width="15.42578125" style="814" bestFit="1" customWidth="1"/>
    <col min="5" max="5" width="23.7109375" style="815" customWidth="1"/>
    <col min="6" max="6" width="29.85546875" style="821" customWidth="1"/>
    <col min="7" max="16384" width="11.42578125" style="8"/>
  </cols>
  <sheetData>
    <row r="1" spans="1:8" ht="68.25" customHeight="1" thickBot="1">
      <c r="A1" s="825" t="s">
        <v>0</v>
      </c>
      <c r="B1" s="826"/>
      <c r="C1" s="826"/>
      <c r="D1" s="826"/>
      <c r="E1" s="826"/>
      <c r="F1" s="827"/>
    </row>
    <row r="2" spans="1:8" ht="6.75" customHeight="1" thickBot="1">
      <c r="A2" s="828"/>
      <c r="B2" s="829"/>
      <c r="C2" s="829"/>
      <c r="D2" s="829"/>
      <c r="E2" s="829"/>
      <c r="F2" s="830"/>
    </row>
    <row r="3" spans="1:8" ht="51.75" customHeight="1" thickBot="1">
      <c r="A3" s="825" t="s">
        <v>1035</v>
      </c>
      <c r="B3" s="826"/>
      <c r="C3" s="826"/>
      <c r="D3" s="826"/>
      <c r="E3" s="826"/>
      <c r="F3" s="827"/>
    </row>
    <row r="4" spans="1:8" ht="4.5" customHeight="1" thickBot="1">
      <c r="A4" s="831"/>
      <c r="B4" s="832"/>
      <c r="C4" s="832"/>
      <c r="D4" s="832"/>
      <c r="E4" s="832"/>
      <c r="F4" s="833"/>
    </row>
    <row r="5" spans="1:8" ht="36.75" customHeight="1">
      <c r="A5" s="429" t="s">
        <v>1</v>
      </c>
      <c r="B5" s="458" t="s">
        <v>2</v>
      </c>
      <c r="C5" s="459" t="s">
        <v>3</v>
      </c>
      <c r="D5" s="613" t="s">
        <v>4</v>
      </c>
      <c r="E5" s="460" t="s">
        <v>5</v>
      </c>
      <c r="F5" s="451" t="s">
        <v>6</v>
      </c>
    </row>
    <row r="6" spans="1:8" ht="30" customHeight="1">
      <c r="A6" s="430">
        <v>1</v>
      </c>
      <c r="B6" s="822" t="s">
        <v>7</v>
      </c>
      <c r="C6" s="823"/>
      <c r="D6" s="823"/>
      <c r="E6" s="824"/>
      <c r="F6" s="452">
        <f>+F7+F14+F16+F20+F18+F27+F31+F39+F42+F47</f>
        <v>0</v>
      </c>
    </row>
    <row r="7" spans="1:8" s="235" customFormat="1" ht="15.75" outlineLevel="1">
      <c r="A7" s="431" t="s">
        <v>8</v>
      </c>
      <c r="B7" s="420" t="s">
        <v>9</v>
      </c>
      <c r="C7" s="416"/>
      <c r="D7" s="614"/>
      <c r="E7" s="437"/>
      <c r="F7" s="453">
        <f>SUM(F8:F13)</f>
        <v>0</v>
      </c>
      <c r="G7" s="239"/>
      <c r="H7" s="239"/>
    </row>
    <row r="8" spans="1:8" s="235" customFormat="1" ht="179.25" customHeight="1" outlineLevel="2">
      <c r="A8" s="432" t="s">
        <v>10</v>
      </c>
      <c r="B8" s="421" t="s">
        <v>11</v>
      </c>
      <c r="C8" s="236" t="s">
        <v>12</v>
      </c>
      <c r="D8" s="464">
        <v>70</v>
      </c>
      <c r="E8" s="438"/>
      <c r="F8" s="454"/>
      <c r="G8" s="239"/>
      <c r="H8" s="240"/>
    </row>
    <row r="9" spans="1:8" s="235" customFormat="1" ht="124.5" customHeight="1" outlineLevel="2">
      <c r="A9" s="432" t="s">
        <v>13</v>
      </c>
      <c r="B9" s="421" t="s">
        <v>14</v>
      </c>
      <c r="C9" s="236" t="s">
        <v>15</v>
      </c>
      <c r="D9" s="464">
        <v>15</v>
      </c>
      <c r="E9" s="438"/>
      <c r="F9" s="454"/>
      <c r="G9" s="239"/>
      <c r="H9" s="240"/>
    </row>
    <row r="10" spans="1:8" s="235" customFormat="1" ht="87" customHeight="1" outlineLevel="2">
      <c r="A10" s="432" t="s">
        <v>16</v>
      </c>
      <c r="B10" s="421" t="s">
        <v>17</v>
      </c>
      <c r="C10" s="236" t="s">
        <v>15</v>
      </c>
      <c r="D10" s="464">
        <v>35</v>
      </c>
      <c r="E10" s="438"/>
      <c r="F10" s="454"/>
      <c r="G10" s="239"/>
      <c r="H10" s="240"/>
    </row>
    <row r="11" spans="1:8" s="235" customFormat="1" ht="75" outlineLevel="2">
      <c r="A11" s="432" t="s">
        <v>18</v>
      </c>
      <c r="B11" s="421" t="s">
        <v>19</v>
      </c>
      <c r="C11" s="236" t="s">
        <v>15</v>
      </c>
      <c r="D11" s="464">
        <v>18</v>
      </c>
      <c r="E11" s="438"/>
      <c r="F11" s="454"/>
      <c r="G11" s="239"/>
      <c r="H11" s="240"/>
    </row>
    <row r="12" spans="1:8" s="235" customFormat="1" ht="30" outlineLevel="2">
      <c r="A12" s="432" t="s">
        <v>20</v>
      </c>
      <c r="B12" s="421" t="s">
        <v>21</v>
      </c>
      <c r="C12" s="236" t="s">
        <v>12</v>
      </c>
      <c r="D12" s="464">
        <v>120</v>
      </c>
      <c r="E12" s="438"/>
      <c r="F12" s="454"/>
      <c r="G12" s="239"/>
      <c r="H12" s="240"/>
    </row>
    <row r="13" spans="1:8" s="235" customFormat="1" ht="30" outlineLevel="2">
      <c r="A13" s="432" t="s">
        <v>22</v>
      </c>
      <c r="B13" s="421" t="s">
        <v>23</v>
      </c>
      <c r="C13" s="236" t="s">
        <v>12</v>
      </c>
      <c r="D13" s="464">
        <v>70</v>
      </c>
      <c r="E13" s="438"/>
      <c r="F13" s="454"/>
      <c r="G13" s="239"/>
      <c r="H13" s="240"/>
    </row>
    <row r="14" spans="1:8" s="235" customFormat="1" ht="15.75" outlineLevel="1">
      <c r="A14" s="433" t="s">
        <v>24</v>
      </c>
      <c r="B14" s="420" t="s">
        <v>25</v>
      </c>
      <c r="C14" s="237"/>
      <c r="D14" s="615"/>
      <c r="E14" s="439"/>
      <c r="F14" s="453">
        <f>SUM(F15:F15)</f>
        <v>0</v>
      </c>
      <c r="G14" s="239"/>
      <c r="H14" s="240"/>
    </row>
    <row r="15" spans="1:8" s="235" customFormat="1" ht="60" outlineLevel="2">
      <c r="A15" s="434" t="s">
        <v>26</v>
      </c>
      <c r="B15" s="421" t="s">
        <v>27</v>
      </c>
      <c r="C15" s="236" t="s">
        <v>28</v>
      </c>
      <c r="D15" s="464">
        <v>9</v>
      </c>
      <c r="E15" s="438"/>
      <c r="F15" s="454"/>
      <c r="G15" s="239"/>
      <c r="H15" s="240"/>
    </row>
    <row r="16" spans="1:8" s="235" customFormat="1" ht="15.75" outlineLevel="1">
      <c r="A16" s="433" t="s">
        <v>29</v>
      </c>
      <c r="B16" s="422" t="s">
        <v>30</v>
      </c>
      <c r="C16" s="9"/>
      <c r="D16" s="616"/>
      <c r="E16" s="439"/>
      <c r="F16" s="453">
        <f>SUM(F17:F17)</f>
        <v>0</v>
      </c>
      <c r="G16" s="239"/>
      <c r="H16" s="240"/>
    </row>
    <row r="17" spans="1:8" s="235" customFormat="1" ht="104.25" customHeight="1" outlineLevel="2">
      <c r="A17" s="434" t="s">
        <v>31</v>
      </c>
      <c r="B17" s="423" t="s">
        <v>32</v>
      </c>
      <c r="C17" s="236" t="s">
        <v>15</v>
      </c>
      <c r="D17" s="464">
        <v>25</v>
      </c>
      <c r="E17" s="438"/>
      <c r="F17" s="454"/>
      <c r="G17" s="239"/>
      <c r="H17" s="240"/>
    </row>
    <row r="18" spans="1:8" s="235" customFormat="1" ht="15.75" outlineLevel="1">
      <c r="A18" s="433" t="s">
        <v>33</v>
      </c>
      <c r="B18" s="422" t="s">
        <v>34</v>
      </c>
      <c r="C18" s="9"/>
      <c r="D18" s="616"/>
      <c r="E18" s="439"/>
      <c r="F18" s="453">
        <f>SUM(F19:F19)</f>
        <v>0</v>
      </c>
      <c r="G18" s="239"/>
      <c r="H18" s="240"/>
    </row>
    <row r="19" spans="1:8" s="235" customFormat="1" ht="57" customHeight="1" outlineLevel="2">
      <c r="A19" s="432" t="s">
        <v>35</v>
      </c>
      <c r="B19" s="424" t="s">
        <v>36</v>
      </c>
      <c r="C19" s="236" t="s">
        <v>15</v>
      </c>
      <c r="D19" s="617">
        <v>41</v>
      </c>
      <c r="E19" s="438"/>
      <c r="F19" s="454"/>
      <c r="G19" s="239"/>
      <c r="H19" s="240"/>
    </row>
    <row r="20" spans="1:8" s="235" customFormat="1" ht="15.75" outlineLevel="1">
      <c r="A20" s="433" t="s">
        <v>37</v>
      </c>
      <c r="B20" s="425" t="s">
        <v>38</v>
      </c>
      <c r="C20" s="9"/>
      <c r="D20" s="616"/>
      <c r="E20" s="439"/>
      <c r="F20" s="453">
        <f>SUM(F21:F26)</f>
        <v>0</v>
      </c>
      <c r="G20" s="239"/>
      <c r="H20" s="240"/>
    </row>
    <row r="21" spans="1:8" s="235" customFormat="1" ht="55.5" customHeight="1" outlineLevel="2">
      <c r="A21" s="432" t="s">
        <v>39</v>
      </c>
      <c r="B21" s="421" t="s">
        <v>40</v>
      </c>
      <c r="C21" s="236" t="s">
        <v>15</v>
      </c>
      <c r="D21" s="464">
        <v>40</v>
      </c>
      <c r="E21" s="438"/>
      <c r="F21" s="454"/>
      <c r="G21" s="239"/>
      <c r="H21" s="240"/>
    </row>
    <row r="22" spans="1:8" s="235" customFormat="1" ht="90" outlineLevel="2">
      <c r="A22" s="432" t="s">
        <v>41</v>
      </c>
      <c r="B22" s="423" t="s">
        <v>42</v>
      </c>
      <c r="C22" s="236" t="s">
        <v>15</v>
      </c>
      <c r="D22" s="464">
        <v>120</v>
      </c>
      <c r="E22" s="438"/>
      <c r="F22" s="454"/>
      <c r="G22" s="239"/>
      <c r="H22" s="240"/>
    </row>
    <row r="23" spans="1:8" s="235" customFormat="1" ht="141.75" customHeight="1" outlineLevel="2">
      <c r="A23" s="432" t="s">
        <v>43</v>
      </c>
      <c r="B23" s="421" t="s">
        <v>44</v>
      </c>
      <c r="C23" s="236" t="s">
        <v>15</v>
      </c>
      <c r="D23" s="464">
        <v>168</v>
      </c>
      <c r="E23" s="438"/>
      <c r="F23" s="454"/>
      <c r="G23" s="239"/>
      <c r="H23" s="240"/>
    </row>
    <row r="24" spans="1:8" s="235" customFormat="1" ht="126.75" customHeight="1" outlineLevel="2">
      <c r="A24" s="432" t="s">
        <v>45</v>
      </c>
      <c r="B24" s="421" t="s">
        <v>46</v>
      </c>
      <c r="C24" s="236" t="s">
        <v>15</v>
      </c>
      <c r="D24" s="464">
        <v>260</v>
      </c>
      <c r="E24" s="438"/>
      <c r="F24" s="454"/>
      <c r="G24" s="239"/>
      <c r="H24" s="240"/>
    </row>
    <row r="25" spans="1:8" s="235" customFormat="1" ht="38.25" customHeight="1" outlineLevel="2">
      <c r="A25" s="432" t="s">
        <v>47</v>
      </c>
      <c r="B25" s="421" t="s">
        <v>48</v>
      </c>
      <c r="C25" s="236" t="s">
        <v>12</v>
      </c>
      <c r="D25" s="618">
        <v>60</v>
      </c>
      <c r="E25" s="438"/>
      <c r="F25" s="454"/>
      <c r="G25" s="239"/>
      <c r="H25" s="240"/>
    </row>
    <row r="26" spans="1:8" s="235" customFormat="1" ht="37.5" customHeight="1" outlineLevel="2">
      <c r="A26" s="432" t="s">
        <v>49</v>
      </c>
      <c r="B26" s="421" t="s">
        <v>50</v>
      </c>
      <c r="C26" s="236" t="s">
        <v>15</v>
      </c>
      <c r="D26" s="464">
        <v>96</v>
      </c>
      <c r="E26" s="438"/>
      <c r="F26" s="454"/>
      <c r="G26" s="239"/>
      <c r="H26" s="240"/>
    </row>
    <row r="27" spans="1:8" s="235" customFormat="1" ht="15.75" outlineLevel="1">
      <c r="A27" s="433" t="s">
        <v>51</v>
      </c>
      <c r="B27" s="425" t="s">
        <v>52</v>
      </c>
      <c r="C27" s="9"/>
      <c r="D27" s="616"/>
      <c r="E27" s="439"/>
      <c r="F27" s="453">
        <f>SUM(F28:F30)</f>
        <v>0</v>
      </c>
      <c r="G27" s="239"/>
      <c r="H27" s="240"/>
    </row>
    <row r="28" spans="1:8" s="235" customFormat="1" ht="57.75" customHeight="1" outlineLevel="2">
      <c r="A28" s="432" t="s">
        <v>53</v>
      </c>
      <c r="B28" s="423" t="s">
        <v>54</v>
      </c>
      <c r="C28" s="236" t="s">
        <v>55</v>
      </c>
      <c r="D28" s="618">
        <v>55</v>
      </c>
      <c r="E28" s="438"/>
      <c r="F28" s="454"/>
      <c r="G28" s="239"/>
      <c r="H28" s="240"/>
    </row>
    <row r="29" spans="1:8" s="235" customFormat="1" ht="66.75" customHeight="1" outlineLevel="2">
      <c r="A29" s="432" t="s">
        <v>56</v>
      </c>
      <c r="B29" s="421" t="s">
        <v>57</v>
      </c>
      <c r="C29" s="236" t="s">
        <v>12</v>
      </c>
      <c r="D29" s="464">
        <v>35</v>
      </c>
      <c r="E29" s="440"/>
      <c r="F29" s="454"/>
      <c r="G29" s="239"/>
      <c r="H29" s="240"/>
    </row>
    <row r="30" spans="1:8" s="235" customFormat="1" ht="90" outlineLevel="2">
      <c r="A30" s="432" t="s">
        <v>58</v>
      </c>
      <c r="B30" s="421" t="s">
        <v>59</v>
      </c>
      <c r="C30" s="236" t="s">
        <v>55</v>
      </c>
      <c r="D30" s="618">
        <v>3</v>
      </c>
      <c r="E30" s="438"/>
      <c r="F30" s="454"/>
      <c r="G30" s="239"/>
      <c r="H30" s="240"/>
    </row>
    <row r="31" spans="1:8" s="238" customFormat="1" ht="15.75" outlineLevel="1">
      <c r="A31" s="433" t="s">
        <v>60</v>
      </c>
      <c r="B31" s="425" t="s">
        <v>61</v>
      </c>
      <c r="C31" s="9"/>
      <c r="D31" s="616"/>
      <c r="E31" s="439"/>
      <c r="F31" s="453">
        <f>SUM(F32:F38)</f>
        <v>0</v>
      </c>
      <c r="G31" s="239"/>
      <c r="H31" s="240"/>
    </row>
    <row r="32" spans="1:8" s="235" customFormat="1" ht="85.5" customHeight="1" outlineLevel="2">
      <c r="A32" s="432" t="s">
        <v>62</v>
      </c>
      <c r="B32" s="421" t="s">
        <v>63</v>
      </c>
      <c r="C32" s="236" t="s">
        <v>15</v>
      </c>
      <c r="D32" s="618">
        <v>65</v>
      </c>
      <c r="E32" s="438"/>
      <c r="F32" s="454"/>
      <c r="G32" s="239"/>
      <c r="H32" s="240"/>
    </row>
    <row r="33" spans="1:8" s="235" customFormat="1" ht="111.75" customHeight="1" outlineLevel="2">
      <c r="A33" s="432" t="s">
        <v>64</v>
      </c>
      <c r="B33" s="423" t="s">
        <v>65</v>
      </c>
      <c r="C33" s="236" t="s">
        <v>15</v>
      </c>
      <c r="D33" s="464">
        <v>355</v>
      </c>
      <c r="E33" s="438"/>
      <c r="F33" s="454"/>
      <c r="G33" s="239"/>
      <c r="H33" s="240"/>
    </row>
    <row r="34" spans="1:8" s="235" customFormat="1" ht="90" outlineLevel="2">
      <c r="A34" s="432" t="s">
        <v>66</v>
      </c>
      <c r="B34" s="421" t="s">
        <v>67</v>
      </c>
      <c r="C34" s="236" t="s">
        <v>12</v>
      </c>
      <c r="D34" s="464">
        <v>86</v>
      </c>
      <c r="E34" s="438"/>
      <c r="F34" s="454"/>
      <c r="G34" s="239"/>
      <c r="H34" s="240"/>
    </row>
    <row r="35" spans="1:8" s="235" customFormat="1" ht="53.25" customHeight="1" outlineLevel="2">
      <c r="A35" s="432" t="s">
        <v>68</v>
      </c>
      <c r="B35" s="421" t="s">
        <v>69</v>
      </c>
      <c r="C35" s="236" t="s">
        <v>70</v>
      </c>
      <c r="D35" s="464">
        <v>91</v>
      </c>
      <c r="E35" s="438"/>
      <c r="F35" s="454"/>
      <c r="G35" s="239"/>
      <c r="H35" s="240"/>
    </row>
    <row r="36" spans="1:8" s="235" customFormat="1" ht="84.75" customHeight="1" outlineLevel="2">
      <c r="A36" s="432" t="s">
        <v>71</v>
      </c>
      <c r="B36" s="421" t="s">
        <v>72</v>
      </c>
      <c r="C36" s="236" t="s">
        <v>12</v>
      </c>
      <c r="D36" s="618">
        <v>94</v>
      </c>
      <c r="E36" s="438"/>
      <c r="F36" s="454"/>
      <c r="G36" s="239"/>
      <c r="H36" s="240"/>
    </row>
    <row r="37" spans="1:8" s="235" customFormat="1" ht="100.5" customHeight="1" outlineLevel="2">
      <c r="A37" s="432" t="s">
        <v>73</v>
      </c>
      <c r="B37" s="421" t="s">
        <v>74</v>
      </c>
      <c r="C37" s="415" t="s">
        <v>15</v>
      </c>
      <c r="D37" s="464">
        <v>167.8</v>
      </c>
      <c r="E37" s="440"/>
      <c r="F37" s="454"/>
      <c r="G37" s="239"/>
      <c r="H37" s="240"/>
    </row>
    <row r="38" spans="1:8" s="235" customFormat="1" ht="45" customHeight="1" outlineLevel="2">
      <c r="A38" s="432" t="s">
        <v>75</v>
      </c>
      <c r="B38" s="423" t="s">
        <v>76</v>
      </c>
      <c r="C38" s="415" t="s">
        <v>12</v>
      </c>
      <c r="D38" s="464">
        <v>104</v>
      </c>
      <c r="E38" s="440"/>
      <c r="F38" s="454"/>
      <c r="G38" s="239"/>
      <c r="H38" s="240"/>
    </row>
    <row r="39" spans="1:8" s="235" customFormat="1" ht="15.75" outlineLevel="1">
      <c r="A39" s="433" t="s">
        <v>77</v>
      </c>
      <c r="B39" s="422" t="s">
        <v>78</v>
      </c>
      <c r="C39" s="9"/>
      <c r="D39" s="616"/>
      <c r="E39" s="439"/>
      <c r="F39" s="453">
        <f>SUM(F40:F41)</f>
        <v>0</v>
      </c>
      <c r="G39" s="239"/>
      <c r="H39" s="240"/>
    </row>
    <row r="40" spans="1:8" s="235" customFormat="1" ht="57.75" customHeight="1" outlineLevel="2">
      <c r="A40" s="432" t="s">
        <v>79</v>
      </c>
      <c r="B40" s="421" t="s">
        <v>80</v>
      </c>
      <c r="C40" s="236" t="s">
        <v>15</v>
      </c>
      <c r="D40" s="618">
        <v>64</v>
      </c>
      <c r="E40" s="438"/>
      <c r="F40" s="454"/>
      <c r="G40" s="239"/>
      <c r="H40" s="240"/>
    </row>
    <row r="41" spans="1:8" s="235" customFormat="1" ht="40.5" customHeight="1" outlineLevel="2">
      <c r="A41" s="432" t="s">
        <v>81</v>
      </c>
      <c r="B41" s="421" t="s">
        <v>82</v>
      </c>
      <c r="C41" s="236" t="s">
        <v>15</v>
      </c>
      <c r="D41" s="464">
        <v>77</v>
      </c>
      <c r="E41" s="438"/>
      <c r="F41" s="454"/>
      <c r="G41" s="239"/>
      <c r="H41" s="240"/>
    </row>
    <row r="42" spans="1:8" s="235" customFormat="1" ht="15.75" outlineLevel="1">
      <c r="A42" s="435">
        <v>1.9</v>
      </c>
      <c r="B42" s="425" t="s">
        <v>83</v>
      </c>
      <c r="C42" s="9"/>
      <c r="D42" s="616"/>
      <c r="E42" s="439"/>
      <c r="F42" s="453">
        <f>SUM(F43:F46)</f>
        <v>0</v>
      </c>
      <c r="G42" s="239"/>
      <c r="H42" s="240"/>
    </row>
    <row r="43" spans="1:8" s="235" customFormat="1" ht="75.75" customHeight="1" outlineLevel="1">
      <c r="A43" s="434" t="s">
        <v>84</v>
      </c>
      <c r="B43" s="421" t="s">
        <v>85</v>
      </c>
      <c r="C43" s="236" t="s">
        <v>12</v>
      </c>
      <c r="D43" s="619">
        <v>60</v>
      </c>
      <c r="E43" s="441"/>
      <c r="F43" s="454"/>
      <c r="G43" s="239"/>
      <c r="H43" s="240"/>
    </row>
    <row r="44" spans="1:8" s="235" customFormat="1" ht="96.75" customHeight="1" outlineLevel="1">
      <c r="A44" s="434" t="s">
        <v>86</v>
      </c>
      <c r="B44" s="421" t="s">
        <v>87</v>
      </c>
      <c r="C44" s="236" t="s">
        <v>28</v>
      </c>
      <c r="D44" s="464">
        <v>4</v>
      </c>
      <c r="E44" s="438"/>
      <c r="F44" s="454"/>
      <c r="G44" s="239"/>
      <c r="H44" s="240"/>
    </row>
    <row r="45" spans="1:8" s="235" customFormat="1" ht="20.25" customHeight="1" outlineLevel="1">
      <c r="A45" s="434" t="s">
        <v>88</v>
      </c>
      <c r="B45" s="421" t="s">
        <v>89</v>
      </c>
      <c r="C45" s="236" t="s">
        <v>55</v>
      </c>
      <c r="D45" s="464">
        <v>4</v>
      </c>
      <c r="E45" s="441"/>
      <c r="F45" s="454"/>
      <c r="G45" s="239"/>
      <c r="H45" s="240"/>
    </row>
    <row r="46" spans="1:8" s="235" customFormat="1" ht="45.75" customHeight="1" outlineLevel="1">
      <c r="A46" s="434" t="s">
        <v>90</v>
      </c>
      <c r="B46" s="421" t="s">
        <v>91</v>
      </c>
      <c r="C46" s="236" t="s">
        <v>15</v>
      </c>
      <c r="D46" s="464">
        <v>20</v>
      </c>
      <c r="E46" s="441"/>
      <c r="F46" s="454"/>
      <c r="G46" s="239"/>
      <c r="H46" s="240"/>
    </row>
    <row r="47" spans="1:8" s="235" customFormat="1" ht="15.75" outlineLevel="1">
      <c r="A47" s="801">
        <v>1.1000000000000001</v>
      </c>
      <c r="B47" s="425" t="s">
        <v>92</v>
      </c>
      <c r="C47" s="9"/>
      <c r="D47" s="616"/>
      <c r="E47" s="439"/>
      <c r="F47" s="453">
        <f>SUM(F48:F54)</f>
        <v>0</v>
      </c>
      <c r="G47" s="239"/>
      <c r="H47" s="240"/>
    </row>
    <row r="48" spans="1:8" s="235" customFormat="1" ht="63" customHeight="1" outlineLevel="1">
      <c r="A48" s="434" t="s">
        <v>93</v>
      </c>
      <c r="B48" s="423" t="s">
        <v>94</v>
      </c>
      <c r="C48" s="236" t="s">
        <v>55</v>
      </c>
      <c r="D48" s="464">
        <v>10</v>
      </c>
      <c r="E48" s="441"/>
      <c r="F48" s="454"/>
      <c r="G48" s="239"/>
      <c r="H48" s="240"/>
    </row>
    <row r="49" spans="1:11" s="235" customFormat="1" ht="60" customHeight="1" outlineLevel="1">
      <c r="A49" s="434" t="s">
        <v>95</v>
      </c>
      <c r="B49" s="423" t="s">
        <v>96</v>
      </c>
      <c r="C49" s="236" t="s">
        <v>55</v>
      </c>
      <c r="D49" s="464">
        <v>6</v>
      </c>
      <c r="E49" s="441"/>
      <c r="F49" s="454"/>
      <c r="G49" s="239"/>
      <c r="H49" s="240"/>
    </row>
    <row r="50" spans="1:11" s="235" customFormat="1" ht="55.5" customHeight="1" outlineLevel="1">
      <c r="A50" s="434" t="s">
        <v>97</v>
      </c>
      <c r="B50" s="423" t="s">
        <v>98</v>
      </c>
      <c r="C50" s="236" t="s">
        <v>55</v>
      </c>
      <c r="D50" s="464">
        <v>10</v>
      </c>
      <c r="E50" s="441"/>
      <c r="F50" s="454"/>
      <c r="G50" s="239"/>
      <c r="H50" s="240"/>
    </row>
    <row r="51" spans="1:11" s="235" customFormat="1" ht="53.25" customHeight="1" outlineLevel="1">
      <c r="A51" s="434" t="s">
        <v>99</v>
      </c>
      <c r="B51" s="423" t="s">
        <v>100</v>
      </c>
      <c r="C51" s="236" t="s">
        <v>55</v>
      </c>
      <c r="D51" s="464">
        <v>8</v>
      </c>
      <c r="E51" s="441"/>
      <c r="F51" s="454"/>
      <c r="G51" s="239"/>
      <c r="H51" s="240"/>
    </row>
    <row r="52" spans="1:11" s="235" customFormat="1" ht="38.25" customHeight="1" outlineLevel="1">
      <c r="A52" s="434" t="s">
        <v>101</v>
      </c>
      <c r="B52" s="423" t="s">
        <v>102</v>
      </c>
      <c r="C52" s="236" t="s">
        <v>55</v>
      </c>
      <c r="D52" s="464">
        <v>1</v>
      </c>
      <c r="E52" s="441"/>
      <c r="F52" s="454"/>
      <c r="G52" s="239"/>
      <c r="H52" s="240"/>
    </row>
    <row r="53" spans="1:11" s="235" customFormat="1" ht="37.5" customHeight="1" outlineLevel="1">
      <c r="A53" s="434" t="s">
        <v>103</v>
      </c>
      <c r="B53" s="423" t="s">
        <v>104</v>
      </c>
      <c r="C53" s="236" t="s">
        <v>55</v>
      </c>
      <c r="D53" s="464">
        <v>1</v>
      </c>
      <c r="E53" s="441"/>
      <c r="F53" s="454"/>
      <c r="G53" s="239"/>
      <c r="H53" s="240"/>
    </row>
    <row r="54" spans="1:11" s="235" customFormat="1" ht="57.75" customHeight="1" outlineLevel="1">
      <c r="A54" s="434" t="s">
        <v>105</v>
      </c>
      <c r="B54" s="423" t="s">
        <v>106</v>
      </c>
      <c r="C54" s="236" t="s">
        <v>55</v>
      </c>
      <c r="D54" s="464">
        <v>4</v>
      </c>
      <c r="E54" s="441"/>
      <c r="F54" s="454"/>
      <c r="G54" s="239"/>
      <c r="H54" s="240"/>
    </row>
    <row r="55" spans="1:11" ht="23.25" customHeight="1">
      <c r="A55" s="430">
        <v>2</v>
      </c>
      <c r="B55" s="822" t="s">
        <v>107</v>
      </c>
      <c r="C55" s="823"/>
      <c r="D55" s="823"/>
      <c r="E55" s="824"/>
      <c r="F55" s="452">
        <f>+F56</f>
        <v>0</v>
      </c>
    </row>
    <row r="56" spans="1:11" ht="24.75" customHeight="1" outlineLevel="1">
      <c r="A56" s="431" t="s">
        <v>108</v>
      </c>
      <c r="B56" s="426" t="s">
        <v>9</v>
      </c>
      <c r="C56" s="417"/>
      <c r="D56" s="620"/>
      <c r="E56" s="442"/>
      <c r="F56" s="455">
        <f>SUM(F57:F80)</f>
        <v>0</v>
      </c>
    </row>
    <row r="57" spans="1:11" ht="37.5" customHeight="1" outlineLevel="2">
      <c r="A57" s="432" t="s">
        <v>109</v>
      </c>
      <c r="B57" s="421" t="s">
        <v>21</v>
      </c>
      <c r="C57" s="236" t="s">
        <v>12</v>
      </c>
      <c r="D57" s="621">
        <v>59.9</v>
      </c>
      <c r="E57" s="443"/>
      <c r="F57" s="454"/>
      <c r="G57" s="10"/>
      <c r="H57" s="10"/>
      <c r="I57" s="10"/>
      <c r="J57" s="10"/>
      <c r="K57" s="10"/>
    </row>
    <row r="58" spans="1:11" ht="87" customHeight="1" outlineLevel="2">
      <c r="A58" s="432" t="s">
        <v>110</v>
      </c>
      <c r="B58" s="421" t="s">
        <v>111</v>
      </c>
      <c r="C58" s="236" t="s">
        <v>28</v>
      </c>
      <c r="D58" s="622">
        <v>15</v>
      </c>
      <c r="E58" s="443"/>
      <c r="F58" s="454"/>
    </row>
    <row r="59" spans="1:11" ht="70.5" customHeight="1" outlineLevel="2">
      <c r="A59" s="432" t="s">
        <v>112</v>
      </c>
      <c r="B59" s="421" t="s">
        <v>113</v>
      </c>
      <c r="C59" s="236" t="s">
        <v>15</v>
      </c>
      <c r="D59" s="622">
        <v>90</v>
      </c>
      <c r="E59" s="443"/>
      <c r="F59" s="454"/>
    </row>
    <row r="60" spans="1:11" ht="81.75" customHeight="1" outlineLevel="2">
      <c r="A60" s="432" t="s">
        <v>114</v>
      </c>
      <c r="B60" s="421" t="s">
        <v>115</v>
      </c>
      <c r="C60" s="236" t="s">
        <v>12</v>
      </c>
      <c r="D60" s="622">
        <v>50</v>
      </c>
      <c r="E60" s="444"/>
      <c r="F60" s="454"/>
    </row>
    <row r="61" spans="1:11" ht="87.75" customHeight="1" outlineLevel="2">
      <c r="A61" s="432" t="s">
        <v>116</v>
      </c>
      <c r="B61" s="421" t="s">
        <v>17</v>
      </c>
      <c r="C61" s="236" t="s">
        <v>15</v>
      </c>
      <c r="D61" s="622">
        <v>10</v>
      </c>
      <c r="E61" s="444"/>
      <c r="F61" s="454"/>
    </row>
    <row r="62" spans="1:11" ht="123" customHeight="1" outlineLevel="2">
      <c r="A62" s="432" t="s">
        <v>117</v>
      </c>
      <c r="B62" s="421" t="s">
        <v>118</v>
      </c>
      <c r="C62" s="236" t="s">
        <v>28</v>
      </c>
      <c r="D62" s="622">
        <v>7</v>
      </c>
      <c r="E62" s="444"/>
      <c r="F62" s="454"/>
    </row>
    <row r="63" spans="1:11" ht="70.5" customHeight="1" outlineLevel="2">
      <c r="A63" s="432" t="s">
        <v>119</v>
      </c>
      <c r="B63" s="421" t="s">
        <v>120</v>
      </c>
      <c r="C63" s="236" t="s">
        <v>15</v>
      </c>
      <c r="D63" s="621">
        <v>14</v>
      </c>
      <c r="E63" s="444"/>
      <c r="F63" s="454"/>
      <c r="G63" s="10"/>
      <c r="H63" s="10"/>
      <c r="I63" s="10"/>
      <c r="J63" s="10"/>
      <c r="K63" s="10"/>
    </row>
    <row r="64" spans="1:11" ht="68.25" customHeight="1" outlineLevel="2">
      <c r="A64" s="432" t="s">
        <v>121</v>
      </c>
      <c r="B64" s="421" t="s">
        <v>122</v>
      </c>
      <c r="C64" s="236" t="s">
        <v>15</v>
      </c>
      <c r="D64" s="621">
        <v>80</v>
      </c>
      <c r="E64" s="444"/>
      <c r="F64" s="454"/>
    </row>
    <row r="65" spans="1:11" ht="129.75" customHeight="1" outlineLevel="2">
      <c r="A65" s="432" t="s">
        <v>123</v>
      </c>
      <c r="B65" s="421" t="s">
        <v>124</v>
      </c>
      <c r="C65" s="236" t="s">
        <v>15</v>
      </c>
      <c r="D65" s="621">
        <v>190</v>
      </c>
      <c r="E65" s="444"/>
      <c r="F65" s="454"/>
    </row>
    <row r="66" spans="1:11" ht="139.5" customHeight="1" outlineLevel="2">
      <c r="A66" s="432" t="s">
        <v>125</v>
      </c>
      <c r="B66" s="421" t="s">
        <v>126</v>
      </c>
      <c r="C66" s="236" t="s">
        <v>15</v>
      </c>
      <c r="D66" s="621">
        <v>110</v>
      </c>
      <c r="E66" s="443"/>
      <c r="F66" s="454"/>
      <c r="G66" s="10"/>
      <c r="H66" s="10"/>
      <c r="I66" s="10"/>
      <c r="J66" s="10"/>
      <c r="K66" s="10"/>
    </row>
    <row r="67" spans="1:11" ht="150" customHeight="1" outlineLevel="2">
      <c r="A67" s="432" t="s">
        <v>127</v>
      </c>
      <c r="B67" s="421" t="s">
        <v>128</v>
      </c>
      <c r="C67" s="236" t="s">
        <v>15</v>
      </c>
      <c r="D67" s="621">
        <v>130</v>
      </c>
      <c r="E67" s="443"/>
      <c r="F67" s="454"/>
      <c r="G67" s="10"/>
      <c r="H67" s="10"/>
      <c r="I67" s="10"/>
      <c r="J67" s="10"/>
      <c r="K67" s="10"/>
    </row>
    <row r="68" spans="1:11" ht="59.25" customHeight="1" outlineLevel="2">
      <c r="A68" s="432" t="s">
        <v>129</v>
      </c>
      <c r="B68" s="427" t="s">
        <v>130</v>
      </c>
      <c r="C68" s="418" t="s">
        <v>55</v>
      </c>
      <c r="D68" s="621">
        <v>35</v>
      </c>
      <c r="E68" s="445"/>
      <c r="F68" s="454"/>
    </row>
    <row r="69" spans="1:11" ht="85.5" customHeight="1" outlineLevel="2">
      <c r="A69" s="432" t="s">
        <v>131</v>
      </c>
      <c r="B69" s="427" t="s">
        <v>132</v>
      </c>
      <c r="C69" s="418" t="s">
        <v>55</v>
      </c>
      <c r="D69" s="621">
        <v>12</v>
      </c>
      <c r="E69" s="445"/>
      <c r="F69" s="454"/>
      <c r="G69" s="10"/>
      <c r="H69" s="10"/>
      <c r="I69" s="10"/>
      <c r="J69" s="10"/>
      <c r="K69" s="10"/>
    </row>
    <row r="70" spans="1:11" ht="120" outlineLevel="2">
      <c r="A70" s="432" t="s">
        <v>133</v>
      </c>
      <c r="B70" s="421" t="s">
        <v>134</v>
      </c>
      <c r="C70" s="236" t="s">
        <v>12</v>
      </c>
      <c r="D70" s="621">
        <v>60</v>
      </c>
      <c r="E70" s="443"/>
      <c r="F70" s="454"/>
      <c r="G70" s="10"/>
      <c r="H70" s="10"/>
      <c r="I70" s="10"/>
      <c r="J70" s="10"/>
      <c r="K70" s="10"/>
    </row>
    <row r="71" spans="1:11" ht="95.25" customHeight="1" outlineLevel="2">
      <c r="A71" s="432" t="s">
        <v>135</v>
      </c>
      <c r="B71" s="421" t="s">
        <v>67</v>
      </c>
      <c r="C71" s="236" t="s">
        <v>12</v>
      </c>
      <c r="D71" s="621">
        <v>50</v>
      </c>
      <c r="E71" s="444"/>
      <c r="F71" s="454"/>
    </row>
    <row r="72" spans="1:11" ht="87" customHeight="1" outlineLevel="2">
      <c r="A72" s="432" t="s">
        <v>136</v>
      </c>
      <c r="B72" s="421" t="s">
        <v>137</v>
      </c>
      <c r="C72" s="236" t="s">
        <v>12</v>
      </c>
      <c r="D72" s="621">
        <v>70</v>
      </c>
      <c r="E72" s="443"/>
      <c r="F72" s="454"/>
      <c r="G72" s="10"/>
      <c r="H72" s="10"/>
      <c r="I72" s="10"/>
      <c r="J72" s="10"/>
      <c r="K72" s="10"/>
    </row>
    <row r="73" spans="1:11" ht="39.75" customHeight="1" outlineLevel="2">
      <c r="A73" s="432" t="s">
        <v>138</v>
      </c>
      <c r="B73" s="427" t="s">
        <v>139</v>
      </c>
      <c r="C73" s="418" t="s">
        <v>15</v>
      </c>
      <c r="D73" s="621">
        <v>320</v>
      </c>
      <c r="E73" s="446"/>
      <c r="F73" s="454"/>
      <c r="G73" s="10"/>
      <c r="H73" s="10"/>
      <c r="I73" s="10"/>
      <c r="J73" s="10"/>
      <c r="K73" s="10"/>
    </row>
    <row r="74" spans="1:11" ht="57" customHeight="1" outlineLevel="2">
      <c r="A74" s="432" t="s">
        <v>140</v>
      </c>
      <c r="B74" s="427" t="s">
        <v>141</v>
      </c>
      <c r="C74" s="418" t="s">
        <v>15</v>
      </c>
      <c r="D74" s="621">
        <v>140</v>
      </c>
      <c r="E74" s="446"/>
      <c r="F74" s="454"/>
      <c r="G74" s="10"/>
      <c r="H74" s="10"/>
      <c r="I74" s="10"/>
      <c r="J74" s="10"/>
      <c r="K74" s="10"/>
    </row>
    <row r="75" spans="1:11" ht="39.75" customHeight="1" outlineLevel="2">
      <c r="A75" s="432" t="s">
        <v>142</v>
      </c>
      <c r="B75" s="421" t="s">
        <v>82</v>
      </c>
      <c r="C75" s="236" t="s">
        <v>15</v>
      </c>
      <c r="D75" s="622">
        <v>110</v>
      </c>
      <c r="E75" s="444"/>
      <c r="F75" s="454"/>
    </row>
    <row r="76" spans="1:11" ht="75.75" customHeight="1" outlineLevel="2">
      <c r="A76" s="432" t="s">
        <v>143</v>
      </c>
      <c r="B76" s="421" t="s">
        <v>144</v>
      </c>
      <c r="C76" s="236" t="s">
        <v>145</v>
      </c>
      <c r="D76" s="622">
        <v>90</v>
      </c>
      <c r="E76" s="444"/>
      <c r="F76" s="454"/>
    </row>
    <row r="77" spans="1:11" ht="177" customHeight="1" outlineLevel="2">
      <c r="A77" s="432" t="s">
        <v>146</v>
      </c>
      <c r="B77" s="423" t="s">
        <v>147</v>
      </c>
      <c r="C77" s="236" t="s">
        <v>55</v>
      </c>
      <c r="D77" s="622">
        <v>1</v>
      </c>
      <c r="E77" s="444"/>
      <c r="F77" s="454"/>
    </row>
    <row r="78" spans="1:11" ht="70.5" customHeight="1" outlineLevel="2">
      <c r="A78" s="432" t="s">
        <v>148</v>
      </c>
      <c r="B78" s="421" t="s">
        <v>149</v>
      </c>
      <c r="C78" s="236" t="s">
        <v>15</v>
      </c>
      <c r="D78" s="622">
        <v>800</v>
      </c>
      <c r="E78" s="445"/>
      <c r="F78" s="454"/>
    </row>
    <row r="79" spans="1:11" ht="42" customHeight="1" outlineLevel="2">
      <c r="A79" s="432" t="s">
        <v>150</v>
      </c>
      <c r="B79" s="421" t="s">
        <v>151</v>
      </c>
      <c r="C79" s="236" t="s">
        <v>12</v>
      </c>
      <c r="D79" s="622">
        <v>260</v>
      </c>
      <c r="E79" s="446"/>
      <c r="F79" s="454"/>
    </row>
    <row r="80" spans="1:11" ht="44.25" customHeight="1" outlineLevel="1">
      <c r="A80" s="432" t="s">
        <v>152</v>
      </c>
      <c r="B80" s="421" t="s">
        <v>153</v>
      </c>
      <c r="C80" s="236" t="s">
        <v>12</v>
      </c>
      <c r="D80" s="621">
        <v>260</v>
      </c>
      <c r="E80" s="443"/>
      <c r="F80" s="454"/>
      <c r="G80" s="10"/>
      <c r="H80" s="10"/>
      <c r="I80" s="10"/>
      <c r="J80" s="10"/>
      <c r="K80" s="10"/>
    </row>
    <row r="81" spans="1:6" ht="18">
      <c r="A81" s="430">
        <v>3</v>
      </c>
      <c r="B81" s="822" t="s">
        <v>154</v>
      </c>
      <c r="C81" s="823"/>
      <c r="D81" s="823"/>
      <c r="E81" s="824"/>
      <c r="F81" s="452">
        <f>+F82+F89+F94</f>
        <v>0</v>
      </c>
    </row>
    <row r="82" spans="1:6" s="235" customFormat="1" ht="25.5" customHeight="1" outlineLevel="1">
      <c r="A82" s="435" t="s">
        <v>155</v>
      </c>
      <c r="B82" s="422" t="s">
        <v>38</v>
      </c>
      <c r="C82" s="9"/>
      <c r="D82" s="623"/>
      <c r="E82" s="447"/>
      <c r="F82" s="456">
        <f>SUM(F83:F88)</f>
        <v>0</v>
      </c>
    </row>
    <row r="83" spans="1:6" s="235" customFormat="1" ht="53.25" customHeight="1" outlineLevel="2">
      <c r="A83" s="432" t="s">
        <v>156</v>
      </c>
      <c r="B83" s="421" t="s">
        <v>36</v>
      </c>
      <c r="C83" s="236" t="s">
        <v>15</v>
      </c>
      <c r="D83" s="464">
        <v>8.5</v>
      </c>
      <c r="E83" s="448"/>
      <c r="F83" s="454"/>
    </row>
    <row r="84" spans="1:6" s="235" customFormat="1" ht="104.25" customHeight="1" outlineLevel="2">
      <c r="A84" s="432" t="s">
        <v>157</v>
      </c>
      <c r="B84" s="421" t="s">
        <v>158</v>
      </c>
      <c r="C84" s="236" t="s">
        <v>15</v>
      </c>
      <c r="D84" s="464">
        <v>112</v>
      </c>
      <c r="E84" s="448"/>
      <c r="F84" s="454"/>
    </row>
    <row r="85" spans="1:6" s="235" customFormat="1" ht="135" customHeight="1" outlineLevel="2">
      <c r="A85" s="432" t="s">
        <v>159</v>
      </c>
      <c r="B85" s="421" t="s">
        <v>160</v>
      </c>
      <c r="C85" s="236" t="s">
        <v>15</v>
      </c>
      <c r="D85" s="618">
        <v>334</v>
      </c>
      <c r="E85" s="448"/>
      <c r="F85" s="454"/>
    </row>
    <row r="86" spans="1:6" s="235" customFormat="1" ht="40.5" customHeight="1" outlineLevel="2">
      <c r="A86" s="432" t="s">
        <v>161</v>
      </c>
      <c r="B86" s="423" t="s">
        <v>162</v>
      </c>
      <c r="C86" s="236" t="s">
        <v>55</v>
      </c>
      <c r="D86" s="464">
        <v>2</v>
      </c>
      <c r="E86" s="448"/>
      <c r="F86" s="454"/>
    </row>
    <row r="87" spans="1:6" s="235" customFormat="1" ht="37.5" customHeight="1" outlineLevel="2">
      <c r="A87" s="432" t="s">
        <v>163</v>
      </c>
      <c r="B87" s="423" t="s">
        <v>50</v>
      </c>
      <c r="C87" s="236" t="s">
        <v>15</v>
      </c>
      <c r="D87" s="464">
        <v>110.3</v>
      </c>
      <c r="E87" s="448"/>
      <c r="F87" s="454"/>
    </row>
    <row r="88" spans="1:6" s="235" customFormat="1" ht="90" outlineLevel="2">
      <c r="A88" s="432" t="s">
        <v>164</v>
      </c>
      <c r="B88" s="421" t="s">
        <v>59</v>
      </c>
      <c r="C88" s="236" t="s">
        <v>55</v>
      </c>
      <c r="D88" s="464">
        <v>12</v>
      </c>
      <c r="E88" s="448"/>
      <c r="F88" s="454"/>
    </row>
    <row r="89" spans="1:6" s="235" customFormat="1" ht="24" customHeight="1" outlineLevel="1">
      <c r="A89" s="435" t="s">
        <v>165</v>
      </c>
      <c r="B89" s="425" t="s">
        <v>61</v>
      </c>
      <c r="C89" s="9"/>
      <c r="D89" s="623"/>
      <c r="E89" s="449"/>
      <c r="F89" s="457">
        <f>SUM(F90:F93)</f>
        <v>0</v>
      </c>
    </row>
    <row r="90" spans="1:6" s="235" customFormat="1" ht="111.75" customHeight="1" outlineLevel="2">
      <c r="A90" s="434" t="s">
        <v>166</v>
      </c>
      <c r="B90" s="421" t="s">
        <v>167</v>
      </c>
      <c r="C90" s="236" t="s">
        <v>15</v>
      </c>
      <c r="D90" s="464">
        <v>200</v>
      </c>
      <c r="E90" s="448"/>
      <c r="F90" s="454"/>
    </row>
    <row r="91" spans="1:6" s="235" customFormat="1" ht="45" outlineLevel="2">
      <c r="A91" s="434" t="s">
        <v>168</v>
      </c>
      <c r="B91" s="421" t="s">
        <v>69</v>
      </c>
      <c r="C91" s="236" t="s">
        <v>12</v>
      </c>
      <c r="D91" s="618">
        <v>158</v>
      </c>
      <c r="E91" s="448"/>
      <c r="F91" s="454"/>
    </row>
    <row r="92" spans="1:6" s="235" customFormat="1" ht="84.75" customHeight="1" outlineLevel="2">
      <c r="A92" s="434" t="s">
        <v>169</v>
      </c>
      <c r="B92" s="423" t="s">
        <v>72</v>
      </c>
      <c r="C92" s="236" t="s">
        <v>12</v>
      </c>
      <c r="D92" s="464">
        <v>96</v>
      </c>
      <c r="E92" s="448"/>
      <c r="F92" s="454"/>
    </row>
    <row r="93" spans="1:6" s="235" customFormat="1" ht="37.5" customHeight="1" outlineLevel="2">
      <c r="A93" s="434" t="s">
        <v>170</v>
      </c>
      <c r="B93" s="423" t="s">
        <v>76</v>
      </c>
      <c r="C93" s="415" t="s">
        <v>12</v>
      </c>
      <c r="D93" s="464">
        <v>242</v>
      </c>
      <c r="E93" s="448"/>
      <c r="F93" s="454"/>
    </row>
    <row r="94" spans="1:6" s="235" customFormat="1" ht="15.75" outlineLevel="1">
      <c r="A94" s="435" t="s">
        <v>171</v>
      </c>
      <c r="B94" s="422" t="s">
        <v>83</v>
      </c>
      <c r="C94" s="9"/>
      <c r="D94" s="623"/>
      <c r="E94" s="449"/>
      <c r="F94" s="457">
        <f>SUM(F95:F98)</f>
        <v>0</v>
      </c>
    </row>
    <row r="95" spans="1:6" s="235" customFormat="1" ht="20.25" customHeight="1" outlineLevel="1">
      <c r="A95" s="434" t="s">
        <v>172</v>
      </c>
      <c r="B95" s="421" t="s">
        <v>173</v>
      </c>
      <c r="C95" s="236" t="s">
        <v>15</v>
      </c>
      <c r="D95" s="624">
        <v>174</v>
      </c>
      <c r="E95" s="441"/>
      <c r="F95" s="454"/>
    </row>
    <row r="96" spans="1:6" s="235" customFormat="1" ht="39.75" customHeight="1" outlineLevel="1">
      <c r="A96" s="434" t="s">
        <v>174</v>
      </c>
      <c r="B96" s="428" t="s">
        <v>175</v>
      </c>
      <c r="C96" s="322" t="s">
        <v>55</v>
      </c>
      <c r="D96" s="624">
        <v>6</v>
      </c>
      <c r="E96" s="450"/>
      <c r="F96" s="454"/>
    </row>
    <row r="97" spans="1:6" s="235" customFormat="1" ht="75" outlineLevel="1">
      <c r="A97" s="434" t="s">
        <v>176</v>
      </c>
      <c r="B97" s="428" t="s">
        <v>177</v>
      </c>
      <c r="C97" s="322" t="s">
        <v>28</v>
      </c>
      <c r="D97" s="624">
        <v>28</v>
      </c>
      <c r="E97" s="450"/>
      <c r="F97" s="454"/>
    </row>
    <row r="98" spans="1:6" s="235" customFormat="1" ht="105.75" outlineLevel="1" thickBot="1">
      <c r="A98" s="436" t="s">
        <v>178</v>
      </c>
      <c r="B98" s="461" t="s">
        <v>179</v>
      </c>
      <c r="C98" s="462" t="s">
        <v>15</v>
      </c>
      <c r="D98" s="625">
        <v>110</v>
      </c>
      <c r="E98" s="463"/>
      <c r="F98" s="454"/>
    </row>
    <row r="99" spans="1:6" ht="15.75">
      <c r="A99" s="837" t="s">
        <v>180</v>
      </c>
      <c r="B99" s="838"/>
      <c r="C99" s="838"/>
      <c r="D99" s="838"/>
      <c r="E99" s="839"/>
      <c r="F99" s="804">
        <f>F6+F55+F81</f>
        <v>0</v>
      </c>
    </row>
    <row r="100" spans="1:6" ht="15.75">
      <c r="A100" s="840" t="s">
        <v>181</v>
      </c>
      <c r="B100" s="841"/>
      <c r="C100" s="841"/>
      <c r="D100" s="841"/>
      <c r="E100" s="842"/>
      <c r="F100" s="805">
        <v>0.29220000000000002</v>
      </c>
    </row>
    <row r="101" spans="1:6" ht="15.75">
      <c r="A101" s="840" t="s">
        <v>182</v>
      </c>
      <c r="B101" s="841"/>
      <c r="C101" s="841"/>
      <c r="D101" s="841"/>
      <c r="E101" s="842"/>
      <c r="F101" s="806"/>
    </row>
    <row r="102" spans="1:6" ht="16.5" thickBot="1">
      <c r="A102" s="843" t="s">
        <v>183</v>
      </c>
      <c r="B102" s="844"/>
      <c r="C102" s="844"/>
      <c r="D102" s="844"/>
      <c r="E102" s="845"/>
      <c r="F102" s="807">
        <f>+F99+F101</f>
        <v>0</v>
      </c>
    </row>
    <row r="103" spans="1:6" ht="15.75" thickBot="1">
      <c r="A103" s="235"/>
      <c r="B103" s="235"/>
      <c r="C103" s="235"/>
      <c r="D103" s="808"/>
      <c r="E103" s="235"/>
      <c r="F103" s="235"/>
    </row>
    <row r="104" spans="1:6" ht="15.75">
      <c r="A104" s="837" t="s">
        <v>184</v>
      </c>
      <c r="B104" s="838"/>
      <c r="C104" s="838"/>
      <c r="D104" s="838"/>
      <c r="E104" s="839"/>
      <c r="F104" s="804">
        <f>SUM(F105:F109)</f>
        <v>29747384</v>
      </c>
    </row>
    <row r="105" spans="1:6" ht="15">
      <c r="A105" s="846" t="s">
        <v>185</v>
      </c>
      <c r="B105" s="847"/>
      <c r="C105" s="847"/>
      <c r="D105" s="847"/>
      <c r="E105" s="848"/>
      <c r="F105" s="809">
        <f>+'Subanalisis AU '!H13</f>
        <v>4027350</v>
      </c>
    </row>
    <row r="106" spans="1:6" ht="15">
      <c r="A106" s="846" t="s">
        <v>186</v>
      </c>
      <c r="B106" s="847"/>
      <c r="C106" s="847"/>
      <c r="D106" s="847"/>
      <c r="E106" s="848"/>
      <c r="F106" s="809">
        <f>+'Subanalisis AU '!H89</f>
        <v>4601589</v>
      </c>
    </row>
    <row r="107" spans="1:6" ht="15">
      <c r="A107" s="846" t="s">
        <v>187</v>
      </c>
      <c r="B107" s="847"/>
      <c r="C107" s="847"/>
      <c r="D107" s="847"/>
      <c r="E107" s="848"/>
      <c r="F107" s="809">
        <f>+'Subanalisis AU '!H107</f>
        <v>5460838</v>
      </c>
    </row>
    <row r="108" spans="1:6" ht="15">
      <c r="A108" s="846" t="s">
        <v>188</v>
      </c>
      <c r="B108" s="847"/>
      <c r="C108" s="847"/>
      <c r="D108" s="847"/>
      <c r="E108" s="848"/>
      <c r="F108" s="809">
        <f>+'Subanalisis AU '!H60</f>
        <v>10105890</v>
      </c>
    </row>
    <row r="109" spans="1:6" ht="15.75" customHeight="1" thickBot="1">
      <c r="A109" s="849" t="s">
        <v>189</v>
      </c>
      <c r="B109" s="850"/>
      <c r="C109" s="850"/>
      <c r="D109" s="850"/>
      <c r="E109" s="851"/>
      <c r="F109" s="810">
        <f>+'Póliza '!H24</f>
        <v>5551717</v>
      </c>
    </row>
    <row r="110" spans="1:6" ht="15.75" thickBot="1">
      <c r="A110" s="235"/>
      <c r="B110" s="235"/>
      <c r="C110" s="235"/>
      <c r="D110" s="808"/>
      <c r="E110" s="235"/>
      <c r="F110" s="235"/>
    </row>
    <row r="111" spans="1:6" ht="16.5" thickBot="1">
      <c r="A111" s="834" t="s">
        <v>190</v>
      </c>
      <c r="B111" s="835"/>
      <c r="C111" s="835"/>
      <c r="D111" s="835"/>
      <c r="E111" s="836"/>
      <c r="F111" s="811"/>
    </row>
    <row r="112" spans="1:6">
      <c r="D112" s="812"/>
      <c r="E112" s="406"/>
      <c r="F112" s="406"/>
    </row>
    <row r="113" spans="1:6" ht="14.25" customHeight="1">
      <c r="A113" s="813"/>
      <c r="B113" s="813"/>
      <c r="C113" s="813"/>
      <c r="F113" s="816"/>
    </row>
    <row r="114" spans="1:6" ht="14.25" customHeight="1">
      <c r="A114" s="813"/>
      <c r="B114" s="813"/>
      <c r="C114" s="813"/>
      <c r="F114" s="817"/>
    </row>
    <row r="115" spans="1:6" ht="14.25" customHeight="1">
      <c r="A115" s="813"/>
      <c r="B115" s="813"/>
      <c r="C115" s="813"/>
      <c r="F115" s="816"/>
    </row>
    <row r="116" spans="1:6" hidden="1">
      <c r="F116" s="816">
        <v>848850605.99838507</v>
      </c>
    </row>
    <row r="117" spans="1:6" hidden="1">
      <c r="F117" s="817"/>
    </row>
    <row r="118" spans="1:6" hidden="1">
      <c r="F118" s="818"/>
    </row>
    <row r="119" spans="1:6" hidden="1">
      <c r="F119" s="819">
        <f>+F111-F116</f>
        <v>-848850605.99838507</v>
      </c>
    </row>
    <row r="120" spans="1:6">
      <c r="E120" s="820"/>
      <c r="F120" s="817"/>
    </row>
    <row r="121" spans="1:6" hidden="1">
      <c r="E121" s="815">
        <v>908044270</v>
      </c>
      <c r="F121" s="406"/>
    </row>
    <row r="122" spans="1:6" hidden="1">
      <c r="E122" s="820" t="e">
        <f>+E121-#REF!</f>
        <v>#REF!</v>
      </c>
      <c r="F122" s="406"/>
    </row>
    <row r="123" spans="1:6">
      <c r="F123" s="406"/>
    </row>
    <row r="124" spans="1:6">
      <c r="F124" s="406"/>
    </row>
    <row r="125" spans="1:6">
      <c r="F125" s="406"/>
    </row>
    <row r="126" spans="1:6">
      <c r="F126" s="406"/>
    </row>
    <row r="127" spans="1:6">
      <c r="F127" s="406"/>
    </row>
    <row r="128" spans="1:6">
      <c r="F128" s="406"/>
    </row>
    <row r="129" spans="6:6">
      <c r="F129" s="406"/>
    </row>
    <row r="130" spans="6:6">
      <c r="F130" s="406"/>
    </row>
    <row r="131" spans="6:6">
      <c r="F131" s="406"/>
    </row>
    <row r="132" spans="6:6">
      <c r="F132" s="406"/>
    </row>
    <row r="133" spans="6:6">
      <c r="F133" s="406"/>
    </row>
    <row r="134" spans="6:6">
      <c r="F134" s="406"/>
    </row>
    <row r="135" spans="6:6">
      <c r="F135" s="406"/>
    </row>
    <row r="136" spans="6:6">
      <c r="F136" s="406"/>
    </row>
    <row r="137" spans="6:6">
      <c r="F137" s="406"/>
    </row>
    <row r="138" spans="6:6">
      <c r="F138" s="406"/>
    </row>
    <row r="139" spans="6:6">
      <c r="F139" s="406"/>
    </row>
    <row r="140" spans="6:6">
      <c r="F140" s="406"/>
    </row>
    <row r="141" spans="6:6">
      <c r="F141" s="406"/>
    </row>
    <row r="142" spans="6:6">
      <c r="F142" s="406"/>
    </row>
    <row r="143" spans="6:6">
      <c r="F143" s="406"/>
    </row>
    <row r="144" spans="6:6">
      <c r="F144" s="406"/>
    </row>
    <row r="145" spans="6:6">
      <c r="F145" s="406"/>
    </row>
    <row r="146" spans="6:6">
      <c r="F146" s="406"/>
    </row>
    <row r="147" spans="6:6">
      <c r="F147" s="406"/>
    </row>
    <row r="148" spans="6:6">
      <c r="F148" s="406"/>
    </row>
    <row r="149" spans="6:6">
      <c r="F149" s="406"/>
    </row>
    <row r="150" spans="6:6">
      <c r="F150" s="406"/>
    </row>
    <row r="151" spans="6:6">
      <c r="F151" s="406"/>
    </row>
    <row r="152" spans="6:6">
      <c r="F152" s="406"/>
    </row>
    <row r="153" spans="6:6">
      <c r="F153" s="406"/>
    </row>
    <row r="154" spans="6:6">
      <c r="F154" s="406"/>
    </row>
    <row r="155" spans="6:6">
      <c r="F155" s="406"/>
    </row>
    <row r="156" spans="6:6">
      <c r="F156" s="406"/>
    </row>
    <row r="157" spans="6:6">
      <c r="F157" s="406"/>
    </row>
    <row r="158" spans="6:6">
      <c r="F158" s="406"/>
    </row>
    <row r="159" spans="6:6">
      <c r="F159" s="406"/>
    </row>
    <row r="160" spans="6:6">
      <c r="F160" s="406"/>
    </row>
    <row r="161" spans="6:6">
      <c r="F161" s="406"/>
    </row>
    <row r="162" spans="6:6">
      <c r="F162" s="406"/>
    </row>
    <row r="163" spans="6:6">
      <c r="F163" s="406"/>
    </row>
    <row r="164" spans="6:6">
      <c r="F164" s="406"/>
    </row>
    <row r="165" spans="6:6">
      <c r="F165" s="406"/>
    </row>
    <row r="166" spans="6:6">
      <c r="F166" s="406"/>
    </row>
    <row r="167" spans="6:6">
      <c r="F167" s="406"/>
    </row>
    <row r="168" spans="6:6">
      <c r="F168" s="406"/>
    </row>
    <row r="169" spans="6:6">
      <c r="F169" s="406"/>
    </row>
    <row r="170" spans="6:6">
      <c r="F170" s="406"/>
    </row>
    <row r="171" spans="6:6">
      <c r="F171" s="406"/>
    </row>
    <row r="172" spans="6:6">
      <c r="F172" s="406"/>
    </row>
    <row r="173" spans="6:6">
      <c r="F173" s="406"/>
    </row>
    <row r="174" spans="6:6">
      <c r="F174" s="406"/>
    </row>
    <row r="175" spans="6:6">
      <c r="F175" s="406"/>
    </row>
    <row r="176" spans="6:6">
      <c r="F176" s="406"/>
    </row>
    <row r="177" spans="6:6">
      <c r="F177" s="406"/>
    </row>
    <row r="178" spans="6:6">
      <c r="F178" s="406"/>
    </row>
    <row r="179" spans="6:6">
      <c r="F179" s="406"/>
    </row>
    <row r="180" spans="6:6">
      <c r="F180" s="406"/>
    </row>
    <row r="181" spans="6:6">
      <c r="F181" s="406"/>
    </row>
    <row r="182" spans="6:6">
      <c r="F182" s="406"/>
    </row>
    <row r="183" spans="6:6">
      <c r="F183" s="406"/>
    </row>
    <row r="184" spans="6:6">
      <c r="F184" s="406"/>
    </row>
    <row r="185" spans="6:6">
      <c r="F185" s="406"/>
    </row>
    <row r="186" spans="6:6">
      <c r="F186" s="406"/>
    </row>
    <row r="187" spans="6:6">
      <c r="F187" s="406"/>
    </row>
    <row r="188" spans="6:6">
      <c r="F188" s="406"/>
    </row>
    <row r="189" spans="6:6">
      <c r="F189" s="406"/>
    </row>
    <row r="190" spans="6:6">
      <c r="F190" s="406"/>
    </row>
    <row r="191" spans="6:6">
      <c r="F191" s="406"/>
    </row>
    <row r="192" spans="6:6">
      <c r="F192" s="406"/>
    </row>
    <row r="193" spans="6:6">
      <c r="F193" s="406"/>
    </row>
    <row r="194" spans="6:6">
      <c r="F194" s="406"/>
    </row>
    <row r="195" spans="6:6">
      <c r="F195" s="406"/>
    </row>
    <row r="196" spans="6:6">
      <c r="F196" s="406"/>
    </row>
    <row r="197" spans="6:6">
      <c r="F197" s="406"/>
    </row>
    <row r="198" spans="6:6">
      <c r="F198" s="406"/>
    </row>
    <row r="199" spans="6:6">
      <c r="F199" s="406"/>
    </row>
    <row r="200" spans="6:6">
      <c r="F200" s="406"/>
    </row>
    <row r="201" spans="6:6">
      <c r="F201" s="406"/>
    </row>
    <row r="202" spans="6:6">
      <c r="F202" s="406"/>
    </row>
    <row r="203" spans="6:6">
      <c r="F203" s="406"/>
    </row>
    <row r="204" spans="6:6">
      <c r="F204" s="406"/>
    </row>
    <row r="205" spans="6:6">
      <c r="F205" s="406"/>
    </row>
    <row r="206" spans="6:6">
      <c r="F206" s="406"/>
    </row>
    <row r="207" spans="6:6">
      <c r="F207" s="406"/>
    </row>
    <row r="208" spans="6:6">
      <c r="F208" s="406"/>
    </row>
    <row r="209" spans="6:6">
      <c r="F209" s="406"/>
    </row>
    <row r="210" spans="6:6">
      <c r="F210" s="406"/>
    </row>
    <row r="211" spans="6:6">
      <c r="F211" s="406"/>
    </row>
    <row r="212" spans="6:6">
      <c r="F212" s="406"/>
    </row>
    <row r="213" spans="6:6">
      <c r="F213" s="406"/>
    </row>
    <row r="214" spans="6:6">
      <c r="F214" s="406"/>
    </row>
    <row r="215" spans="6:6">
      <c r="F215" s="406"/>
    </row>
    <row r="216" spans="6:6">
      <c r="F216" s="406"/>
    </row>
    <row r="217" spans="6:6">
      <c r="F217" s="406"/>
    </row>
    <row r="218" spans="6:6">
      <c r="F218" s="406"/>
    </row>
    <row r="219" spans="6:6">
      <c r="F219" s="406"/>
    </row>
    <row r="220" spans="6:6">
      <c r="F220" s="406"/>
    </row>
    <row r="221" spans="6:6">
      <c r="F221" s="406"/>
    </row>
    <row r="222" spans="6:6">
      <c r="F222" s="406"/>
    </row>
    <row r="223" spans="6:6">
      <c r="F223" s="406"/>
    </row>
    <row r="224" spans="6:6">
      <c r="F224" s="406"/>
    </row>
    <row r="225" spans="6:6">
      <c r="F225" s="406"/>
    </row>
    <row r="226" spans="6:6">
      <c r="F226" s="406"/>
    </row>
    <row r="227" spans="6:6">
      <c r="F227" s="406"/>
    </row>
    <row r="228" spans="6:6">
      <c r="F228" s="406"/>
    </row>
    <row r="229" spans="6:6">
      <c r="F229" s="406"/>
    </row>
    <row r="230" spans="6:6">
      <c r="F230" s="406"/>
    </row>
    <row r="231" spans="6:6">
      <c r="F231" s="406"/>
    </row>
    <row r="232" spans="6:6">
      <c r="F232" s="406"/>
    </row>
    <row r="233" spans="6:6">
      <c r="F233" s="406"/>
    </row>
    <row r="234" spans="6:6">
      <c r="F234" s="406"/>
    </row>
    <row r="235" spans="6:6">
      <c r="F235" s="406"/>
    </row>
    <row r="236" spans="6:6">
      <c r="F236" s="406"/>
    </row>
    <row r="237" spans="6:6">
      <c r="F237" s="406"/>
    </row>
    <row r="238" spans="6:6">
      <c r="F238" s="406"/>
    </row>
    <row r="239" spans="6:6">
      <c r="F239" s="406"/>
    </row>
    <row r="240" spans="6:6">
      <c r="F240" s="406"/>
    </row>
    <row r="241" spans="6:6">
      <c r="F241" s="406"/>
    </row>
    <row r="242" spans="6:6">
      <c r="F242" s="406"/>
    </row>
    <row r="243" spans="6:6">
      <c r="F243" s="406"/>
    </row>
    <row r="244" spans="6:6">
      <c r="F244" s="406"/>
    </row>
    <row r="245" spans="6:6">
      <c r="F245" s="406"/>
    </row>
    <row r="246" spans="6:6">
      <c r="F246" s="406"/>
    </row>
    <row r="247" spans="6:6">
      <c r="F247" s="406"/>
    </row>
    <row r="248" spans="6:6">
      <c r="F248" s="406"/>
    </row>
    <row r="249" spans="6:6">
      <c r="F249" s="406"/>
    </row>
    <row r="250" spans="6:6">
      <c r="F250" s="406"/>
    </row>
    <row r="251" spans="6:6">
      <c r="F251" s="406"/>
    </row>
    <row r="252" spans="6:6">
      <c r="F252" s="406"/>
    </row>
    <row r="253" spans="6:6">
      <c r="F253" s="406"/>
    </row>
    <row r="254" spans="6:6">
      <c r="F254" s="406"/>
    </row>
    <row r="255" spans="6:6">
      <c r="F255" s="406"/>
    </row>
    <row r="256" spans="6:6">
      <c r="F256" s="406"/>
    </row>
    <row r="257" spans="6:6">
      <c r="F257" s="406"/>
    </row>
    <row r="258" spans="6:6">
      <c r="F258" s="406"/>
    </row>
    <row r="259" spans="6:6">
      <c r="F259" s="406"/>
    </row>
    <row r="260" spans="6:6">
      <c r="F260" s="406"/>
    </row>
    <row r="261" spans="6:6">
      <c r="F261" s="406"/>
    </row>
    <row r="262" spans="6:6">
      <c r="F262" s="406"/>
    </row>
    <row r="263" spans="6:6">
      <c r="F263" s="406"/>
    </row>
    <row r="264" spans="6:6">
      <c r="F264" s="406"/>
    </row>
    <row r="265" spans="6:6">
      <c r="F265" s="406"/>
    </row>
    <row r="266" spans="6:6">
      <c r="F266" s="406"/>
    </row>
    <row r="267" spans="6:6">
      <c r="F267" s="406"/>
    </row>
    <row r="268" spans="6:6">
      <c r="F268" s="406"/>
    </row>
    <row r="269" spans="6:6">
      <c r="F269" s="406"/>
    </row>
    <row r="270" spans="6:6">
      <c r="F270" s="406"/>
    </row>
    <row r="271" spans="6:6">
      <c r="F271" s="406"/>
    </row>
    <row r="272" spans="6:6">
      <c r="F272" s="406"/>
    </row>
    <row r="273" spans="6:6">
      <c r="F273" s="406"/>
    </row>
    <row r="274" spans="6:6">
      <c r="F274" s="406"/>
    </row>
    <row r="275" spans="6:6">
      <c r="F275" s="406"/>
    </row>
    <row r="276" spans="6:6">
      <c r="F276" s="406"/>
    </row>
    <row r="277" spans="6:6">
      <c r="F277" s="406"/>
    </row>
    <row r="278" spans="6:6">
      <c r="F278" s="406"/>
    </row>
    <row r="279" spans="6:6">
      <c r="F279" s="406"/>
    </row>
    <row r="280" spans="6:6">
      <c r="F280" s="406"/>
    </row>
    <row r="281" spans="6:6">
      <c r="F281" s="406"/>
    </row>
    <row r="282" spans="6:6">
      <c r="F282" s="406"/>
    </row>
    <row r="283" spans="6:6">
      <c r="F283" s="406"/>
    </row>
    <row r="284" spans="6:6">
      <c r="F284" s="406"/>
    </row>
    <row r="285" spans="6:6">
      <c r="F285" s="406"/>
    </row>
    <row r="286" spans="6:6">
      <c r="F286" s="406"/>
    </row>
    <row r="287" spans="6:6">
      <c r="F287" s="406"/>
    </row>
    <row r="288" spans="6:6">
      <c r="F288" s="406"/>
    </row>
    <row r="289" spans="6:6">
      <c r="F289" s="406"/>
    </row>
    <row r="290" spans="6:6">
      <c r="F290" s="406"/>
    </row>
    <row r="291" spans="6:6">
      <c r="F291" s="406"/>
    </row>
    <row r="292" spans="6:6">
      <c r="F292" s="406"/>
    </row>
    <row r="293" spans="6:6">
      <c r="F293" s="406"/>
    </row>
    <row r="294" spans="6:6">
      <c r="F294" s="406"/>
    </row>
    <row r="295" spans="6:6">
      <c r="F295" s="406"/>
    </row>
    <row r="296" spans="6:6">
      <c r="F296" s="406"/>
    </row>
    <row r="297" spans="6:6">
      <c r="F297" s="406"/>
    </row>
    <row r="298" spans="6:6">
      <c r="F298" s="406"/>
    </row>
    <row r="299" spans="6:6">
      <c r="F299" s="406"/>
    </row>
    <row r="300" spans="6:6">
      <c r="F300" s="406"/>
    </row>
    <row r="301" spans="6:6">
      <c r="F301" s="406"/>
    </row>
    <row r="302" spans="6:6">
      <c r="F302" s="406"/>
    </row>
    <row r="303" spans="6:6">
      <c r="F303" s="406"/>
    </row>
    <row r="304" spans="6:6">
      <c r="F304" s="406"/>
    </row>
    <row r="305" spans="6:6">
      <c r="F305" s="406"/>
    </row>
    <row r="306" spans="6:6">
      <c r="F306" s="406"/>
    </row>
    <row r="307" spans="6:6">
      <c r="F307" s="406"/>
    </row>
    <row r="308" spans="6:6">
      <c r="F308" s="406"/>
    </row>
    <row r="309" spans="6:6">
      <c r="F309" s="406"/>
    </row>
    <row r="310" spans="6:6">
      <c r="F310" s="406"/>
    </row>
    <row r="311" spans="6:6">
      <c r="F311" s="406"/>
    </row>
    <row r="312" spans="6:6">
      <c r="F312" s="406"/>
    </row>
    <row r="313" spans="6:6">
      <c r="F313" s="406"/>
    </row>
    <row r="314" spans="6:6">
      <c r="F314" s="406"/>
    </row>
    <row r="315" spans="6:6">
      <c r="F315" s="406"/>
    </row>
    <row r="316" spans="6:6">
      <c r="F316" s="406"/>
    </row>
    <row r="317" spans="6:6">
      <c r="F317" s="406"/>
    </row>
    <row r="318" spans="6:6">
      <c r="F318" s="406"/>
    </row>
    <row r="319" spans="6:6">
      <c r="F319" s="406"/>
    </row>
    <row r="320" spans="6:6">
      <c r="F320" s="406"/>
    </row>
    <row r="321" spans="6:6">
      <c r="F321" s="406"/>
    </row>
    <row r="322" spans="6:6">
      <c r="F322" s="406"/>
    </row>
    <row r="323" spans="6:6">
      <c r="F323" s="406"/>
    </row>
    <row r="324" spans="6:6">
      <c r="F324" s="406"/>
    </row>
    <row r="325" spans="6:6">
      <c r="F325" s="406"/>
    </row>
    <row r="326" spans="6:6">
      <c r="F326" s="406"/>
    </row>
    <row r="327" spans="6:6">
      <c r="F327" s="406"/>
    </row>
    <row r="328" spans="6:6">
      <c r="F328" s="406"/>
    </row>
    <row r="329" spans="6:6">
      <c r="F329" s="406"/>
    </row>
    <row r="330" spans="6:6">
      <c r="F330" s="406"/>
    </row>
    <row r="331" spans="6:6">
      <c r="F331" s="406"/>
    </row>
    <row r="332" spans="6:6">
      <c r="F332" s="406"/>
    </row>
    <row r="333" spans="6:6">
      <c r="F333" s="406"/>
    </row>
    <row r="334" spans="6:6">
      <c r="F334" s="406"/>
    </row>
    <row r="335" spans="6:6">
      <c r="F335" s="406"/>
    </row>
    <row r="336" spans="6:6">
      <c r="F336" s="406"/>
    </row>
    <row r="337" spans="6:6">
      <c r="F337" s="406"/>
    </row>
    <row r="338" spans="6:6">
      <c r="F338" s="406"/>
    </row>
    <row r="339" spans="6:6">
      <c r="F339" s="406"/>
    </row>
    <row r="340" spans="6:6">
      <c r="F340" s="406"/>
    </row>
    <row r="341" spans="6:6">
      <c r="F341" s="406"/>
    </row>
    <row r="342" spans="6:6">
      <c r="F342" s="406"/>
    </row>
    <row r="343" spans="6:6">
      <c r="F343" s="406"/>
    </row>
    <row r="344" spans="6:6">
      <c r="F344" s="406"/>
    </row>
    <row r="345" spans="6:6">
      <c r="F345" s="406"/>
    </row>
    <row r="346" spans="6:6">
      <c r="F346" s="406"/>
    </row>
    <row r="347" spans="6:6">
      <c r="F347" s="406"/>
    </row>
    <row r="348" spans="6:6">
      <c r="F348" s="406"/>
    </row>
    <row r="349" spans="6:6">
      <c r="F349" s="406"/>
    </row>
    <row r="350" spans="6:6">
      <c r="F350" s="406"/>
    </row>
    <row r="351" spans="6:6">
      <c r="F351" s="406"/>
    </row>
    <row r="352" spans="6:6">
      <c r="F352" s="406"/>
    </row>
    <row r="353" spans="6:6">
      <c r="F353" s="406"/>
    </row>
    <row r="354" spans="6:6">
      <c r="F354" s="406"/>
    </row>
    <row r="355" spans="6:6">
      <c r="F355" s="406"/>
    </row>
    <row r="356" spans="6:6">
      <c r="F356" s="406"/>
    </row>
    <row r="357" spans="6:6">
      <c r="F357" s="406"/>
    </row>
    <row r="358" spans="6:6">
      <c r="F358" s="406"/>
    </row>
    <row r="359" spans="6:6">
      <c r="F359" s="406"/>
    </row>
    <row r="360" spans="6:6">
      <c r="F360" s="406"/>
    </row>
    <row r="361" spans="6:6">
      <c r="F361" s="406"/>
    </row>
    <row r="362" spans="6:6">
      <c r="F362" s="406"/>
    </row>
    <row r="363" spans="6:6">
      <c r="F363" s="406"/>
    </row>
    <row r="364" spans="6:6">
      <c r="F364" s="406"/>
    </row>
    <row r="365" spans="6:6">
      <c r="F365" s="406"/>
    </row>
    <row r="366" spans="6:6">
      <c r="F366" s="406"/>
    </row>
    <row r="367" spans="6:6">
      <c r="F367" s="406"/>
    </row>
    <row r="368" spans="6:6">
      <c r="F368" s="406"/>
    </row>
    <row r="369" spans="6:6">
      <c r="F369" s="406"/>
    </row>
    <row r="370" spans="6:6">
      <c r="F370" s="406"/>
    </row>
    <row r="371" spans="6:6">
      <c r="F371" s="406"/>
    </row>
    <row r="372" spans="6:6">
      <c r="F372" s="406"/>
    </row>
    <row r="373" spans="6:6">
      <c r="F373" s="406"/>
    </row>
    <row r="374" spans="6:6">
      <c r="F374" s="406"/>
    </row>
    <row r="375" spans="6:6">
      <c r="F375" s="406"/>
    </row>
    <row r="376" spans="6:6">
      <c r="F376" s="406"/>
    </row>
    <row r="377" spans="6:6">
      <c r="F377" s="406"/>
    </row>
    <row r="378" spans="6:6">
      <c r="F378" s="406"/>
    </row>
    <row r="379" spans="6:6">
      <c r="F379" s="406"/>
    </row>
    <row r="380" spans="6:6">
      <c r="F380" s="406"/>
    </row>
    <row r="381" spans="6:6">
      <c r="F381" s="406"/>
    </row>
    <row r="382" spans="6:6">
      <c r="F382" s="406"/>
    </row>
    <row r="383" spans="6:6">
      <c r="F383" s="406"/>
    </row>
    <row r="384" spans="6:6">
      <c r="F384" s="406"/>
    </row>
    <row r="385" spans="6:6">
      <c r="F385" s="406"/>
    </row>
    <row r="386" spans="6:6">
      <c r="F386" s="406"/>
    </row>
    <row r="387" spans="6:6">
      <c r="F387" s="406"/>
    </row>
    <row r="388" spans="6:6">
      <c r="F388" s="406"/>
    </row>
    <row r="389" spans="6:6">
      <c r="F389" s="406"/>
    </row>
    <row r="390" spans="6:6">
      <c r="F390" s="406"/>
    </row>
    <row r="391" spans="6:6">
      <c r="F391" s="406"/>
    </row>
    <row r="392" spans="6:6">
      <c r="F392" s="406"/>
    </row>
    <row r="393" spans="6:6">
      <c r="F393" s="406"/>
    </row>
    <row r="394" spans="6:6">
      <c r="F394" s="406"/>
    </row>
    <row r="395" spans="6:6">
      <c r="F395" s="406"/>
    </row>
    <row r="396" spans="6:6">
      <c r="F396" s="406"/>
    </row>
    <row r="397" spans="6:6">
      <c r="F397" s="406"/>
    </row>
    <row r="398" spans="6:6">
      <c r="F398" s="406"/>
    </row>
    <row r="399" spans="6:6">
      <c r="F399" s="406"/>
    </row>
    <row r="400" spans="6:6">
      <c r="F400" s="406"/>
    </row>
    <row r="401" spans="6:6">
      <c r="F401" s="406"/>
    </row>
    <row r="402" spans="6:6">
      <c r="F402" s="406"/>
    </row>
    <row r="403" spans="6:6">
      <c r="F403" s="406"/>
    </row>
    <row r="404" spans="6:6">
      <c r="F404" s="406"/>
    </row>
    <row r="405" spans="6:6">
      <c r="F405" s="406"/>
    </row>
    <row r="406" spans="6:6">
      <c r="F406" s="406"/>
    </row>
    <row r="407" spans="6:6">
      <c r="F407" s="406"/>
    </row>
    <row r="408" spans="6:6">
      <c r="F408" s="406"/>
    </row>
    <row r="409" spans="6:6">
      <c r="F409" s="406"/>
    </row>
    <row r="410" spans="6:6">
      <c r="F410" s="406"/>
    </row>
    <row r="411" spans="6:6">
      <c r="F411" s="406"/>
    </row>
    <row r="412" spans="6:6">
      <c r="F412" s="406"/>
    </row>
    <row r="413" spans="6:6">
      <c r="F413" s="406"/>
    </row>
    <row r="414" spans="6:6">
      <c r="F414" s="406"/>
    </row>
    <row r="415" spans="6:6">
      <c r="F415" s="406"/>
    </row>
    <row r="416" spans="6:6">
      <c r="F416" s="406"/>
    </row>
    <row r="417" spans="6:6">
      <c r="F417" s="406"/>
    </row>
    <row r="418" spans="6:6">
      <c r="F418" s="406"/>
    </row>
    <row r="419" spans="6:6">
      <c r="F419" s="406"/>
    </row>
    <row r="420" spans="6:6">
      <c r="F420" s="406"/>
    </row>
    <row r="421" spans="6:6">
      <c r="F421" s="406"/>
    </row>
    <row r="422" spans="6:6">
      <c r="F422" s="406"/>
    </row>
    <row r="423" spans="6:6">
      <c r="F423" s="406"/>
    </row>
    <row r="424" spans="6:6">
      <c r="F424" s="406"/>
    </row>
    <row r="425" spans="6:6">
      <c r="F425" s="406"/>
    </row>
    <row r="426" spans="6:6">
      <c r="F426" s="406"/>
    </row>
    <row r="427" spans="6:6">
      <c r="F427" s="406"/>
    </row>
    <row r="428" spans="6:6">
      <c r="F428" s="406"/>
    </row>
    <row r="429" spans="6:6">
      <c r="F429" s="406"/>
    </row>
    <row r="430" spans="6:6">
      <c r="F430" s="406"/>
    </row>
    <row r="431" spans="6:6">
      <c r="F431" s="406"/>
    </row>
    <row r="432" spans="6:6">
      <c r="F432" s="406"/>
    </row>
    <row r="433" spans="6:6">
      <c r="F433" s="406"/>
    </row>
    <row r="434" spans="6:6">
      <c r="F434" s="406"/>
    </row>
    <row r="435" spans="6:6">
      <c r="F435" s="406"/>
    </row>
    <row r="436" spans="6:6">
      <c r="F436" s="406"/>
    </row>
    <row r="437" spans="6:6">
      <c r="F437" s="406"/>
    </row>
    <row r="438" spans="6:6">
      <c r="F438" s="406"/>
    </row>
    <row r="439" spans="6:6">
      <c r="F439" s="406"/>
    </row>
    <row r="440" spans="6:6">
      <c r="F440" s="406"/>
    </row>
    <row r="441" spans="6:6">
      <c r="F441" s="406"/>
    </row>
    <row r="442" spans="6:6">
      <c r="F442" s="406"/>
    </row>
    <row r="443" spans="6:6">
      <c r="F443" s="406"/>
    </row>
    <row r="444" spans="6:6">
      <c r="F444" s="406"/>
    </row>
    <row r="445" spans="6:6">
      <c r="F445" s="406"/>
    </row>
    <row r="446" spans="6:6">
      <c r="F446" s="406"/>
    </row>
    <row r="447" spans="6:6">
      <c r="F447" s="406"/>
    </row>
    <row r="448" spans="6:6">
      <c r="F448" s="406"/>
    </row>
    <row r="449" spans="6:6">
      <c r="F449" s="406"/>
    </row>
    <row r="450" spans="6:6">
      <c r="F450" s="406"/>
    </row>
    <row r="451" spans="6:6">
      <c r="F451" s="406"/>
    </row>
    <row r="452" spans="6:6">
      <c r="F452" s="406"/>
    </row>
    <row r="453" spans="6:6">
      <c r="F453" s="406"/>
    </row>
    <row r="454" spans="6:6">
      <c r="F454" s="406"/>
    </row>
    <row r="455" spans="6:6">
      <c r="F455" s="406"/>
    </row>
    <row r="456" spans="6:6">
      <c r="F456" s="406"/>
    </row>
    <row r="457" spans="6:6">
      <c r="F457" s="406"/>
    </row>
    <row r="458" spans="6:6">
      <c r="F458" s="406"/>
    </row>
    <row r="459" spans="6:6">
      <c r="F459" s="406"/>
    </row>
    <row r="460" spans="6:6">
      <c r="F460" s="406"/>
    </row>
    <row r="461" spans="6:6">
      <c r="F461" s="406"/>
    </row>
    <row r="462" spans="6:6">
      <c r="F462" s="406"/>
    </row>
    <row r="463" spans="6:6">
      <c r="F463" s="406"/>
    </row>
    <row r="464" spans="6:6">
      <c r="F464" s="406"/>
    </row>
    <row r="465" spans="6:6">
      <c r="F465" s="406"/>
    </row>
    <row r="466" spans="6:6">
      <c r="F466" s="406"/>
    </row>
    <row r="467" spans="6:6">
      <c r="F467" s="406"/>
    </row>
    <row r="468" spans="6:6">
      <c r="F468" s="406"/>
    </row>
    <row r="469" spans="6:6">
      <c r="F469" s="406"/>
    </row>
    <row r="470" spans="6:6">
      <c r="F470" s="406"/>
    </row>
    <row r="471" spans="6:6">
      <c r="F471" s="406"/>
    </row>
    <row r="472" spans="6:6">
      <c r="F472" s="406"/>
    </row>
    <row r="473" spans="6:6">
      <c r="F473" s="406"/>
    </row>
    <row r="474" spans="6:6">
      <c r="F474" s="406"/>
    </row>
    <row r="475" spans="6:6">
      <c r="F475" s="406"/>
    </row>
    <row r="476" spans="6:6">
      <c r="F476" s="406"/>
    </row>
    <row r="477" spans="6:6">
      <c r="F477" s="406"/>
    </row>
    <row r="478" spans="6:6">
      <c r="F478" s="406"/>
    </row>
    <row r="479" spans="6:6">
      <c r="F479" s="406"/>
    </row>
    <row r="480" spans="6:6">
      <c r="F480" s="406"/>
    </row>
    <row r="481" spans="6:6">
      <c r="F481" s="406"/>
    </row>
    <row r="482" spans="6:6">
      <c r="F482" s="406"/>
    </row>
    <row r="483" spans="6:6">
      <c r="F483" s="406"/>
    </row>
    <row r="484" spans="6:6">
      <c r="F484" s="406"/>
    </row>
    <row r="485" spans="6:6">
      <c r="F485" s="406"/>
    </row>
    <row r="486" spans="6:6">
      <c r="F486" s="406"/>
    </row>
    <row r="487" spans="6:6">
      <c r="F487" s="406"/>
    </row>
    <row r="488" spans="6:6">
      <c r="F488" s="406"/>
    </row>
    <row r="489" spans="6:6">
      <c r="F489" s="406"/>
    </row>
    <row r="490" spans="6:6">
      <c r="F490" s="406"/>
    </row>
    <row r="491" spans="6:6">
      <c r="F491" s="406"/>
    </row>
    <row r="492" spans="6:6">
      <c r="F492" s="406"/>
    </row>
    <row r="493" spans="6:6">
      <c r="F493" s="406"/>
    </row>
    <row r="494" spans="6:6">
      <c r="F494" s="406"/>
    </row>
    <row r="495" spans="6:6">
      <c r="F495" s="406"/>
    </row>
    <row r="496" spans="6:6">
      <c r="F496" s="406"/>
    </row>
    <row r="497" spans="6:6">
      <c r="F497" s="406"/>
    </row>
    <row r="498" spans="6:6">
      <c r="F498" s="406"/>
    </row>
    <row r="499" spans="6:6">
      <c r="F499" s="406"/>
    </row>
    <row r="500" spans="6:6">
      <c r="F500" s="406"/>
    </row>
    <row r="501" spans="6:6">
      <c r="F501" s="406"/>
    </row>
    <row r="502" spans="6:6">
      <c r="F502" s="406"/>
    </row>
    <row r="503" spans="6:6">
      <c r="F503" s="406"/>
    </row>
    <row r="504" spans="6:6">
      <c r="F504" s="406"/>
    </row>
    <row r="505" spans="6:6">
      <c r="F505" s="406"/>
    </row>
    <row r="506" spans="6:6">
      <c r="F506" s="406"/>
    </row>
    <row r="507" spans="6:6">
      <c r="F507" s="406"/>
    </row>
    <row r="508" spans="6:6">
      <c r="F508" s="406"/>
    </row>
    <row r="509" spans="6:6">
      <c r="F509" s="406"/>
    </row>
    <row r="510" spans="6:6">
      <c r="F510" s="406"/>
    </row>
    <row r="511" spans="6:6">
      <c r="F511" s="406"/>
    </row>
    <row r="512" spans="6:6">
      <c r="F512" s="406"/>
    </row>
    <row r="513" spans="6:6">
      <c r="F513" s="406"/>
    </row>
    <row r="514" spans="6:6">
      <c r="F514" s="406"/>
    </row>
    <row r="515" spans="6:6">
      <c r="F515" s="406"/>
    </row>
    <row r="516" spans="6:6">
      <c r="F516" s="406"/>
    </row>
    <row r="517" spans="6:6">
      <c r="F517" s="406"/>
    </row>
    <row r="518" spans="6:6">
      <c r="F518" s="406"/>
    </row>
    <row r="519" spans="6:6">
      <c r="F519" s="406"/>
    </row>
    <row r="520" spans="6:6">
      <c r="F520" s="406"/>
    </row>
    <row r="521" spans="6:6">
      <c r="F521" s="406"/>
    </row>
    <row r="522" spans="6:6">
      <c r="F522" s="406"/>
    </row>
    <row r="523" spans="6:6">
      <c r="F523" s="406"/>
    </row>
    <row r="524" spans="6:6">
      <c r="F524" s="406"/>
    </row>
    <row r="525" spans="6:6">
      <c r="F525" s="406"/>
    </row>
    <row r="526" spans="6:6">
      <c r="F526" s="406"/>
    </row>
    <row r="527" spans="6:6">
      <c r="F527" s="406"/>
    </row>
    <row r="528" spans="6:6">
      <c r="F528" s="406"/>
    </row>
    <row r="529" spans="6:6">
      <c r="F529" s="406"/>
    </row>
    <row r="530" spans="6:6">
      <c r="F530" s="406"/>
    </row>
    <row r="531" spans="6:6">
      <c r="F531" s="406"/>
    </row>
    <row r="532" spans="6:6">
      <c r="F532" s="406"/>
    </row>
    <row r="533" spans="6:6">
      <c r="F533" s="406"/>
    </row>
    <row r="534" spans="6:6">
      <c r="F534" s="406"/>
    </row>
    <row r="535" spans="6:6">
      <c r="F535" s="406"/>
    </row>
    <row r="536" spans="6:6">
      <c r="F536" s="406"/>
    </row>
    <row r="537" spans="6:6">
      <c r="F537" s="406"/>
    </row>
    <row r="538" spans="6:6">
      <c r="F538" s="406"/>
    </row>
    <row r="539" spans="6:6">
      <c r="F539" s="406"/>
    </row>
    <row r="540" spans="6:6">
      <c r="F540" s="406"/>
    </row>
    <row r="541" spans="6:6">
      <c r="F541" s="406"/>
    </row>
    <row r="542" spans="6:6">
      <c r="F542" s="406"/>
    </row>
    <row r="543" spans="6:6">
      <c r="F543" s="406"/>
    </row>
    <row r="544" spans="6:6">
      <c r="F544" s="406"/>
    </row>
    <row r="545" spans="6:6">
      <c r="F545" s="406"/>
    </row>
    <row r="546" spans="6:6">
      <c r="F546" s="406"/>
    </row>
    <row r="547" spans="6:6">
      <c r="F547" s="406"/>
    </row>
    <row r="548" spans="6:6">
      <c r="F548" s="406"/>
    </row>
    <row r="549" spans="6:6">
      <c r="F549" s="406"/>
    </row>
    <row r="550" spans="6:6">
      <c r="F550" s="406"/>
    </row>
    <row r="551" spans="6:6">
      <c r="F551" s="406"/>
    </row>
    <row r="552" spans="6:6">
      <c r="F552" s="406"/>
    </row>
    <row r="553" spans="6:6">
      <c r="F553" s="406"/>
    </row>
    <row r="554" spans="6:6">
      <c r="F554" s="406"/>
    </row>
    <row r="555" spans="6:6">
      <c r="F555" s="406"/>
    </row>
    <row r="556" spans="6:6">
      <c r="F556" s="406"/>
    </row>
    <row r="557" spans="6:6">
      <c r="F557" s="406"/>
    </row>
    <row r="558" spans="6:6">
      <c r="F558" s="406"/>
    </row>
    <row r="559" spans="6:6">
      <c r="F559" s="406"/>
    </row>
    <row r="560" spans="6:6">
      <c r="F560" s="406"/>
    </row>
    <row r="561" spans="6:6">
      <c r="F561" s="406"/>
    </row>
    <row r="562" spans="6:6">
      <c r="F562" s="406"/>
    </row>
    <row r="563" spans="6:6">
      <c r="F563" s="406"/>
    </row>
    <row r="564" spans="6:6">
      <c r="F564" s="406"/>
    </row>
    <row r="565" spans="6:6">
      <c r="F565" s="406"/>
    </row>
    <row r="566" spans="6:6">
      <c r="F566" s="406"/>
    </row>
    <row r="567" spans="6:6">
      <c r="F567" s="406"/>
    </row>
    <row r="568" spans="6:6">
      <c r="F568" s="406"/>
    </row>
    <row r="569" spans="6:6">
      <c r="F569" s="406"/>
    </row>
    <row r="570" spans="6:6">
      <c r="F570" s="406"/>
    </row>
    <row r="571" spans="6:6">
      <c r="F571" s="406"/>
    </row>
    <row r="572" spans="6:6">
      <c r="F572" s="406"/>
    </row>
    <row r="573" spans="6:6">
      <c r="F573" s="406"/>
    </row>
  </sheetData>
  <autoFilter ref="A1:F109" xr:uid="{C95AF6AF-C966-4FA1-8909-780FFAE7E1D1}">
    <filterColumn colId="0" showButton="0"/>
    <filterColumn colId="1" showButton="0"/>
    <filterColumn colId="2" showButton="0"/>
    <filterColumn colId="3" showButton="0"/>
    <filterColumn colId="4" showButton="0"/>
  </autoFilter>
  <mergeCells count="18">
    <mergeCell ref="A111:E111"/>
    <mergeCell ref="A99:E99"/>
    <mergeCell ref="A100:E100"/>
    <mergeCell ref="A101:E101"/>
    <mergeCell ref="A102:E102"/>
    <mergeCell ref="A104:E104"/>
    <mergeCell ref="A105:E105"/>
    <mergeCell ref="A106:E106"/>
    <mergeCell ref="A107:E107"/>
    <mergeCell ref="A108:E108"/>
    <mergeCell ref="A109:E109"/>
    <mergeCell ref="B55:E55"/>
    <mergeCell ref="B81:E81"/>
    <mergeCell ref="A1:F1"/>
    <mergeCell ref="A2:F2"/>
    <mergeCell ref="A3:F3"/>
    <mergeCell ref="A4:F4"/>
    <mergeCell ref="B6:E6"/>
  </mergeCells>
  <phoneticPr fontId="10" type="noConversion"/>
  <conditionalFormatting sqref="C8:D54 F48:F54 C82:F82">
    <cfRule type="cellIs" dxfId="19" priority="29" operator="equal">
      <formula>#REF!</formula>
    </cfRule>
  </conditionalFormatting>
  <conditionalFormatting sqref="C83:D88 C90:D93">
    <cfRule type="cellIs" dxfId="18" priority="30" operator="equal">
      <formula>#REF!</formula>
    </cfRule>
  </conditionalFormatting>
  <conditionalFormatting sqref="C95:D95 C98:D98">
    <cfRule type="cellIs" dxfId="17" priority="15" operator="equal">
      <formula>#REF!</formula>
    </cfRule>
  </conditionalFormatting>
  <conditionalFormatting sqref="C96:E97">
    <cfRule type="cellIs" dxfId="16" priority="14" operator="equal">
      <formula>#REF!</formula>
    </cfRule>
  </conditionalFormatting>
  <conditionalFormatting sqref="C57:F80">
    <cfRule type="cellIs" dxfId="15" priority="4" operator="equal">
      <formula>#REF!</formula>
    </cfRule>
  </conditionalFormatting>
  <conditionalFormatting sqref="C89:F89">
    <cfRule type="cellIs" dxfId="14" priority="28" operator="equal">
      <formula>#REF!</formula>
    </cfRule>
  </conditionalFormatting>
  <conditionalFormatting sqref="C94:F94">
    <cfRule type="cellIs" dxfId="13" priority="27" operator="equal">
      <formula>#REF!</formula>
    </cfRule>
  </conditionalFormatting>
  <conditionalFormatting sqref="F8:F13">
    <cfRule type="cellIs" dxfId="12" priority="18" operator="equal">
      <formula>#REF!</formula>
    </cfRule>
  </conditionalFormatting>
  <conditionalFormatting sqref="F15">
    <cfRule type="cellIs" dxfId="11" priority="13" operator="equal">
      <formula>#REF!</formula>
    </cfRule>
  </conditionalFormatting>
  <conditionalFormatting sqref="F17">
    <cfRule type="cellIs" dxfId="10" priority="12" operator="equal">
      <formula>#REF!</formula>
    </cfRule>
  </conditionalFormatting>
  <conditionalFormatting sqref="F19">
    <cfRule type="cellIs" dxfId="9" priority="11" operator="equal">
      <formula>#REF!</formula>
    </cfRule>
  </conditionalFormatting>
  <conditionalFormatting sqref="F21:F26">
    <cfRule type="cellIs" dxfId="8" priority="10" operator="equal">
      <formula>#REF!</formula>
    </cfRule>
  </conditionalFormatting>
  <conditionalFormatting sqref="F28:F30">
    <cfRule type="cellIs" dxfId="7" priority="9" operator="equal">
      <formula>#REF!</formula>
    </cfRule>
  </conditionalFormatting>
  <conditionalFormatting sqref="F32:F38">
    <cfRule type="cellIs" dxfId="6" priority="8" operator="equal">
      <formula>#REF!</formula>
    </cfRule>
  </conditionalFormatting>
  <conditionalFormatting sqref="F40:F41">
    <cfRule type="cellIs" dxfId="5" priority="7" operator="equal">
      <formula>#REF!</formula>
    </cfRule>
  </conditionalFormatting>
  <conditionalFormatting sqref="F43:F46">
    <cfRule type="cellIs" dxfId="4" priority="5" operator="equal">
      <formula>#REF!</formula>
    </cfRule>
  </conditionalFormatting>
  <conditionalFormatting sqref="F83:F88">
    <cfRule type="cellIs" dxfId="3" priority="3" operator="equal">
      <formula>#REF!</formula>
    </cfRule>
  </conditionalFormatting>
  <conditionalFormatting sqref="F90:F93">
    <cfRule type="cellIs" dxfId="2" priority="2" operator="equal">
      <formula>#REF!</formula>
    </cfRule>
  </conditionalFormatting>
  <conditionalFormatting sqref="F95:F98">
    <cfRule type="cellIs" dxfId="1" priority="1" operator="equal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14" scale="52" fitToHeight="0" orientation="portrait" r:id="rId1"/>
  <rowBreaks count="4" manualBreakCount="4">
    <brk id="26" max="5" man="1"/>
    <brk id="54" max="5" man="1"/>
    <brk id="74" max="5" man="1"/>
    <brk id="98" max="5" man="1"/>
  </rowBreaks>
  <ignoredErrors>
    <ignoredError sqref="F5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1505F-7BBA-43A7-868B-091F4D41342B}">
  <sheetPr>
    <outlinePr summaryBelow="0" summaryRight="0"/>
    <pageSetUpPr fitToPage="1"/>
  </sheetPr>
  <dimension ref="A1:J43"/>
  <sheetViews>
    <sheetView view="pageBreakPreview" topLeftCell="B3" zoomScaleNormal="115" zoomScaleSheetLayoutView="100" zoomScalePageLayoutView="120" workbookViewId="0">
      <selection activeCell="F29" sqref="F29:F34"/>
    </sheetView>
  </sheetViews>
  <sheetFormatPr baseColWidth="10" defaultColWidth="11.42578125" defaultRowHeight="12.75"/>
  <cols>
    <col min="1" max="1" width="10" style="628" customWidth="1"/>
    <col min="2" max="2" width="56.7109375" style="628" customWidth="1"/>
    <col min="3" max="3" width="15.28515625" style="628" customWidth="1"/>
    <col min="4" max="4" width="13.5703125" style="628" customWidth="1"/>
    <col min="5" max="5" width="15" style="628" customWidth="1"/>
    <col min="6" max="6" width="15.5703125" style="628" customWidth="1"/>
    <col min="7" max="7" width="12.140625" style="628" customWidth="1"/>
    <col min="8" max="8" width="17.42578125" style="628" customWidth="1"/>
    <col min="9" max="9" width="14.140625" style="2" bestFit="1" customWidth="1"/>
    <col min="10" max="10" width="19.5703125" style="1" bestFit="1" customWidth="1"/>
    <col min="11" max="16384" width="11.42578125" style="1"/>
  </cols>
  <sheetData>
    <row r="1" spans="1:9" ht="55.5" customHeight="1" thickBot="1">
      <c r="A1" s="852" t="s">
        <v>191</v>
      </c>
      <c r="B1" s="853"/>
      <c r="C1" s="853"/>
      <c r="D1" s="853"/>
      <c r="E1" s="853"/>
      <c r="F1" s="853"/>
      <c r="G1" s="853"/>
      <c r="H1" s="854"/>
    </row>
    <row r="2" spans="1:9" ht="49.5" customHeight="1">
      <c r="A2" s="630" t="s">
        <v>1</v>
      </c>
      <c r="B2" s="631" t="s">
        <v>192</v>
      </c>
      <c r="C2" s="631" t="s">
        <v>193</v>
      </c>
      <c r="D2" s="631" t="s">
        <v>194</v>
      </c>
      <c r="E2" s="631" t="s">
        <v>195</v>
      </c>
      <c r="F2" s="631" t="s">
        <v>196</v>
      </c>
      <c r="G2" s="631" t="s">
        <v>4</v>
      </c>
      <c r="H2" s="631" t="s">
        <v>197</v>
      </c>
    </row>
    <row r="3" spans="1:9">
      <c r="A3" s="653" t="s">
        <v>198</v>
      </c>
      <c r="B3" s="654" t="s">
        <v>199</v>
      </c>
      <c r="C3" s="655"/>
      <c r="D3" s="655"/>
      <c r="E3" s="655"/>
      <c r="F3" s="655"/>
      <c r="G3" s="655"/>
      <c r="H3" s="655"/>
    </row>
    <row r="4" spans="1:9">
      <c r="A4" s="656" t="s">
        <v>8</v>
      </c>
      <c r="B4" s="657" t="s">
        <v>200</v>
      </c>
      <c r="C4" s="658"/>
      <c r="D4" s="658"/>
      <c r="E4" s="658"/>
      <c r="F4" s="658"/>
      <c r="G4" s="658"/>
      <c r="H4" s="658"/>
    </row>
    <row r="5" spans="1:9" s="4" customFormat="1">
      <c r="A5" s="22" t="s">
        <v>10</v>
      </c>
      <c r="B5" s="632" t="s">
        <v>201</v>
      </c>
      <c r="C5" s="784">
        <f>+'Tabla Salarial '!G16</f>
        <v>7879073</v>
      </c>
      <c r="D5" s="634">
        <f>+'Tabla Salarial '!$C$7</f>
        <v>1.582846</v>
      </c>
      <c r="E5" s="635">
        <v>0.2</v>
      </c>
      <c r="F5" s="636">
        <v>3</v>
      </c>
      <c r="G5" s="637">
        <v>1</v>
      </c>
      <c r="H5" s="633">
        <f>C5*D5*E5*F5*G5</f>
        <v>7482815.5090548005</v>
      </c>
      <c r="I5" s="3"/>
    </row>
    <row r="6" spans="1:9" s="4" customFormat="1">
      <c r="A6" s="22" t="s">
        <v>13</v>
      </c>
      <c r="B6" s="632" t="s">
        <v>202</v>
      </c>
      <c r="C6" s="784">
        <f>+'Tabla Salarial '!G19</f>
        <v>5252715</v>
      </c>
      <c r="D6" s="634">
        <f>+'Tabla Salarial '!$C$7</f>
        <v>1.582846</v>
      </c>
      <c r="E6" s="635">
        <v>1</v>
      </c>
      <c r="F6" s="636">
        <f>+$F$5</f>
        <v>3</v>
      </c>
      <c r="G6" s="637">
        <v>1</v>
      </c>
      <c r="H6" s="633">
        <f t="shared" ref="H6:H8" si="0">C6*D6*E6*F6*G6</f>
        <v>24942716.780669998</v>
      </c>
      <c r="I6" s="3"/>
    </row>
    <row r="7" spans="1:9" s="4" customFormat="1">
      <c r="A7" s="22" t="s">
        <v>16</v>
      </c>
      <c r="B7" s="638" t="s">
        <v>203</v>
      </c>
      <c r="C7" s="784">
        <f>+'Tabla Salarial '!G20</f>
        <v>4377263</v>
      </c>
      <c r="D7" s="634">
        <f>+'Tabla Salarial '!$C$7</f>
        <v>1.582846</v>
      </c>
      <c r="E7" s="635">
        <v>1</v>
      </c>
      <c r="F7" s="636">
        <f>+$F$5</f>
        <v>3</v>
      </c>
      <c r="G7" s="637">
        <v>1</v>
      </c>
      <c r="H7" s="633">
        <f t="shared" si="0"/>
        <v>20785599.691493999</v>
      </c>
      <c r="I7" s="3"/>
    </row>
    <row r="8" spans="1:9" s="4" customFormat="1">
      <c r="A8" s="22" t="s">
        <v>18</v>
      </c>
      <c r="B8" s="638" t="s">
        <v>204</v>
      </c>
      <c r="C8" s="785">
        <f>'Tabla Salarial '!G22</f>
        <v>3313179</v>
      </c>
      <c r="D8" s="634">
        <f>+'Tabla Salarial '!$C$7</f>
        <v>1.582846</v>
      </c>
      <c r="E8" s="640">
        <v>1</v>
      </c>
      <c r="F8" s="636">
        <f>+$F$5</f>
        <v>3</v>
      </c>
      <c r="G8" s="641">
        <v>1</v>
      </c>
      <c r="H8" s="633">
        <f t="shared" si="0"/>
        <v>15732756.382302001</v>
      </c>
      <c r="I8" s="37"/>
    </row>
    <row r="9" spans="1:9" s="4" customFormat="1" hidden="1">
      <c r="A9" s="790" t="s">
        <v>20</v>
      </c>
      <c r="B9" s="791" t="s">
        <v>205</v>
      </c>
      <c r="C9" s="792">
        <f>'Tabla Salarial '!G22</f>
        <v>3313179</v>
      </c>
      <c r="D9" s="793">
        <f>+'Tabla Salarial '!$C$7</f>
        <v>1.582846</v>
      </c>
      <c r="E9" s="794">
        <v>1</v>
      </c>
      <c r="F9" s="795">
        <f>+$F$5</f>
        <v>3</v>
      </c>
      <c r="G9" s="796">
        <v>0</v>
      </c>
      <c r="H9" s="797">
        <f t="shared" ref="H9" si="1">ROUND((C9*D9*E9*F9*G9),0)</f>
        <v>0</v>
      </c>
      <c r="I9" s="798"/>
    </row>
    <row r="10" spans="1:9" ht="25.5" customHeight="1">
      <c r="A10" s="653" t="s">
        <v>206</v>
      </c>
      <c r="B10" s="654" t="s">
        <v>207</v>
      </c>
      <c r="C10" s="655"/>
      <c r="D10" s="655"/>
      <c r="E10" s="655"/>
      <c r="F10" s="655"/>
      <c r="G10" s="655"/>
      <c r="H10" s="655"/>
    </row>
    <row r="11" spans="1:9" s="4" customFormat="1" hidden="1">
      <c r="A11" s="19" t="s">
        <v>108</v>
      </c>
      <c r="B11" s="21" t="s">
        <v>208</v>
      </c>
      <c r="C11" s="20"/>
      <c r="D11" s="20"/>
      <c r="E11" s="20"/>
      <c r="F11" s="20"/>
      <c r="G11" s="20"/>
      <c r="H11" s="20"/>
      <c r="I11" s="5"/>
    </row>
    <row r="12" spans="1:9" s="4" customFormat="1" hidden="1">
      <c r="A12" s="22" t="s">
        <v>109</v>
      </c>
      <c r="B12" s="632" t="s">
        <v>209</v>
      </c>
      <c r="C12" s="633">
        <v>1000000</v>
      </c>
      <c r="D12" s="634"/>
      <c r="E12" s="635">
        <v>1</v>
      </c>
      <c r="F12" s="636">
        <f>+$F$5</f>
        <v>3</v>
      </c>
      <c r="G12" s="637">
        <v>0</v>
      </c>
      <c r="H12" s="633">
        <f t="shared" ref="H12" si="2">ROUND((C12*E12*F12*G12),0)</f>
        <v>0</v>
      </c>
      <c r="I12" s="5"/>
    </row>
    <row r="13" spans="1:9" s="4" customFormat="1">
      <c r="A13" s="656">
        <v>2.1</v>
      </c>
      <c r="B13" s="657" t="s">
        <v>210</v>
      </c>
      <c r="C13" s="658"/>
      <c r="D13" s="658"/>
      <c r="E13" s="658"/>
      <c r="F13" s="658"/>
      <c r="G13" s="658"/>
      <c r="H13" s="658"/>
      <c r="I13" s="5"/>
    </row>
    <row r="14" spans="1:9" s="4" customFormat="1" ht="25.5">
      <c r="A14" s="22" t="s">
        <v>109</v>
      </c>
      <c r="B14" s="632" t="s">
        <v>211</v>
      </c>
      <c r="C14" s="633">
        <v>250000</v>
      </c>
      <c r="D14" s="634"/>
      <c r="E14" s="635">
        <v>1</v>
      </c>
      <c r="F14" s="636">
        <f>+$F$5</f>
        <v>3</v>
      </c>
      <c r="G14" s="637">
        <v>1</v>
      </c>
      <c r="H14" s="633">
        <f>+C14*E14*F14*G14</f>
        <v>750000</v>
      </c>
      <c r="I14" s="5"/>
    </row>
    <row r="15" spans="1:9" s="4" customFormat="1">
      <c r="A15" s="22" t="s">
        <v>110</v>
      </c>
      <c r="B15" s="632" t="s">
        <v>212</v>
      </c>
      <c r="C15" s="633">
        <v>55000</v>
      </c>
      <c r="D15" s="634"/>
      <c r="E15" s="635">
        <v>1</v>
      </c>
      <c r="F15" s="636">
        <f>+$F$5</f>
        <v>3</v>
      </c>
      <c r="G15" s="637">
        <v>1</v>
      </c>
      <c r="H15" s="633">
        <f t="shared" ref="H15:H16" si="3">+C15*E15*F15*G15</f>
        <v>165000</v>
      </c>
      <c r="I15" s="5"/>
    </row>
    <row r="16" spans="1:9" s="4" customFormat="1">
      <c r="A16" s="22" t="s">
        <v>112</v>
      </c>
      <c r="B16" s="632" t="s">
        <v>213</v>
      </c>
      <c r="C16" s="633">
        <v>250000</v>
      </c>
      <c r="D16" s="634"/>
      <c r="E16" s="635">
        <v>1</v>
      </c>
      <c r="F16" s="636">
        <v>1</v>
      </c>
      <c r="G16" s="637">
        <v>3</v>
      </c>
      <c r="H16" s="633">
        <f t="shared" si="3"/>
        <v>750000</v>
      </c>
      <c r="I16" s="5"/>
    </row>
    <row r="17" spans="1:9">
      <c r="A17" s="659" t="s">
        <v>214</v>
      </c>
      <c r="B17" s="654" t="s">
        <v>215</v>
      </c>
      <c r="C17" s="655"/>
      <c r="D17" s="655"/>
      <c r="E17" s="655"/>
      <c r="F17" s="655"/>
      <c r="G17" s="655"/>
      <c r="H17" s="655"/>
      <c r="I17" s="6"/>
    </row>
    <row r="18" spans="1:9" s="4" customFormat="1">
      <c r="A18" s="642" t="s">
        <v>155</v>
      </c>
      <c r="B18" s="643" t="s">
        <v>216</v>
      </c>
      <c r="C18" s="639">
        <f>+'Tabla Salarial '!G16</f>
        <v>7879073</v>
      </c>
      <c r="D18" s="636">
        <v>1.58</v>
      </c>
      <c r="E18" s="644">
        <v>0.1</v>
      </c>
      <c r="F18" s="636">
        <f t="shared" ref="F18:F27" si="4">+$F$5</f>
        <v>3</v>
      </c>
      <c r="G18" s="22">
        <v>1</v>
      </c>
      <c r="H18" s="639">
        <f>+C18*D18*E18*F18*G18</f>
        <v>3734680.602</v>
      </c>
      <c r="I18" s="5"/>
    </row>
    <row r="19" spans="1:9" s="4" customFormat="1">
      <c r="A19" s="642" t="s">
        <v>165</v>
      </c>
      <c r="B19" s="643" t="s">
        <v>217</v>
      </c>
      <c r="C19" s="639">
        <f>'Tabla Salarial '!C5*1.5</f>
        <v>2626357.5</v>
      </c>
      <c r="D19" s="636">
        <v>1.58</v>
      </c>
      <c r="E19" s="644">
        <v>0.1</v>
      </c>
      <c r="F19" s="636">
        <f t="shared" si="4"/>
        <v>3</v>
      </c>
      <c r="G19" s="22">
        <v>1</v>
      </c>
      <c r="H19" s="639">
        <f>+C19*D19*E19*F19*G19</f>
        <v>1244893.4550000001</v>
      </c>
      <c r="I19" s="5"/>
    </row>
    <row r="20" spans="1:9" s="4" customFormat="1">
      <c r="A20" s="642" t="s">
        <v>218</v>
      </c>
      <c r="B20" s="643" t="s">
        <v>219</v>
      </c>
      <c r="C20" s="639">
        <f>+'Tabla Salarial '!G27</f>
        <v>2875453</v>
      </c>
      <c r="D20" s="636">
        <v>1.58</v>
      </c>
      <c r="E20" s="644">
        <v>0.1</v>
      </c>
      <c r="F20" s="636">
        <f t="shared" si="4"/>
        <v>3</v>
      </c>
      <c r="G20" s="22">
        <v>1</v>
      </c>
      <c r="H20" s="639">
        <f t="shared" ref="H20:H23" si="5">+C20*D20*E20*F20*G20</f>
        <v>1362964.7220000001</v>
      </c>
      <c r="I20" s="5"/>
    </row>
    <row r="21" spans="1:9" s="4" customFormat="1">
      <c r="A21" s="642" t="s">
        <v>220</v>
      </c>
      <c r="B21" s="643" t="s">
        <v>221</v>
      </c>
      <c r="C21" s="639">
        <f>+'Tabla Salarial '!C5+'Tabla Salarial '!C6</f>
        <v>2000000</v>
      </c>
      <c r="D21" s="636">
        <v>1.58</v>
      </c>
      <c r="E21" s="644">
        <v>0.1</v>
      </c>
      <c r="F21" s="636">
        <f t="shared" si="4"/>
        <v>3</v>
      </c>
      <c r="G21" s="22">
        <v>1</v>
      </c>
      <c r="H21" s="639">
        <f t="shared" si="5"/>
        <v>948000</v>
      </c>
      <c r="I21" s="5"/>
    </row>
    <row r="22" spans="1:9" s="4" customFormat="1">
      <c r="A22" s="642" t="s">
        <v>222</v>
      </c>
      <c r="B22" s="643" t="s">
        <v>223</v>
      </c>
      <c r="C22" s="639">
        <f>+'Tabla Salarial '!C5+'Tabla Salarial '!C6</f>
        <v>2000000</v>
      </c>
      <c r="D22" s="636">
        <v>1.58</v>
      </c>
      <c r="E22" s="644">
        <v>0.1</v>
      </c>
      <c r="F22" s="636">
        <f t="shared" si="4"/>
        <v>3</v>
      </c>
      <c r="G22" s="22">
        <v>1</v>
      </c>
      <c r="H22" s="639">
        <f t="shared" si="5"/>
        <v>948000</v>
      </c>
      <c r="I22" s="5"/>
    </row>
    <row r="23" spans="1:9" s="4" customFormat="1">
      <c r="A23" s="642" t="s">
        <v>224</v>
      </c>
      <c r="B23" s="643" t="s">
        <v>225</v>
      </c>
      <c r="C23" s="639">
        <f>+'Tabla Salarial '!G20</f>
        <v>4377263</v>
      </c>
      <c r="D23" s="636">
        <v>1.58</v>
      </c>
      <c r="E23" s="644">
        <v>0.1</v>
      </c>
      <c r="F23" s="636">
        <f t="shared" si="4"/>
        <v>3</v>
      </c>
      <c r="G23" s="22">
        <v>1</v>
      </c>
      <c r="H23" s="639">
        <f t="shared" si="5"/>
        <v>2074822.662</v>
      </c>
      <c r="I23" s="5"/>
    </row>
    <row r="24" spans="1:9" s="4" customFormat="1">
      <c r="A24" s="642" t="s">
        <v>226</v>
      </c>
      <c r="B24" s="643" t="s">
        <v>227</v>
      </c>
      <c r="C24" s="639">
        <v>2000000</v>
      </c>
      <c r="D24" s="645"/>
      <c r="E24" s="644">
        <v>0.1</v>
      </c>
      <c r="F24" s="636">
        <f t="shared" si="4"/>
        <v>3</v>
      </c>
      <c r="G24" s="22">
        <v>1</v>
      </c>
      <c r="H24" s="639">
        <f>+C24*E24*F24*G24</f>
        <v>600000</v>
      </c>
      <c r="I24" s="5"/>
    </row>
    <row r="25" spans="1:9" s="4" customFormat="1">
      <c r="A25" s="642" t="s">
        <v>228</v>
      </c>
      <c r="B25" s="643" t="s">
        <v>229</v>
      </c>
      <c r="C25" s="639">
        <v>1150000</v>
      </c>
      <c r="D25" s="645"/>
      <c r="E25" s="644">
        <v>0.1</v>
      </c>
      <c r="F25" s="636">
        <f t="shared" si="4"/>
        <v>3</v>
      </c>
      <c r="G25" s="22">
        <v>1</v>
      </c>
      <c r="H25" s="639">
        <f t="shared" ref="H25:H27" si="6">+C25*E25*F25*G25</f>
        <v>345000</v>
      </c>
      <c r="I25" s="5"/>
    </row>
    <row r="26" spans="1:9" s="4" customFormat="1">
      <c r="A26" s="642" t="s">
        <v>230</v>
      </c>
      <c r="B26" s="643" t="s">
        <v>231</v>
      </c>
      <c r="C26" s="639">
        <f>908526/2</f>
        <v>454263</v>
      </c>
      <c r="D26" s="645"/>
      <c r="E26" s="644">
        <v>0.1</v>
      </c>
      <c r="F26" s="636">
        <f t="shared" si="4"/>
        <v>3</v>
      </c>
      <c r="G26" s="22">
        <v>1</v>
      </c>
      <c r="H26" s="639">
        <f t="shared" si="6"/>
        <v>136278.90000000002</v>
      </c>
      <c r="I26" s="5"/>
    </row>
    <row r="27" spans="1:9" s="4" customFormat="1">
      <c r="A27" s="642" t="s">
        <v>232</v>
      </c>
      <c r="B27" s="643" t="s">
        <v>233</v>
      </c>
      <c r="C27" s="639">
        <v>850000</v>
      </c>
      <c r="D27" s="645"/>
      <c r="E27" s="644">
        <v>0.1</v>
      </c>
      <c r="F27" s="636">
        <f t="shared" si="4"/>
        <v>3</v>
      </c>
      <c r="G27" s="22">
        <v>1</v>
      </c>
      <c r="H27" s="639">
        <f t="shared" si="6"/>
        <v>255000</v>
      </c>
      <c r="I27" s="5"/>
    </row>
    <row r="28" spans="1:9">
      <c r="A28" s="653" t="s">
        <v>234</v>
      </c>
      <c r="B28" s="654" t="s">
        <v>235</v>
      </c>
      <c r="C28" s="655"/>
      <c r="D28" s="655"/>
      <c r="E28" s="655"/>
      <c r="F28" s="653" t="s">
        <v>236</v>
      </c>
      <c r="G28" s="655"/>
      <c r="H28" s="655"/>
    </row>
    <row r="29" spans="1:9">
      <c r="A29" s="22" t="s">
        <v>237</v>
      </c>
      <c r="B29" s="23" t="s">
        <v>238</v>
      </c>
      <c r="C29" s="23"/>
      <c r="D29" s="23"/>
      <c r="E29" s="646">
        <v>2E-3</v>
      </c>
      <c r="F29" s="647">
        <v>849397759</v>
      </c>
      <c r="G29" s="642"/>
      <c r="H29" s="639">
        <f>+E29*$F$29</f>
        <v>1698795.5179999999</v>
      </c>
    </row>
    <row r="30" spans="1:9">
      <c r="A30" s="22" t="s">
        <v>239</v>
      </c>
      <c r="B30" s="24" t="s">
        <v>240</v>
      </c>
      <c r="C30" s="23"/>
      <c r="D30" s="23"/>
      <c r="E30" s="646">
        <v>0.05</v>
      </c>
      <c r="F30" s="647">
        <v>849397759</v>
      </c>
      <c r="G30" s="23"/>
      <c r="H30" s="639">
        <f>+E30*$F$30</f>
        <v>42469887.950000003</v>
      </c>
    </row>
    <row r="31" spans="1:9">
      <c r="A31" s="22" t="s">
        <v>241</v>
      </c>
      <c r="B31" s="24" t="s">
        <v>1036</v>
      </c>
      <c r="C31" s="23"/>
      <c r="D31" s="23"/>
      <c r="E31" s="646">
        <v>5.0000000000000001E-3</v>
      </c>
      <c r="F31" s="647">
        <v>849397759</v>
      </c>
      <c r="G31" s="23"/>
      <c r="H31" s="639">
        <f>+E31*$F$31</f>
        <v>4246988.7949999999</v>
      </c>
    </row>
    <row r="32" spans="1:9">
      <c r="A32" s="22" t="s">
        <v>242</v>
      </c>
      <c r="B32" s="24" t="s">
        <v>1037</v>
      </c>
      <c r="C32" s="23"/>
      <c r="D32" s="23"/>
      <c r="E32" s="646">
        <v>3.0000000000000001E-3</v>
      </c>
      <c r="F32" s="647">
        <v>849397759</v>
      </c>
      <c r="G32" s="23"/>
      <c r="H32" s="639">
        <f>+E32*$F$32</f>
        <v>2548193.2770000002</v>
      </c>
    </row>
    <row r="33" spans="1:10">
      <c r="A33" s="22" t="s">
        <v>243</v>
      </c>
      <c r="B33" s="24" t="s">
        <v>244</v>
      </c>
      <c r="C33" s="23"/>
      <c r="D33" s="23"/>
      <c r="E33" s="646">
        <v>4.0000000000000001E-3</v>
      </c>
      <c r="F33" s="647">
        <v>849397759</v>
      </c>
      <c r="G33" s="23"/>
      <c r="H33" s="639">
        <f>+E33*$F$33</f>
        <v>3397591.0359999998</v>
      </c>
    </row>
    <row r="34" spans="1:10">
      <c r="A34" s="22" t="s">
        <v>245</v>
      </c>
      <c r="B34" s="24" t="s">
        <v>246</v>
      </c>
      <c r="C34" s="23"/>
      <c r="D34" s="23"/>
      <c r="E34" s="646">
        <v>0.02</v>
      </c>
      <c r="F34" s="647">
        <v>849397759</v>
      </c>
      <c r="G34" s="23"/>
      <c r="H34" s="639">
        <f>+E34*$F$34</f>
        <v>16987955.18</v>
      </c>
      <c r="I34" s="25"/>
      <c r="J34" s="26"/>
    </row>
    <row r="35" spans="1:10">
      <c r="A35" s="653"/>
      <c r="B35" s="654" t="s">
        <v>247</v>
      </c>
      <c r="C35" s="655"/>
      <c r="D35" s="655"/>
      <c r="E35" s="655"/>
      <c r="F35" s="655"/>
      <c r="G35" s="655"/>
      <c r="H35" s="661">
        <f>SUM(H5:H34)</f>
        <v>153607940.46052083</v>
      </c>
    </row>
    <row r="36" spans="1:10">
      <c r="A36" s="856"/>
      <c r="B36" s="856"/>
      <c r="C36" s="856"/>
      <c r="D36" s="856"/>
      <c r="E36" s="856"/>
      <c r="F36" s="856"/>
      <c r="G36" s="856"/>
      <c r="H36" s="856"/>
    </row>
    <row r="37" spans="1:10">
      <c r="A37" s="653"/>
      <c r="B37" s="654" t="s">
        <v>248</v>
      </c>
      <c r="C37" s="660"/>
      <c r="D37" s="660"/>
      <c r="E37" s="660"/>
      <c r="F37" s="660"/>
      <c r="G37" s="660"/>
      <c r="H37" s="661">
        <f>+'OFERTA ECONOMICA'!F99</f>
        <v>0</v>
      </c>
      <c r="I37" s="799"/>
    </row>
    <row r="38" spans="1:10" s="4" customFormat="1">
      <c r="A38" s="857"/>
      <c r="B38" s="648" t="s">
        <v>249</v>
      </c>
      <c r="C38" s="649"/>
      <c r="D38" s="650"/>
      <c r="E38" s="651"/>
      <c r="F38" s="652" t="e">
        <f>H35/H37</f>
        <v>#DIV/0!</v>
      </c>
      <c r="G38" s="651" t="s">
        <v>250</v>
      </c>
      <c r="H38" s="649" t="e">
        <f>+H37*F38</f>
        <v>#DIV/0!</v>
      </c>
      <c r="I38" s="27"/>
    </row>
    <row r="39" spans="1:10" s="4" customFormat="1" ht="15" customHeight="1">
      <c r="A39" s="857"/>
      <c r="B39" s="648" t="s">
        <v>251</v>
      </c>
      <c r="C39" s="649"/>
      <c r="D39" s="650"/>
      <c r="E39" s="651"/>
      <c r="F39" s="651">
        <v>0.05</v>
      </c>
      <c r="G39" s="651" t="s">
        <v>252</v>
      </c>
      <c r="H39" s="649">
        <f>H37*F39</f>
        <v>0</v>
      </c>
      <c r="I39" s="28"/>
      <c r="J39" s="800"/>
    </row>
    <row r="40" spans="1:10" ht="15.75" customHeight="1">
      <c r="A40" s="857"/>
      <c r="B40" s="29" t="s">
        <v>253</v>
      </c>
      <c r="C40" s="30"/>
      <c r="D40" s="30"/>
      <c r="E40" s="30"/>
      <c r="F40" s="31"/>
      <c r="G40" s="31"/>
      <c r="H40" s="32" t="e">
        <f>+H38+H39</f>
        <v>#DIV/0!</v>
      </c>
      <c r="J40" s="802"/>
    </row>
    <row r="41" spans="1:10">
      <c r="A41" s="855" t="s">
        <v>254</v>
      </c>
      <c r="B41" s="855"/>
      <c r="C41" s="855"/>
      <c r="D41" s="855"/>
      <c r="E41" s="855"/>
      <c r="F41" s="662" t="e">
        <f>F38+F39</f>
        <v>#DIV/0!</v>
      </c>
      <c r="G41" s="662"/>
      <c r="H41" s="663"/>
    </row>
    <row r="42" spans="1:10" ht="16.5" customHeight="1">
      <c r="A42" s="855" t="s">
        <v>190</v>
      </c>
      <c r="B42" s="855"/>
      <c r="C42" s="855"/>
      <c r="D42" s="855"/>
      <c r="E42" s="855"/>
      <c r="F42" s="855"/>
      <c r="G42" s="855"/>
      <c r="H42" s="661" t="e">
        <f>+H37+H40</f>
        <v>#DIV/0!</v>
      </c>
    </row>
    <row r="43" spans="1:10">
      <c r="F43" s="629"/>
    </row>
  </sheetData>
  <mergeCells count="6">
    <mergeCell ref="A1:H1"/>
    <mergeCell ref="A42:E42"/>
    <mergeCell ref="F42:G42"/>
    <mergeCell ref="A36:H36"/>
    <mergeCell ref="A38:A40"/>
    <mergeCell ref="A41:E41"/>
  </mergeCells>
  <phoneticPr fontId="10" type="noConversion"/>
  <pageMargins left="0.70866141732283472" right="0.70866141732283472" top="0.74803149606299213" bottom="0.74803149606299213" header="0.31496062992125984" footer="0.31496062992125984"/>
  <pageSetup scale="7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0C049-6E2F-4272-B1F3-14C8D3BE0FFE}">
  <dimension ref="A1:J109"/>
  <sheetViews>
    <sheetView topLeftCell="A95" zoomScaleNormal="100" workbookViewId="0">
      <selection activeCell="H109" sqref="H109"/>
    </sheetView>
  </sheetViews>
  <sheetFormatPr baseColWidth="10" defaultColWidth="9.140625" defaultRowHeight="14.25"/>
  <cols>
    <col min="1" max="1" width="7.5703125" style="33" customWidth="1"/>
    <col min="2" max="2" width="20.7109375" style="33" customWidth="1"/>
    <col min="3" max="3" width="22" style="33" customWidth="1"/>
    <col min="4" max="4" width="35.7109375" style="33" customWidth="1"/>
    <col min="5" max="5" width="10.5703125" style="227" customWidth="1"/>
    <col min="6" max="6" width="8.28515625" style="33" customWidth="1"/>
    <col min="7" max="7" width="15.28515625" style="33" customWidth="1"/>
    <col min="8" max="8" width="20.5703125" style="33" customWidth="1"/>
    <col min="9" max="9" width="9.140625" style="33"/>
    <col min="10" max="10" width="11.7109375" style="33" bestFit="1" customWidth="1"/>
    <col min="11" max="16384" width="9.140625" style="33"/>
  </cols>
  <sheetData>
    <row r="1" spans="1:10" ht="48.75" customHeight="1">
      <c r="A1" s="884" t="s">
        <v>255</v>
      </c>
      <c r="B1" s="884"/>
      <c r="C1" s="884"/>
      <c r="D1" s="884"/>
      <c r="E1" s="884"/>
      <c r="F1" s="884"/>
      <c r="G1" s="884"/>
      <c r="H1" s="884"/>
    </row>
    <row r="2" spans="1:10" ht="10.5" customHeight="1" thickBot="1">
      <c r="A2" s="864"/>
      <c r="B2" s="864"/>
      <c r="C2" s="864"/>
      <c r="D2" s="864"/>
      <c r="E2" s="864"/>
      <c r="F2" s="864"/>
      <c r="G2" s="865"/>
    </row>
    <row r="3" spans="1:10" ht="15" thickBot="1">
      <c r="A3" s="866" t="s">
        <v>256</v>
      </c>
      <c r="B3" s="867"/>
      <c r="C3" s="867"/>
      <c r="D3" s="867"/>
      <c r="E3" s="867"/>
      <c r="F3" s="867"/>
      <c r="G3" s="867"/>
      <c r="H3" s="868"/>
    </row>
    <row r="4" spans="1:10" ht="26.25" customHeight="1" thickBot="1">
      <c r="A4" s="869" t="s">
        <v>256</v>
      </c>
      <c r="B4" s="664" t="s">
        <v>257</v>
      </c>
      <c r="C4" s="665" t="s">
        <v>258</v>
      </c>
      <c r="D4" s="665" t="s">
        <v>259</v>
      </c>
      <c r="E4" s="666" t="s">
        <v>4</v>
      </c>
      <c r="F4" s="665" t="s">
        <v>3</v>
      </c>
      <c r="G4" s="667" t="s">
        <v>260</v>
      </c>
      <c r="H4" s="668" t="s">
        <v>261</v>
      </c>
    </row>
    <row r="5" spans="1:10" s="34" customFormat="1" ht="33.75" hidden="1">
      <c r="A5" s="870"/>
      <c r="B5" s="871" t="s">
        <v>262</v>
      </c>
      <c r="C5" s="873" t="s">
        <v>263</v>
      </c>
      <c r="D5" s="671" t="s">
        <v>264</v>
      </c>
      <c r="E5" s="672">
        <v>0</v>
      </c>
      <c r="F5" s="673" t="s">
        <v>265</v>
      </c>
      <c r="G5" s="674">
        <f>ROUND((5000*100+350000),0)</f>
        <v>850000</v>
      </c>
      <c r="H5" s="675">
        <f>ROUND(E5*G5,0)</f>
        <v>0</v>
      </c>
    </row>
    <row r="6" spans="1:10" s="34" customFormat="1" ht="33.75">
      <c r="A6" s="870"/>
      <c r="B6" s="872"/>
      <c r="C6" s="874"/>
      <c r="D6" s="678" t="s">
        <v>266</v>
      </c>
      <c r="E6" s="679">
        <v>3</v>
      </c>
      <c r="F6" s="680" t="s">
        <v>267</v>
      </c>
      <c r="G6" s="674">
        <f>ROUND((5000*100+350000),0)</f>
        <v>850000</v>
      </c>
      <c r="H6" s="681">
        <f t="shared" ref="H6:H12" si="0">ROUND(E6*G6,0)</f>
        <v>2550000</v>
      </c>
    </row>
    <row r="7" spans="1:10" s="34" customFormat="1" ht="15">
      <c r="A7" s="870"/>
      <c r="B7" s="875" t="s">
        <v>268</v>
      </c>
      <c r="C7" s="876" t="s">
        <v>269</v>
      </c>
      <c r="D7" s="678" t="s">
        <v>270</v>
      </c>
      <c r="E7" s="679">
        <v>3</v>
      </c>
      <c r="F7" s="680" t="s">
        <v>265</v>
      </c>
      <c r="G7" s="684">
        <v>35000</v>
      </c>
      <c r="H7" s="684">
        <f t="shared" si="0"/>
        <v>105000</v>
      </c>
    </row>
    <row r="8" spans="1:10" s="34" customFormat="1" ht="33.75">
      <c r="A8" s="870"/>
      <c r="B8" s="872"/>
      <c r="C8" s="874"/>
      <c r="D8" s="678" t="s">
        <v>271</v>
      </c>
      <c r="E8" s="679">
        <v>977</v>
      </c>
      <c r="F8" s="680" t="s">
        <v>265</v>
      </c>
      <c r="G8" s="684">
        <v>550</v>
      </c>
      <c r="H8" s="684">
        <f t="shared" si="0"/>
        <v>537350</v>
      </c>
    </row>
    <row r="9" spans="1:10" s="34" customFormat="1" ht="15">
      <c r="A9" s="870"/>
      <c r="B9" s="872"/>
      <c r="C9" s="874"/>
      <c r="D9" s="685" t="s">
        <v>272</v>
      </c>
      <c r="E9" s="679">
        <v>3</v>
      </c>
      <c r="F9" s="680" t="s">
        <v>265</v>
      </c>
      <c r="G9" s="684">
        <v>65000</v>
      </c>
      <c r="H9" s="684">
        <f t="shared" si="0"/>
        <v>195000</v>
      </c>
      <c r="J9" s="626"/>
    </row>
    <row r="10" spans="1:10" s="34" customFormat="1" ht="22.5">
      <c r="A10" s="870"/>
      <c r="B10" s="872"/>
      <c r="C10" s="874"/>
      <c r="D10" s="685" t="s">
        <v>273</v>
      </c>
      <c r="E10" s="679">
        <v>3</v>
      </c>
      <c r="F10" s="680" t="s">
        <v>265</v>
      </c>
      <c r="G10" s="684">
        <v>140000</v>
      </c>
      <c r="H10" s="684">
        <f t="shared" si="0"/>
        <v>420000</v>
      </c>
    </row>
    <row r="11" spans="1:10" ht="33.75" hidden="1">
      <c r="A11" s="870"/>
      <c r="B11" s="872"/>
      <c r="C11" s="874"/>
      <c r="D11" s="685" t="s">
        <v>274</v>
      </c>
      <c r="E11" s="679">
        <v>0</v>
      </c>
      <c r="F11" s="680" t="s">
        <v>275</v>
      </c>
      <c r="G11" s="684">
        <v>500000</v>
      </c>
      <c r="H11" s="684">
        <f t="shared" si="0"/>
        <v>0</v>
      </c>
    </row>
    <row r="12" spans="1:10" ht="50.25" customHeight="1" thickBot="1">
      <c r="A12" s="870"/>
      <c r="B12" s="872"/>
      <c r="C12" s="874"/>
      <c r="D12" s="685" t="s">
        <v>276</v>
      </c>
      <c r="E12" s="679">
        <v>2</v>
      </c>
      <c r="F12" s="680" t="s">
        <v>265</v>
      </c>
      <c r="G12" s="684">
        <v>110000</v>
      </c>
      <c r="H12" s="684">
        <f t="shared" si="0"/>
        <v>220000</v>
      </c>
    </row>
    <row r="13" spans="1:10" ht="12.75" customHeight="1" thickBot="1">
      <c r="A13" s="858" t="s">
        <v>277</v>
      </c>
      <c r="B13" s="859"/>
      <c r="C13" s="859"/>
      <c r="D13" s="859"/>
      <c r="E13" s="859"/>
      <c r="F13" s="859"/>
      <c r="G13" s="860"/>
      <c r="H13" s="1232">
        <f>SUM(H5:H12)</f>
        <v>4027350</v>
      </c>
    </row>
    <row r="14" spans="1:10" ht="12.75" customHeight="1" thickBot="1">
      <c r="A14" s="686"/>
      <c r="B14" s="686"/>
      <c r="C14" s="686"/>
      <c r="D14" s="686"/>
      <c r="E14" s="687"/>
      <c r="F14" s="686"/>
      <c r="G14" s="686"/>
      <c r="H14" s="686"/>
    </row>
    <row r="15" spans="1:10" ht="25.5" customHeight="1" thickBot="1">
      <c r="A15" s="861" t="s">
        <v>278</v>
      </c>
      <c r="B15" s="862"/>
      <c r="C15" s="862"/>
      <c r="D15" s="862"/>
      <c r="E15" s="862"/>
      <c r="F15" s="862"/>
      <c r="G15" s="862"/>
      <c r="H15" s="863"/>
    </row>
    <row r="16" spans="1:10" ht="24" customHeight="1" thickBot="1">
      <c r="A16" s="879" t="s">
        <v>278</v>
      </c>
      <c r="B16" s="688" t="s">
        <v>279</v>
      </c>
      <c r="C16" s="689" t="s">
        <v>258</v>
      </c>
      <c r="D16" s="689" t="s">
        <v>259</v>
      </c>
      <c r="E16" s="690" t="s">
        <v>4</v>
      </c>
      <c r="F16" s="689" t="s">
        <v>3</v>
      </c>
      <c r="G16" s="691" t="s">
        <v>260</v>
      </c>
      <c r="H16" s="692" t="s">
        <v>261</v>
      </c>
    </row>
    <row r="17" spans="1:10">
      <c r="A17" s="880"/>
      <c r="B17" s="872"/>
      <c r="C17" s="874"/>
      <c r="D17" s="685" t="s">
        <v>280</v>
      </c>
      <c r="E17" s="672">
        <v>3</v>
      </c>
      <c r="F17" s="673" t="s">
        <v>265</v>
      </c>
      <c r="G17" s="693">
        <v>210000</v>
      </c>
      <c r="H17" s="694">
        <f t="shared" ref="H17:H59" si="1">ROUND(E17*G17,0)</f>
        <v>630000</v>
      </c>
    </row>
    <row r="18" spans="1:10" ht="22.5">
      <c r="A18" s="880"/>
      <c r="B18" s="872"/>
      <c r="C18" s="874"/>
      <c r="D18" s="671" t="s">
        <v>281</v>
      </c>
      <c r="E18" s="672">
        <v>3</v>
      </c>
      <c r="F18" s="673" t="s">
        <v>265</v>
      </c>
      <c r="G18" s="695">
        <v>55184</v>
      </c>
      <c r="H18" s="693">
        <f t="shared" si="1"/>
        <v>165552</v>
      </c>
    </row>
    <row r="19" spans="1:10" hidden="1">
      <c r="A19" s="880"/>
      <c r="B19" s="872"/>
      <c r="C19" s="874"/>
      <c r="D19" s="671" t="s">
        <v>282</v>
      </c>
      <c r="E19" s="672">
        <v>0</v>
      </c>
      <c r="F19" s="673" t="s">
        <v>265</v>
      </c>
      <c r="G19" s="695">
        <f>159900</f>
        <v>159900</v>
      </c>
      <c r="H19" s="693">
        <f t="shared" si="1"/>
        <v>0</v>
      </c>
    </row>
    <row r="20" spans="1:10" ht="22.5">
      <c r="A20" s="880"/>
      <c r="B20" s="872"/>
      <c r="C20" s="874"/>
      <c r="D20" s="671" t="s">
        <v>283</v>
      </c>
      <c r="E20" s="672">
        <v>3</v>
      </c>
      <c r="F20" s="673" t="s">
        <v>284</v>
      </c>
      <c r="G20" s="695">
        <v>54000</v>
      </c>
      <c r="H20" s="693">
        <f t="shared" si="1"/>
        <v>162000</v>
      </c>
    </row>
    <row r="21" spans="1:10" hidden="1">
      <c r="A21" s="880"/>
      <c r="B21" s="872"/>
      <c r="C21" s="874"/>
      <c r="D21" s="671" t="s">
        <v>285</v>
      </c>
      <c r="E21" s="672">
        <v>0</v>
      </c>
      <c r="F21" s="673" t="s">
        <v>286</v>
      </c>
      <c r="G21" s="695">
        <f>226760/2</f>
        <v>113380</v>
      </c>
      <c r="H21" s="693">
        <f t="shared" si="1"/>
        <v>0</v>
      </c>
    </row>
    <row r="22" spans="1:10">
      <c r="A22" s="880"/>
      <c r="B22" s="872"/>
      <c r="C22" s="874"/>
      <c r="D22" s="671" t="s">
        <v>287</v>
      </c>
      <c r="E22" s="672">
        <v>3</v>
      </c>
      <c r="F22" s="673" t="s">
        <v>265</v>
      </c>
      <c r="G22" s="695">
        <v>86400</v>
      </c>
      <c r="H22" s="693">
        <f t="shared" si="1"/>
        <v>259200</v>
      </c>
    </row>
    <row r="23" spans="1:10" s="34" customFormat="1" ht="15" hidden="1">
      <c r="A23" s="880"/>
      <c r="B23" s="872"/>
      <c r="C23" s="874"/>
      <c r="D23" s="671" t="s">
        <v>288</v>
      </c>
      <c r="E23" s="679">
        <v>0</v>
      </c>
      <c r="F23" s="673" t="s">
        <v>265</v>
      </c>
      <c r="G23" s="695">
        <v>320000</v>
      </c>
      <c r="H23" s="693">
        <f t="shared" si="1"/>
        <v>0</v>
      </c>
    </row>
    <row r="24" spans="1:10" s="34" customFormat="1" ht="15">
      <c r="A24" s="880"/>
      <c r="B24" s="872"/>
      <c r="C24" s="874"/>
      <c r="D24" s="671" t="s">
        <v>289</v>
      </c>
      <c r="E24" s="679">
        <v>3</v>
      </c>
      <c r="F24" s="673" t="s">
        <v>265</v>
      </c>
      <c r="G24" s="695">
        <v>81731</v>
      </c>
      <c r="H24" s="693">
        <f t="shared" si="1"/>
        <v>245193</v>
      </c>
      <c r="J24" s="626"/>
    </row>
    <row r="25" spans="1:10" s="34" customFormat="1" ht="15" hidden="1">
      <c r="A25" s="880"/>
      <c r="B25" s="872"/>
      <c r="C25" s="874"/>
      <c r="D25" s="671" t="s">
        <v>290</v>
      </c>
      <c r="E25" s="679">
        <v>0</v>
      </c>
      <c r="F25" s="673" t="s">
        <v>265</v>
      </c>
      <c r="G25" s="695">
        <f>ROUND(71000/4,0)</f>
        <v>17750</v>
      </c>
      <c r="H25" s="693">
        <f t="shared" si="1"/>
        <v>0</v>
      </c>
    </row>
    <row r="26" spans="1:10" s="34" customFormat="1" ht="15">
      <c r="A26" s="880"/>
      <c r="B26" s="872"/>
      <c r="C26" s="874"/>
      <c r="D26" s="671" t="s">
        <v>291</v>
      </c>
      <c r="E26" s="679">
        <v>3</v>
      </c>
      <c r="F26" s="673" t="s">
        <v>265</v>
      </c>
      <c r="G26" s="695">
        <f>18600*1.19</f>
        <v>22134</v>
      </c>
      <c r="H26" s="693">
        <f t="shared" si="1"/>
        <v>66402</v>
      </c>
      <c r="J26" s="626"/>
    </row>
    <row r="27" spans="1:10" s="34" customFormat="1" ht="22.5" hidden="1">
      <c r="A27" s="880"/>
      <c r="B27" s="872"/>
      <c r="C27" s="874"/>
      <c r="D27" s="671" t="s">
        <v>292</v>
      </c>
      <c r="E27" s="672">
        <v>0</v>
      </c>
      <c r="F27" s="673" t="s">
        <v>293</v>
      </c>
      <c r="G27" s="695">
        <v>105900</v>
      </c>
      <c r="H27" s="693">
        <f t="shared" si="1"/>
        <v>0</v>
      </c>
    </row>
    <row r="28" spans="1:10" s="34" customFormat="1" ht="22.5" hidden="1">
      <c r="A28" s="880"/>
      <c r="B28" s="872"/>
      <c r="C28" s="874"/>
      <c r="D28" s="696" t="s">
        <v>294</v>
      </c>
      <c r="E28" s="672">
        <v>0</v>
      </c>
      <c r="F28" s="673" t="s">
        <v>275</v>
      </c>
      <c r="G28" s="695">
        <v>550000</v>
      </c>
      <c r="H28" s="695">
        <f>ROUND(E28*G28,0)</f>
        <v>0</v>
      </c>
    </row>
    <row r="29" spans="1:10" s="34" customFormat="1" ht="15">
      <c r="A29" s="880"/>
      <c r="B29" s="872"/>
      <c r="C29" s="874"/>
      <c r="D29" s="696" t="s">
        <v>295</v>
      </c>
      <c r="E29" s="672">
        <v>0</v>
      </c>
      <c r="F29" s="673" t="s">
        <v>267</v>
      </c>
      <c r="G29" s="695">
        <v>450000</v>
      </c>
      <c r="H29" s="695">
        <f>ROUND(E29*G29,0)</f>
        <v>0</v>
      </c>
    </row>
    <row r="30" spans="1:10" s="34" customFormat="1" ht="15" hidden="1">
      <c r="A30" s="880"/>
      <c r="B30" s="872"/>
      <c r="C30" s="876" t="s">
        <v>296</v>
      </c>
      <c r="D30" s="685" t="s">
        <v>297</v>
      </c>
      <c r="E30" s="679">
        <v>0</v>
      </c>
      <c r="F30" s="680" t="s">
        <v>265</v>
      </c>
      <c r="G30" s="693">
        <f>80000*1.19</f>
        <v>95200</v>
      </c>
      <c r="H30" s="694">
        <f t="shared" si="1"/>
        <v>0</v>
      </c>
    </row>
    <row r="31" spans="1:10" s="34" customFormat="1" ht="15">
      <c r="A31" s="880"/>
      <c r="B31" s="872"/>
      <c r="C31" s="874"/>
      <c r="D31" s="696" t="s">
        <v>298</v>
      </c>
      <c r="E31" s="679">
        <v>6</v>
      </c>
      <c r="F31" s="673" t="s">
        <v>265</v>
      </c>
      <c r="G31" s="697">
        <f>8700*1.19</f>
        <v>10353</v>
      </c>
      <c r="H31" s="698">
        <f t="shared" si="1"/>
        <v>62118</v>
      </c>
    </row>
    <row r="32" spans="1:10" s="34" customFormat="1" ht="22.5">
      <c r="A32" s="880"/>
      <c r="B32" s="872"/>
      <c r="C32" s="874"/>
      <c r="D32" s="696" t="s">
        <v>299</v>
      </c>
      <c r="E32" s="672">
        <v>15</v>
      </c>
      <c r="F32" s="673" t="s">
        <v>265</v>
      </c>
      <c r="G32" s="693">
        <v>60000</v>
      </c>
      <c r="H32" s="698">
        <f t="shared" si="1"/>
        <v>900000</v>
      </c>
    </row>
    <row r="33" spans="1:8" s="34" customFormat="1" ht="15" hidden="1">
      <c r="A33" s="880"/>
      <c r="B33" s="872"/>
      <c r="C33" s="874"/>
      <c r="D33" s="699" t="s">
        <v>300</v>
      </c>
      <c r="E33" s="672">
        <v>0</v>
      </c>
      <c r="F33" s="700" t="s">
        <v>55</v>
      </c>
      <c r="G33" s="693">
        <f>71900*1.19</f>
        <v>85561</v>
      </c>
      <c r="H33" s="701">
        <f t="shared" si="1"/>
        <v>0</v>
      </c>
    </row>
    <row r="34" spans="1:8" s="34" customFormat="1" ht="15">
      <c r="A34" s="880"/>
      <c r="B34" s="872"/>
      <c r="C34" s="874"/>
      <c r="D34" s="685" t="s">
        <v>301</v>
      </c>
      <c r="E34" s="679">
        <v>30</v>
      </c>
      <c r="F34" s="680" t="s">
        <v>265</v>
      </c>
      <c r="G34" s="693">
        <f>35800*1.19</f>
        <v>42602</v>
      </c>
      <c r="H34" s="694">
        <f t="shared" si="1"/>
        <v>1278060</v>
      </c>
    </row>
    <row r="35" spans="1:8" s="34" customFormat="1" ht="15">
      <c r="A35" s="880"/>
      <c r="B35" s="872"/>
      <c r="C35" s="874"/>
      <c r="D35" s="685" t="s">
        <v>302</v>
      </c>
      <c r="E35" s="679">
        <v>60</v>
      </c>
      <c r="F35" s="680" t="s">
        <v>265</v>
      </c>
      <c r="G35" s="693">
        <f>1300*1.19</f>
        <v>1547</v>
      </c>
      <c r="H35" s="694">
        <f t="shared" si="1"/>
        <v>92820</v>
      </c>
    </row>
    <row r="36" spans="1:8" s="34" customFormat="1" ht="15">
      <c r="A36" s="880"/>
      <c r="B36" s="872"/>
      <c r="C36" s="874"/>
      <c r="D36" s="685" t="s">
        <v>303</v>
      </c>
      <c r="E36" s="679">
        <v>2</v>
      </c>
      <c r="F36" s="680" t="s">
        <v>265</v>
      </c>
      <c r="G36" s="693">
        <f>31900*1.19</f>
        <v>37961</v>
      </c>
      <c r="H36" s="694">
        <f t="shared" si="1"/>
        <v>75922</v>
      </c>
    </row>
    <row r="37" spans="1:8" s="34" customFormat="1" ht="15">
      <c r="A37" s="880"/>
      <c r="B37" s="872"/>
      <c r="C37" s="874"/>
      <c r="D37" s="685" t="s">
        <v>304</v>
      </c>
      <c r="E37" s="679">
        <v>60</v>
      </c>
      <c r="F37" s="680" t="s">
        <v>265</v>
      </c>
      <c r="G37" s="693">
        <f>5000*1.19</f>
        <v>5950</v>
      </c>
      <c r="H37" s="694">
        <f t="shared" si="1"/>
        <v>357000</v>
      </c>
    </row>
    <row r="38" spans="1:8" s="34" customFormat="1" ht="15">
      <c r="A38" s="880"/>
      <c r="B38" s="872"/>
      <c r="C38" s="874"/>
      <c r="D38" s="685" t="s">
        <v>305</v>
      </c>
      <c r="E38" s="679">
        <v>60</v>
      </c>
      <c r="F38" s="680" t="s">
        <v>265</v>
      </c>
      <c r="G38" s="693">
        <f>13557</f>
        <v>13557</v>
      </c>
      <c r="H38" s="694">
        <f t="shared" si="1"/>
        <v>813420</v>
      </c>
    </row>
    <row r="39" spans="1:8">
      <c r="A39" s="880"/>
      <c r="B39" s="872"/>
      <c r="C39" s="874"/>
      <c r="D39" s="702" t="s">
        <v>306</v>
      </c>
      <c r="E39" s="679">
        <v>60</v>
      </c>
      <c r="F39" s="680" t="s">
        <v>265</v>
      </c>
      <c r="G39" s="693">
        <f>98953/100</f>
        <v>989.53</v>
      </c>
      <c r="H39" s="694">
        <f t="shared" si="1"/>
        <v>59372</v>
      </c>
    </row>
    <row r="40" spans="1:8">
      <c r="A40" s="880"/>
      <c r="B40" s="872"/>
      <c r="C40" s="874"/>
      <c r="D40" s="702" t="s">
        <v>307</v>
      </c>
      <c r="E40" s="679">
        <v>60</v>
      </c>
      <c r="F40" s="680" t="s">
        <v>265</v>
      </c>
      <c r="G40" s="693">
        <v>32900</v>
      </c>
      <c r="H40" s="694">
        <f t="shared" si="1"/>
        <v>1974000</v>
      </c>
    </row>
    <row r="41" spans="1:8">
      <c r="A41" s="880"/>
      <c r="B41" s="872"/>
      <c r="C41" s="874"/>
      <c r="D41" s="702" t="s">
        <v>308</v>
      </c>
      <c r="E41" s="679">
        <v>60</v>
      </c>
      <c r="F41" s="680" t="s">
        <v>265</v>
      </c>
      <c r="G41" s="693">
        <v>8900</v>
      </c>
      <c r="H41" s="694">
        <f t="shared" si="1"/>
        <v>534000</v>
      </c>
    </row>
    <row r="42" spans="1:8" hidden="1">
      <c r="A42" s="880"/>
      <c r="B42" s="872"/>
      <c r="C42" s="874"/>
      <c r="D42" s="702" t="s">
        <v>309</v>
      </c>
      <c r="E42" s="679">
        <v>0</v>
      </c>
      <c r="F42" s="680" t="s">
        <v>265</v>
      </c>
      <c r="G42" s="693">
        <f>5600*1.19</f>
        <v>6664</v>
      </c>
      <c r="H42" s="694">
        <f t="shared" si="1"/>
        <v>0</v>
      </c>
    </row>
    <row r="43" spans="1:8">
      <c r="A43" s="880"/>
      <c r="B43" s="872"/>
      <c r="C43" s="874"/>
      <c r="D43" s="702" t="s">
        <v>310</v>
      </c>
      <c r="E43" s="679">
        <v>60</v>
      </c>
      <c r="F43" s="680" t="s">
        <v>265</v>
      </c>
      <c r="G43" s="693">
        <f>3700*1.19</f>
        <v>4403</v>
      </c>
      <c r="H43" s="694">
        <f t="shared" si="1"/>
        <v>264180</v>
      </c>
    </row>
    <row r="44" spans="1:8">
      <c r="A44" s="880"/>
      <c r="B44" s="872"/>
      <c r="C44" s="874"/>
      <c r="D44" s="702" t="s">
        <v>311</v>
      </c>
      <c r="E44" s="679">
        <v>60</v>
      </c>
      <c r="F44" s="680" t="s">
        <v>265</v>
      </c>
      <c r="G44" s="693">
        <f>650*1.19</f>
        <v>773.5</v>
      </c>
      <c r="H44" s="694">
        <f t="shared" si="1"/>
        <v>46410</v>
      </c>
    </row>
    <row r="45" spans="1:8" ht="22.5">
      <c r="A45" s="880"/>
      <c r="B45" s="872"/>
      <c r="C45" s="874"/>
      <c r="D45" s="685" t="s">
        <v>312</v>
      </c>
      <c r="E45" s="679">
        <v>3</v>
      </c>
      <c r="F45" s="680" t="s">
        <v>265</v>
      </c>
      <c r="G45" s="693">
        <f>5800</f>
        <v>5800</v>
      </c>
      <c r="H45" s="694">
        <f t="shared" si="1"/>
        <v>17400</v>
      </c>
    </row>
    <row r="46" spans="1:8">
      <c r="A46" s="880"/>
      <c r="B46" s="872"/>
      <c r="C46" s="874"/>
      <c r="D46" s="685" t="s">
        <v>313</v>
      </c>
      <c r="E46" s="679">
        <v>3</v>
      </c>
      <c r="F46" s="680" t="s">
        <v>265</v>
      </c>
      <c r="G46" s="693">
        <f>ROUND(127400/4,0)</f>
        <v>31850</v>
      </c>
      <c r="H46" s="694">
        <f t="shared" si="1"/>
        <v>95550</v>
      </c>
    </row>
    <row r="47" spans="1:8" hidden="1">
      <c r="A47" s="880"/>
      <c r="B47" s="872"/>
      <c r="C47" s="874"/>
      <c r="D47" s="685" t="s">
        <v>314</v>
      </c>
      <c r="E47" s="679">
        <v>0</v>
      </c>
      <c r="F47" s="680" t="s">
        <v>265</v>
      </c>
      <c r="G47" s="693">
        <f>20400*1.19</f>
        <v>24276</v>
      </c>
      <c r="H47" s="694">
        <f t="shared" si="1"/>
        <v>0</v>
      </c>
    </row>
    <row r="48" spans="1:8" hidden="1">
      <c r="A48" s="880"/>
      <c r="B48" s="872"/>
      <c r="C48" s="874"/>
      <c r="D48" s="685" t="s">
        <v>315</v>
      </c>
      <c r="E48" s="679">
        <v>0</v>
      </c>
      <c r="F48" s="680" t="s">
        <v>265</v>
      </c>
      <c r="G48" s="693">
        <f>27000*1.19</f>
        <v>32130</v>
      </c>
      <c r="H48" s="694">
        <f t="shared" si="1"/>
        <v>0</v>
      </c>
    </row>
    <row r="49" spans="1:8" hidden="1">
      <c r="A49" s="880"/>
      <c r="B49" s="872"/>
      <c r="C49" s="874"/>
      <c r="D49" s="685" t="s">
        <v>316</v>
      </c>
      <c r="E49" s="679">
        <v>0</v>
      </c>
      <c r="F49" s="680" t="s">
        <v>265</v>
      </c>
      <c r="G49" s="693">
        <v>15000</v>
      </c>
      <c r="H49" s="694">
        <f t="shared" si="1"/>
        <v>0</v>
      </c>
    </row>
    <row r="50" spans="1:8" hidden="1">
      <c r="A50" s="880"/>
      <c r="B50" s="872"/>
      <c r="C50" s="874"/>
      <c r="D50" s="685" t="s">
        <v>317</v>
      </c>
      <c r="E50" s="679">
        <v>0</v>
      </c>
      <c r="F50" s="680" t="s">
        <v>265</v>
      </c>
      <c r="G50" s="693">
        <f>40000*1.19</f>
        <v>47600</v>
      </c>
      <c r="H50" s="694">
        <f t="shared" si="1"/>
        <v>0</v>
      </c>
    </row>
    <row r="51" spans="1:8" hidden="1">
      <c r="A51" s="880"/>
      <c r="B51" s="872"/>
      <c r="C51" s="874"/>
      <c r="D51" s="685" t="s">
        <v>318</v>
      </c>
      <c r="E51" s="679">
        <v>0</v>
      </c>
      <c r="F51" s="680" t="s">
        <v>265</v>
      </c>
      <c r="G51" s="693">
        <f>ROUND(205900*1.19/4,0)</f>
        <v>61255</v>
      </c>
      <c r="H51" s="694">
        <f t="shared" si="1"/>
        <v>0</v>
      </c>
    </row>
    <row r="52" spans="1:8">
      <c r="A52" s="880"/>
      <c r="B52" s="872"/>
      <c r="C52" s="874"/>
      <c r="D52" s="685" t="s">
        <v>319</v>
      </c>
      <c r="E52" s="679">
        <v>3</v>
      </c>
      <c r="F52" s="680" t="s">
        <v>320</v>
      </c>
      <c r="G52" s="693">
        <f>ROUND(136500/3,0)</f>
        <v>45500</v>
      </c>
      <c r="H52" s="693">
        <f t="shared" si="1"/>
        <v>136500</v>
      </c>
    </row>
    <row r="53" spans="1:8">
      <c r="A53" s="880"/>
      <c r="B53" s="872"/>
      <c r="C53" s="874"/>
      <c r="D53" s="685" t="s">
        <v>321</v>
      </c>
      <c r="E53" s="679">
        <v>3</v>
      </c>
      <c r="F53" s="680" t="s">
        <v>320</v>
      </c>
      <c r="G53" s="693">
        <f>ROUND(229900/3,0)</f>
        <v>76633</v>
      </c>
      <c r="H53" s="693">
        <f t="shared" si="1"/>
        <v>229899</v>
      </c>
    </row>
    <row r="54" spans="1:8">
      <c r="A54" s="880"/>
      <c r="B54" s="872"/>
      <c r="C54" s="874"/>
      <c r="D54" s="685" t="s">
        <v>322</v>
      </c>
      <c r="E54" s="679">
        <v>3</v>
      </c>
      <c r="F54" s="680" t="s">
        <v>265</v>
      </c>
      <c r="G54" s="693">
        <f>ROUND(229900/3,0)</f>
        <v>76633</v>
      </c>
      <c r="H54" s="693">
        <f t="shared" si="1"/>
        <v>229899</v>
      </c>
    </row>
    <row r="55" spans="1:8">
      <c r="A55" s="880"/>
      <c r="B55" s="872"/>
      <c r="C55" s="874"/>
      <c r="D55" s="685" t="s">
        <v>323</v>
      </c>
      <c r="E55" s="679">
        <v>3</v>
      </c>
      <c r="F55" s="680" t="s">
        <v>265</v>
      </c>
      <c r="G55" s="693">
        <f>ROUND(319000/3,0)</f>
        <v>106333</v>
      </c>
      <c r="H55" s="693">
        <f t="shared" si="1"/>
        <v>318999</v>
      </c>
    </row>
    <row r="56" spans="1:8">
      <c r="A56" s="880"/>
      <c r="B56" s="872"/>
      <c r="C56" s="874"/>
      <c r="D56" s="685" t="s">
        <v>324</v>
      </c>
      <c r="E56" s="679">
        <v>3</v>
      </c>
      <c r="F56" s="680" t="s">
        <v>265</v>
      </c>
      <c r="G56" s="693">
        <f>ROUND(489000/3,0)</f>
        <v>163000</v>
      </c>
      <c r="H56" s="693">
        <f t="shared" si="1"/>
        <v>489000</v>
      </c>
    </row>
    <row r="57" spans="1:8">
      <c r="A57" s="880"/>
      <c r="B57" s="872"/>
      <c r="C57" s="874"/>
      <c r="D57" s="703" t="s">
        <v>325</v>
      </c>
      <c r="E57" s="679">
        <v>3</v>
      </c>
      <c r="F57" s="680" t="s">
        <v>265</v>
      </c>
      <c r="G57" s="693">
        <f>84900*1.19</f>
        <v>101031</v>
      </c>
      <c r="H57" s="704">
        <f t="shared" si="1"/>
        <v>303093</v>
      </c>
    </row>
    <row r="58" spans="1:8" ht="15" thickBot="1">
      <c r="A58" s="880"/>
      <c r="B58" s="872"/>
      <c r="C58" s="874"/>
      <c r="D58" s="703" t="s">
        <v>326</v>
      </c>
      <c r="E58" s="679">
        <v>3</v>
      </c>
      <c r="F58" s="680" t="s">
        <v>265</v>
      </c>
      <c r="G58" s="693">
        <f>ROUND(299900/3,0)</f>
        <v>99967</v>
      </c>
      <c r="H58" s="704">
        <f t="shared" si="1"/>
        <v>299901</v>
      </c>
    </row>
    <row r="59" spans="1:8" ht="21" hidden="1" customHeight="1" thickBot="1">
      <c r="A59" s="881"/>
      <c r="B59" s="877"/>
      <c r="C59" s="878"/>
      <c r="D59" s="703" t="s">
        <v>327</v>
      </c>
      <c r="E59" s="679">
        <v>0</v>
      </c>
      <c r="F59" s="680" t="s">
        <v>265</v>
      </c>
      <c r="G59" s="693">
        <v>236536</v>
      </c>
      <c r="H59" s="704">
        <f t="shared" si="1"/>
        <v>0</v>
      </c>
    </row>
    <row r="60" spans="1:8" ht="14.45" customHeight="1" thickBot="1">
      <c r="A60" s="899" t="s">
        <v>328</v>
      </c>
      <c r="B60" s="900"/>
      <c r="C60" s="900"/>
      <c r="D60" s="900"/>
      <c r="E60" s="900"/>
      <c r="F60" s="900"/>
      <c r="G60" s="901"/>
      <c r="H60" s="1233">
        <f>SUM(H17:H59)</f>
        <v>10105890</v>
      </c>
    </row>
    <row r="61" spans="1:8" ht="15" thickBot="1">
      <c r="A61" s="686"/>
      <c r="B61" s="686"/>
      <c r="C61" s="686"/>
      <c r="D61" s="686"/>
      <c r="E61" s="687"/>
      <c r="F61" s="686"/>
      <c r="G61" s="686"/>
      <c r="H61" s="686"/>
    </row>
    <row r="62" spans="1:8" ht="14.45" customHeight="1" thickBot="1">
      <c r="A62" s="902" t="s">
        <v>329</v>
      </c>
      <c r="B62" s="903"/>
      <c r="C62" s="903"/>
      <c r="D62" s="903"/>
      <c r="E62" s="903"/>
      <c r="F62" s="903"/>
      <c r="G62" s="903"/>
      <c r="H62" s="904"/>
    </row>
    <row r="63" spans="1:8" ht="14.45" customHeight="1" thickBot="1">
      <c r="A63" s="905" t="s">
        <v>329</v>
      </c>
      <c r="B63" s="705" t="s">
        <v>330</v>
      </c>
      <c r="C63" s="706" t="s">
        <v>258</v>
      </c>
      <c r="D63" s="706" t="s">
        <v>259</v>
      </c>
      <c r="E63" s="707" t="s">
        <v>4</v>
      </c>
      <c r="F63" s="706" t="s">
        <v>3</v>
      </c>
      <c r="G63" s="708" t="s">
        <v>260</v>
      </c>
      <c r="H63" s="709" t="s">
        <v>261</v>
      </c>
    </row>
    <row r="64" spans="1:8" ht="45">
      <c r="A64" s="906"/>
      <c r="B64" s="669" t="s">
        <v>331</v>
      </c>
      <c r="C64" s="670" t="s">
        <v>332</v>
      </c>
      <c r="D64" s="696" t="s">
        <v>333</v>
      </c>
      <c r="E64" s="672">
        <v>6</v>
      </c>
      <c r="F64" s="673" t="s">
        <v>15</v>
      </c>
      <c r="G64" s="674">
        <v>7000</v>
      </c>
      <c r="H64" s="674">
        <f t="shared" ref="H64:H88" si="2">ROUND(E64*G64,0)</f>
        <v>42000</v>
      </c>
    </row>
    <row r="65" spans="1:8" ht="33.75">
      <c r="A65" s="906"/>
      <c r="B65" s="872"/>
      <c r="C65" s="874"/>
      <c r="D65" s="685" t="s">
        <v>334</v>
      </c>
      <c r="E65" s="679">
        <v>3</v>
      </c>
      <c r="F65" s="680" t="s">
        <v>265</v>
      </c>
      <c r="G65" s="693">
        <f>ROUND(135000/3,0)</f>
        <v>45000</v>
      </c>
      <c r="H65" s="684">
        <f t="shared" si="2"/>
        <v>135000</v>
      </c>
    </row>
    <row r="66" spans="1:8" ht="45">
      <c r="A66" s="906"/>
      <c r="B66" s="872"/>
      <c r="C66" s="874"/>
      <c r="D66" s="678" t="s">
        <v>335</v>
      </c>
      <c r="E66" s="679">
        <v>3</v>
      </c>
      <c r="F66" s="680" t="s">
        <v>320</v>
      </c>
      <c r="G66" s="684">
        <v>8500</v>
      </c>
      <c r="H66" s="684">
        <f t="shared" si="2"/>
        <v>25500</v>
      </c>
    </row>
    <row r="67" spans="1:8" ht="33.75">
      <c r="A67" s="906"/>
      <c r="B67" s="872"/>
      <c r="C67" s="874"/>
      <c r="D67" s="685" t="s">
        <v>336</v>
      </c>
      <c r="E67" s="679">
        <v>3</v>
      </c>
      <c r="F67" s="680" t="s">
        <v>265</v>
      </c>
      <c r="G67" s="684">
        <v>133381</v>
      </c>
      <c r="H67" s="684">
        <f t="shared" si="2"/>
        <v>400143</v>
      </c>
    </row>
    <row r="68" spans="1:8" ht="33.75">
      <c r="A68" s="906"/>
      <c r="B68" s="872"/>
      <c r="C68" s="874"/>
      <c r="D68" s="678" t="s">
        <v>337</v>
      </c>
      <c r="E68" s="679">
        <v>300</v>
      </c>
      <c r="F68" s="680" t="s">
        <v>265</v>
      </c>
      <c r="G68" s="684">
        <f>ROUND(29900/50,0)</f>
        <v>598</v>
      </c>
      <c r="H68" s="684">
        <f t="shared" si="2"/>
        <v>179400</v>
      </c>
    </row>
    <row r="69" spans="1:8" ht="61.15" customHeight="1">
      <c r="A69" s="906"/>
      <c r="B69" s="872"/>
      <c r="C69" s="874"/>
      <c r="D69" s="685" t="s">
        <v>338</v>
      </c>
      <c r="E69" s="679">
        <v>10</v>
      </c>
      <c r="F69" s="680" t="s">
        <v>28</v>
      </c>
      <c r="G69" s="684">
        <v>45000</v>
      </c>
      <c r="H69" s="684">
        <f t="shared" si="2"/>
        <v>450000</v>
      </c>
    </row>
    <row r="70" spans="1:8" ht="22.5">
      <c r="A70" s="906"/>
      <c r="B70" s="872"/>
      <c r="C70" s="874"/>
      <c r="D70" s="685" t="s">
        <v>339</v>
      </c>
      <c r="E70" s="679">
        <v>30</v>
      </c>
      <c r="F70" s="680" t="s">
        <v>265</v>
      </c>
      <c r="G70" s="684">
        <v>950</v>
      </c>
      <c r="H70" s="684">
        <f t="shared" si="2"/>
        <v>28500</v>
      </c>
    </row>
    <row r="71" spans="1:8" ht="51" hidden="1" customHeight="1">
      <c r="A71" s="906"/>
      <c r="B71" s="883"/>
      <c r="C71" s="882"/>
      <c r="D71" s="685" t="s">
        <v>340</v>
      </c>
      <c r="E71" s="679">
        <v>0</v>
      </c>
      <c r="F71" s="680" t="s">
        <v>275</v>
      </c>
      <c r="G71" s="684">
        <v>350000</v>
      </c>
      <c r="H71" s="684">
        <f t="shared" si="2"/>
        <v>0</v>
      </c>
    </row>
    <row r="72" spans="1:8" ht="30.6" customHeight="1">
      <c r="A72" s="906"/>
      <c r="B72" s="875" t="s">
        <v>341</v>
      </c>
      <c r="C72" s="876" t="s">
        <v>342</v>
      </c>
      <c r="D72" s="685" t="s">
        <v>343</v>
      </c>
      <c r="E72" s="679">
        <v>3</v>
      </c>
      <c r="F72" s="680" t="s">
        <v>265</v>
      </c>
      <c r="G72" s="684">
        <v>278900</v>
      </c>
      <c r="H72" s="684">
        <f t="shared" si="2"/>
        <v>836700</v>
      </c>
    </row>
    <row r="73" spans="1:8">
      <c r="A73" s="906"/>
      <c r="B73" s="872"/>
      <c r="C73" s="874"/>
      <c r="D73" s="685" t="s">
        <v>344</v>
      </c>
      <c r="E73" s="679">
        <v>0</v>
      </c>
      <c r="F73" s="680" t="s">
        <v>265</v>
      </c>
      <c r="G73" s="684">
        <f>ROUND(122707/3,0)</f>
        <v>40902</v>
      </c>
      <c r="H73" s="684">
        <f t="shared" si="2"/>
        <v>0</v>
      </c>
    </row>
    <row r="74" spans="1:8" ht="30.6" customHeight="1">
      <c r="A74" s="906"/>
      <c r="B74" s="872"/>
      <c r="C74" s="874"/>
      <c r="D74" s="685" t="s">
        <v>345</v>
      </c>
      <c r="E74" s="679">
        <v>3</v>
      </c>
      <c r="F74" s="680" t="s">
        <v>265</v>
      </c>
      <c r="G74" s="695">
        <f>ROUND(71000/4,0)</f>
        <v>17750</v>
      </c>
      <c r="H74" s="684">
        <f t="shared" si="2"/>
        <v>53250</v>
      </c>
    </row>
    <row r="75" spans="1:8">
      <c r="A75" s="906"/>
      <c r="B75" s="875" t="s">
        <v>346</v>
      </c>
      <c r="C75" s="876" t="s">
        <v>347</v>
      </c>
      <c r="D75" s="685" t="s">
        <v>348</v>
      </c>
      <c r="E75" s="679">
        <v>3</v>
      </c>
      <c r="F75" s="680" t="s">
        <v>275</v>
      </c>
      <c r="G75" s="684">
        <v>80000</v>
      </c>
      <c r="H75" s="684">
        <f t="shared" si="2"/>
        <v>240000</v>
      </c>
    </row>
    <row r="76" spans="1:8" ht="33.75">
      <c r="A76" s="906"/>
      <c r="B76" s="872"/>
      <c r="C76" s="874"/>
      <c r="D76" s="685" t="s">
        <v>349</v>
      </c>
      <c r="E76" s="679">
        <v>3</v>
      </c>
      <c r="F76" s="680" t="s">
        <v>275</v>
      </c>
      <c r="G76" s="684">
        <v>80000</v>
      </c>
      <c r="H76" s="684">
        <f t="shared" si="2"/>
        <v>240000</v>
      </c>
    </row>
    <row r="77" spans="1:8">
      <c r="A77" s="906"/>
      <c r="B77" s="872"/>
      <c r="C77" s="874"/>
      <c r="D77" s="685" t="s">
        <v>350</v>
      </c>
      <c r="E77" s="679">
        <v>30</v>
      </c>
      <c r="F77" s="680" t="s">
        <v>12</v>
      </c>
      <c r="G77" s="684">
        <f>80000/100</f>
        <v>800</v>
      </c>
      <c r="H77" s="684">
        <f t="shared" si="2"/>
        <v>24000</v>
      </c>
    </row>
    <row r="78" spans="1:8">
      <c r="A78" s="906"/>
      <c r="B78" s="883"/>
      <c r="C78" s="882"/>
      <c r="D78" s="685" t="s">
        <v>351</v>
      </c>
      <c r="E78" s="679">
        <v>3</v>
      </c>
      <c r="F78" s="680" t="s">
        <v>265</v>
      </c>
      <c r="G78" s="684">
        <f>35090*1.19</f>
        <v>41757.1</v>
      </c>
      <c r="H78" s="684">
        <f t="shared" si="2"/>
        <v>125271</v>
      </c>
    </row>
    <row r="79" spans="1:8" ht="22.5">
      <c r="A79" s="906"/>
      <c r="B79" s="875" t="s">
        <v>352</v>
      </c>
      <c r="C79" s="876" t="s">
        <v>353</v>
      </c>
      <c r="D79" s="685" t="s">
        <v>354</v>
      </c>
      <c r="E79" s="679">
        <v>30</v>
      </c>
      <c r="F79" s="680" t="s">
        <v>265</v>
      </c>
      <c r="G79" s="684">
        <v>19400</v>
      </c>
      <c r="H79" s="684">
        <f t="shared" si="2"/>
        <v>582000</v>
      </c>
    </row>
    <row r="80" spans="1:8" ht="51" hidden="1" customHeight="1">
      <c r="A80" s="906"/>
      <c r="B80" s="872"/>
      <c r="C80" s="874"/>
      <c r="D80" s="685" t="s">
        <v>355</v>
      </c>
      <c r="E80" s="679">
        <v>0</v>
      </c>
      <c r="F80" s="680" t="s">
        <v>356</v>
      </c>
      <c r="G80" s="684">
        <v>605900</v>
      </c>
      <c r="H80" s="684">
        <f t="shared" si="2"/>
        <v>0</v>
      </c>
    </row>
    <row r="81" spans="1:8" ht="22.5">
      <c r="A81" s="906"/>
      <c r="B81" s="872"/>
      <c r="C81" s="874"/>
      <c r="D81" s="685" t="s">
        <v>357</v>
      </c>
      <c r="E81" s="679">
        <v>30</v>
      </c>
      <c r="F81" s="680" t="s">
        <v>320</v>
      </c>
      <c r="G81" s="684">
        <v>19400</v>
      </c>
      <c r="H81" s="684">
        <f t="shared" si="2"/>
        <v>582000</v>
      </c>
    </row>
    <row r="82" spans="1:8">
      <c r="A82" s="906"/>
      <c r="B82" s="872"/>
      <c r="C82" s="874"/>
      <c r="D82" s="685" t="s">
        <v>358</v>
      </c>
      <c r="E82" s="679">
        <v>3</v>
      </c>
      <c r="F82" s="680" t="s">
        <v>265</v>
      </c>
      <c r="G82" s="710">
        <f>22500*1.19</f>
        <v>26775</v>
      </c>
      <c r="H82" s="684">
        <f t="shared" si="2"/>
        <v>80325</v>
      </c>
    </row>
    <row r="83" spans="1:8" ht="22.5">
      <c r="A83" s="906"/>
      <c r="B83" s="872"/>
      <c r="C83" s="874"/>
      <c r="D83" s="685" t="s">
        <v>359</v>
      </c>
      <c r="E83" s="679">
        <v>3</v>
      </c>
      <c r="F83" s="680" t="s">
        <v>275</v>
      </c>
      <c r="G83" s="684">
        <v>80000</v>
      </c>
      <c r="H83" s="684">
        <f t="shared" si="2"/>
        <v>240000</v>
      </c>
    </row>
    <row r="84" spans="1:8" ht="22.5">
      <c r="A84" s="906"/>
      <c r="B84" s="875" t="s">
        <v>360</v>
      </c>
      <c r="C84" s="876" t="s">
        <v>361</v>
      </c>
      <c r="D84" s="685" t="s">
        <v>362</v>
      </c>
      <c r="E84" s="679">
        <v>0</v>
      </c>
      <c r="F84" s="680" t="s">
        <v>265</v>
      </c>
      <c r="G84" s="684">
        <v>130000</v>
      </c>
      <c r="H84" s="684">
        <f t="shared" si="2"/>
        <v>0</v>
      </c>
    </row>
    <row r="85" spans="1:8" ht="22.5">
      <c r="A85" s="906"/>
      <c r="B85" s="883"/>
      <c r="C85" s="882"/>
      <c r="D85" s="685" t="s">
        <v>363</v>
      </c>
      <c r="E85" s="679">
        <v>0</v>
      </c>
      <c r="F85" s="680" t="s">
        <v>265</v>
      </c>
      <c r="G85" s="684">
        <v>134749</v>
      </c>
      <c r="H85" s="684">
        <f t="shared" si="2"/>
        <v>0</v>
      </c>
    </row>
    <row r="86" spans="1:8" ht="33.75" hidden="1">
      <c r="A86" s="906"/>
      <c r="B86" s="682" t="s">
        <v>364</v>
      </c>
      <c r="C86" s="683" t="s">
        <v>365</v>
      </c>
      <c r="D86" s="685" t="s">
        <v>366</v>
      </c>
      <c r="E86" s="679">
        <v>0</v>
      </c>
      <c r="F86" s="680" t="s">
        <v>275</v>
      </c>
      <c r="G86" s="684">
        <v>400000</v>
      </c>
      <c r="H86" s="684">
        <f t="shared" si="2"/>
        <v>0</v>
      </c>
    </row>
    <row r="87" spans="1:8" ht="33.75" hidden="1">
      <c r="A87" s="906"/>
      <c r="B87" s="872"/>
      <c r="C87" s="874"/>
      <c r="D87" s="685" t="s">
        <v>367</v>
      </c>
      <c r="E87" s="679">
        <v>0</v>
      </c>
      <c r="F87" s="680" t="s">
        <v>356</v>
      </c>
      <c r="G87" s="710">
        <f>364438</f>
        <v>364438</v>
      </c>
      <c r="H87" s="684">
        <f t="shared" si="2"/>
        <v>0</v>
      </c>
    </row>
    <row r="88" spans="1:8" ht="15" thickBot="1">
      <c r="A88" s="907"/>
      <c r="B88" s="877"/>
      <c r="C88" s="878"/>
      <c r="D88" s="685" t="s">
        <v>368</v>
      </c>
      <c r="E88" s="679">
        <v>30</v>
      </c>
      <c r="F88" s="680" t="s">
        <v>265</v>
      </c>
      <c r="G88" s="710">
        <v>11250</v>
      </c>
      <c r="H88" s="684">
        <f t="shared" si="2"/>
        <v>337500</v>
      </c>
    </row>
    <row r="89" spans="1:8" ht="14.45" customHeight="1" thickBot="1">
      <c r="A89" s="885" t="s">
        <v>369</v>
      </c>
      <c r="B89" s="886"/>
      <c r="C89" s="886"/>
      <c r="D89" s="886"/>
      <c r="E89" s="886"/>
      <c r="F89" s="886"/>
      <c r="G89" s="887"/>
      <c r="H89" s="1234">
        <f>SUM(H64:H88)</f>
        <v>4601589</v>
      </c>
    </row>
    <row r="90" spans="1:8" ht="15" thickBot="1">
      <c r="A90" s="686"/>
      <c r="B90" s="686"/>
      <c r="C90" s="686"/>
      <c r="D90" s="686"/>
      <c r="E90" s="687"/>
      <c r="F90" s="686"/>
      <c r="G90" s="686"/>
      <c r="H90" s="686"/>
    </row>
    <row r="91" spans="1:8" ht="14.45" customHeight="1" thickBot="1">
      <c r="A91" s="888" t="s">
        <v>370</v>
      </c>
      <c r="B91" s="889"/>
      <c r="C91" s="889"/>
      <c r="D91" s="889"/>
      <c r="E91" s="889"/>
      <c r="F91" s="889"/>
      <c r="G91" s="889"/>
      <c r="H91" s="890"/>
    </row>
    <row r="92" spans="1:8" ht="14.45" customHeight="1" thickBot="1">
      <c r="A92" s="897" t="s">
        <v>371</v>
      </c>
      <c r="B92" s="711"/>
      <c r="C92" s="712"/>
      <c r="D92" s="713" t="s">
        <v>259</v>
      </c>
      <c r="E92" s="714" t="s">
        <v>4</v>
      </c>
      <c r="F92" s="713" t="s">
        <v>3</v>
      </c>
      <c r="G92" s="715" t="s">
        <v>260</v>
      </c>
      <c r="H92" s="716" t="s">
        <v>261</v>
      </c>
    </row>
    <row r="93" spans="1:8" ht="61.15" customHeight="1">
      <c r="A93" s="898"/>
      <c r="B93" s="871" t="s">
        <v>372</v>
      </c>
      <c r="C93" s="873" t="s">
        <v>373</v>
      </c>
      <c r="D93" s="696" t="s">
        <v>374</v>
      </c>
      <c r="E93" s="672">
        <v>3</v>
      </c>
      <c r="F93" s="673" t="s">
        <v>265</v>
      </c>
      <c r="G93" s="674">
        <f>ROUND(178500/3,0)</f>
        <v>59500</v>
      </c>
      <c r="H93" s="717">
        <f t="shared" ref="H93:H106" si="3">ROUND(E93*G93,0)</f>
        <v>178500</v>
      </c>
    </row>
    <row r="94" spans="1:8" ht="61.15" customHeight="1">
      <c r="A94" s="898"/>
      <c r="B94" s="872"/>
      <c r="C94" s="874"/>
      <c r="D94" s="685" t="s">
        <v>375</v>
      </c>
      <c r="E94" s="672">
        <v>3</v>
      </c>
      <c r="F94" s="680" t="s">
        <v>320</v>
      </c>
      <c r="G94" s="674">
        <f t="shared" ref="G94:G96" si="4">ROUND(178500/3,0)</f>
        <v>59500</v>
      </c>
      <c r="H94" s="697">
        <f t="shared" si="3"/>
        <v>178500</v>
      </c>
    </row>
    <row r="95" spans="1:8" ht="61.15" customHeight="1">
      <c r="A95" s="898"/>
      <c r="B95" s="872"/>
      <c r="C95" s="874"/>
      <c r="D95" s="685" t="s">
        <v>376</v>
      </c>
      <c r="E95" s="672">
        <v>3</v>
      </c>
      <c r="F95" s="680" t="s">
        <v>320</v>
      </c>
      <c r="G95" s="674">
        <f t="shared" si="4"/>
        <v>59500</v>
      </c>
      <c r="H95" s="697">
        <f t="shared" si="3"/>
        <v>178500</v>
      </c>
    </row>
    <row r="96" spans="1:8" ht="61.15" customHeight="1">
      <c r="A96" s="898"/>
      <c r="B96" s="872"/>
      <c r="C96" s="874"/>
      <c r="D96" s="685" t="s">
        <v>377</v>
      </c>
      <c r="E96" s="672">
        <v>3</v>
      </c>
      <c r="F96" s="680" t="s">
        <v>320</v>
      </c>
      <c r="G96" s="674">
        <f t="shared" si="4"/>
        <v>59500</v>
      </c>
      <c r="H96" s="697">
        <f t="shared" si="3"/>
        <v>178500</v>
      </c>
    </row>
    <row r="97" spans="1:8" ht="22.5" hidden="1">
      <c r="A97" s="898"/>
      <c r="B97" s="872"/>
      <c r="C97" s="874"/>
      <c r="D97" s="685" t="s">
        <v>378</v>
      </c>
      <c r="E97" s="672">
        <v>0</v>
      </c>
      <c r="F97" s="680" t="s">
        <v>320</v>
      </c>
      <c r="G97" s="684">
        <f>ROUND(495000/3,0)</f>
        <v>165000</v>
      </c>
      <c r="H97" s="697">
        <f t="shared" si="3"/>
        <v>0</v>
      </c>
    </row>
    <row r="98" spans="1:8" ht="30.6" customHeight="1">
      <c r="A98" s="898"/>
      <c r="B98" s="872"/>
      <c r="C98" s="874"/>
      <c r="D98" s="685" t="s">
        <v>379</v>
      </c>
      <c r="E98" s="672">
        <v>3</v>
      </c>
      <c r="F98" s="680" t="s">
        <v>265</v>
      </c>
      <c r="G98" s="674">
        <f t="shared" ref="G98:G100" si="5">ROUND(178500/3,0)</f>
        <v>59500</v>
      </c>
      <c r="H98" s="697">
        <f t="shared" si="3"/>
        <v>178500</v>
      </c>
    </row>
    <row r="99" spans="1:8" ht="20.45" customHeight="1">
      <c r="A99" s="898"/>
      <c r="B99" s="872"/>
      <c r="C99" s="874"/>
      <c r="D99" s="685" t="s">
        <v>380</v>
      </c>
      <c r="E99" s="672">
        <v>3</v>
      </c>
      <c r="F99" s="680" t="s">
        <v>265</v>
      </c>
      <c r="G99" s="674">
        <f t="shared" si="5"/>
        <v>59500</v>
      </c>
      <c r="H99" s="697">
        <f t="shared" si="3"/>
        <v>178500</v>
      </c>
    </row>
    <row r="100" spans="1:8" ht="30.6" customHeight="1">
      <c r="A100" s="898"/>
      <c r="B100" s="872"/>
      <c r="C100" s="874"/>
      <c r="D100" s="685" t="s">
        <v>381</v>
      </c>
      <c r="E100" s="672">
        <v>3</v>
      </c>
      <c r="F100" s="680" t="s">
        <v>265</v>
      </c>
      <c r="G100" s="674">
        <f t="shared" si="5"/>
        <v>59500</v>
      </c>
      <c r="H100" s="697">
        <f t="shared" si="3"/>
        <v>178500</v>
      </c>
    </row>
    <row r="101" spans="1:8" ht="13.9" customHeight="1">
      <c r="A101" s="898"/>
      <c r="B101" s="872"/>
      <c r="C101" s="874"/>
      <c r="D101" s="685" t="s">
        <v>382</v>
      </c>
      <c r="E101" s="672">
        <v>3</v>
      </c>
      <c r="F101" s="680" t="s">
        <v>265</v>
      </c>
      <c r="G101" s="684">
        <f>18900*1.19</f>
        <v>22491</v>
      </c>
      <c r="H101" s="697">
        <f t="shared" si="3"/>
        <v>67473</v>
      </c>
    </row>
    <row r="102" spans="1:8" ht="30.6" customHeight="1">
      <c r="A102" s="898"/>
      <c r="B102" s="872"/>
      <c r="C102" s="874"/>
      <c r="D102" s="685" t="s">
        <v>358</v>
      </c>
      <c r="E102" s="672">
        <v>3</v>
      </c>
      <c r="F102" s="680" t="s">
        <v>320</v>
      </c>
      <c r="G102" s="710">
        <f>22500*1.19</f>
        <v>26775</v>
      </c>
      <c r="H102" s="697">
        <f t="shared" si="3"/>
        <v>80325</v>
      </c>
    </row>
    <row r="103" spans="1:8" ht="20.45" customHeight="1">
      <c r="A103" s="898"/>
      <c r="B103" s="872"/>
      <c r="C103" s="874"/>
      <c r="D103" s="685" t="s">
        <v>383</v>
      </c>
      <c r="E103" s="672">
        <v>3</v>
      </c>
      <c r="F103" s="680" t="s">
        <v>320</v>
      </c>
      <c r="G103" s="697">
        <f>8700*1.19</f>
        <v>10353</v>
      </c>
      <c r="H103" s="697">
        <f t="shared" si="3"/>
        <v>31059</v>
      </c>
    </row>
    <row r="104" spans="1:8" ht="20.45" customHeight="1">
      <c r="A104" s="898"/>
      <c r="B104" s="872"/>
      <c r="C104" s="874"/>
      <c r="D104" s="685" t="s">
        <v>384</v>
      </c>
      <c r="E104" s="672">
        <v>1</v>
      </c>
      <c r="F104" s="680" t="s">
        <v>320</v>
      </c>
      <c r="G104" s="697">
        <v>3985000</v>
      </c>
      <c r="H104" s="697">
        <f t="shared" si="3"/>
        <v>3985000</v>
      </c>
    </row>
    <row r="105" spans="1:8" ht="13.9" customHeight="1">
      <c r="A105" s="898"/>
      <c r="B105" s="872"/>
      <c r="C105" s="874"/>
      <c r="D105" s="685" t="s">
        <v>385</v>
      </c>
      <c r="E105" s="672">
        <v>3</v>
      </c>
      <c r="F105" s="680" t="s">
        <v>320</v>
      </c>
      <c r="G105" s="697">
        <f>6500*1.19</f>
        <v>7735</v>
      </c>
      <c r="H105" s="697">
        <f t="shared" si="3"/>
        <v>23205</v>
      </c>
    </row>
    <row r="106" spans="1:8" ht="20.45" customHeight="1" thickBot="1">
      <c r="A106" s="898"/>
      <c r="B106" s="676"/>
      <c r="C106" s="677"/>
      <c r="D106" s="685" t="s">
        <v>386</v>
      </c>
      <c r="E106" s="672">
        <v>3</v>
      </c>
      <c r="F106" s="680" t="s">
        <v>320</v>
      </c>
      <c r="G106" s="697">
        <v>8092</v>
      </c>
      <c r="H106" s="697">
        <f t="shared" si="3"/>
        <v>24276</v>
      </c>
    </row>
    <row r="107" spans="1:8" ht="14.45" customHeight="1" thickBot="1">
      <c r="A107" s="891" t="s">
        <v>387</v>
      </c>
      <c r="B107" s="892"/>
      <c r="C107" s="892"/>
      <c r="D107" s="892"/>
      <c r="E107" s="892"/>
      <c r="F107" s="892"/>
      <c r="G107" s="893"/>
      <c r="H107" s="1235">
        <f>SUM(H93:H106)</f>
        <v>5460838</v>
      </c>
    </row>
    <row r="108" spans="1:8" ht="15" thickBot="1">
      <c r="A108" s="686"/>
      <c r="B108" s="686"/>
      <c r="C108" s="686"/>
      <c r="D108" s="686"/>
      <c r="E108" s="687"/>
      <c r="F108" s="686"/>
      <c r="G108" s="686"/>
      <c r="H108" s="686"/>
    </row>
    <row r="109" spans="1:8" ht="14.45" customHeight="1" thickBot="1">
      <c r="A109" s="894" t="s">
        <v>388</v>
      </c>
      <c r="B109" s="895"/>
      <c r="C109" s="895"/>
      <c r="D109" s="895"/>
      <c r="E109" s="895"/>
      <c r="F109" s="895"/>
      <c r="G109" s="896"/>
      <c r="H109" s="1236">
        <f>+H13+H60+H89+H107</f>
        <v>24195667</v>
      </c>
    </row>
  </sheetData>
  <mergeCells count="37">
    <mergeCell ref="A1:H1"/>
    <mergeCell ref="A89:G89"/>
    <mergeCell ref="A91:H91"/>
    <mergeCell ref="A107:G107"/>
    <mergeCell ref="A109:G109"/>
    <mergeCell ref="A92:A106"/>
    <mergeCell ref="B93:B105"/>
    <mergeCell ref="C93:C105"/>
    <mergeCell ref="A60:G60"/>
    <mergeCell ref="A62:H62"/>
    <mergeCell ref="A63:A88"/>
    <mergeCell ref="B65:B71"/>
    <mergeCell ref="C65:C71"/>
    <mergeCell ref="B72:B74"/>
    <mergeCell ref="C72:C74"/>
    <mergeCell ref="B75:B78"/>
    <mergeCell ref="B87:B88"/>
    <mergeCell ref="C87:C88"/>
    <mergeCell ref="A16:A59"/>
    <mergeCell ref="B17:B59"/>
    <mergeCell ref="C17:C29"/>
    <mergeCell ref="C30:C51"/>
    <mergeCell ref="C52:C59"/>
    <mergeCell ref="C75:C78"/>
    <mergeCell ref="B79:B83"/>
    <mergeCell ref="C79:C83"/>
    <mergeCell ref="B84:B85"/>
    <mergeCell ref="C84:C85"/>
    <mergeCell ref="A13:G13"/>
    <mergeCell ref="A15:H15"/>
    <mergeCell ref="A2:G2"/>
    <mergeCell ref="A3:H3"/>
    <mergeCell ref="A4:A12"/>
    <mergeCell ref="B5:B6"/>
    <mergeCell ref="C5:C6"/>
    <mergeCell ref="B7:B12"/>
    <mergeCell ref="C7:C1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D81E7-16FF-46D3-9083-FE327E862221}">
  <sheetPr>
    <outlinePr summaryBelow="0" summaryRight="0"/>
    <pageSetUpPr fitToPage="1"/>
  </sheetPr>
  <dimension ref="A1:N5654"/>
  <sheetViews>
    <sheetView view="pageBreakPreview" zoomScaleNormal="115" zoomScaleSheetLayoutView="100" workbookViewId="0">
      <selection activeCell="G1152" sqref="G1152"/>
    </sheetView>
  </sheetViews>
  <sheetFormatPr baseColWidth="10" defaultColWidth="11.42578125" defaultRowHeight="14.25"/>
  <cols>
    <col min="1" max="1" width="7.140625" style="41" customWidth="1"/>
    <col min="2" max="2" width="37.28515625" style="41" customWidth="1"/>
    <col min="3" max="4" width="8.7109375" style="41" customWidth="1"/>
    <col min="5" max="5" width="12.140625" style="263" customWidth="1"/>
    <col min="6" max="6" width="12.140625" style="310" customWidth="1"/>
    <col min="7" max="7" width="14.42578125" style="41" customWidth="1"/>
    <col min="8" max="8" width="14.5703125" style="41" bestFit="1" customWidth="1"/>
    <col min="9" max="16384" width="11.42578125" style="41"/>
  </cols>
  <sheetData>
    <row r="1" spans="1:11">
      <c r="A1" s="1080" t="s">
        <v>389</v>
      </c>
      <c r="B1" s="1081"/>
      <c r="C1" s="1081"/>
      <c r="D1" s="1081"/>
      <c r="E1" s="1081"/>
      <c r="F1" s="1081"/>
      <c r="G1" s="1082"/>
    </row>
    <row r="2" spans="1:11" ht="15" thickBot="1">
      <c r="A2" s="80"/>
      <c r="B2" s="81"/>
      <c r="C2" s="81"/>
      <c r="D2" s="81"/>
      <c r="E2" s="241"/>
      <c r="F2" s="271"/>
      <c r="G2" s="81"/>
    </row>
    <row r="3" spans="1:11" ht="15" thickBot="1">
      <c r="A3" s="1006" t="s">
        <v>390</v>
      </c>
      <c r="B3" s="1007"/>
      <c r="C3" s="1007"/>
      <c r="D3" s="1007"/>
      <c r="E3" s="1007"/>
      <c r="F3" s="272" t="s">
        <v>391</v>
      </c>
      <c r="G3" s="43">
        <f ca="1">TODAY()</f>
        <v>46071</v>
      </c>
    </row>
    <row r="4" spans="1:11" ht="35.25" customHeight="1" thickBot="1">
      <c r="A4" s="953" t="str">
        <f>+'OFERTA ECONOMICA'!B8</f>
        <v>Instalación de CERRAMIENTO PROVISIONAL en tela verde polietileno de alta densidad y resistencia 65 gr/m2 con una altura de 2,10 m, estacones de madera común para fijación vertical de altura de 2,50 m puesto mínimo cada 2,0 m y para apuntalamiento mínimo cada 10 m y cada cambio de dirección, arranques y terminación, diámetro aproximado 0,10 m, elementos de fijación, Incluye: suministro, transporte, instalación, excavación, concreto de fundación preparado en Obra de 17.5 Mpa - 2500 psi, diámetro aproximado 0,30 m y profundidad aproximada 0,50 m, cable o alambre tensor parte inferior y superior horizontal, mantenimiento, desmonte y todos los demás elementos necesarios para su correcta instalación y operación.  cargue transporte y botada de material sobrante en botaderos oficiales.</v>
      </c>
      <c r="B4" s="954"/>
      <c r="C4" s="954"/>
      <c r="D4" s="954"/>
      <c r="E4" s="955"/>
      <c r="F4" s="273" t="s">
        <v>392</v>
      </c>
      <c r="G4" s="45" t="s">
        <v>12</v>
      </c>
    </row>
    <row r="5" spans="1:11" ht="35.25" customHeight="1" thickBot="1">
      <c r="A5" s="956"/>
      <c r="B5" s="957"/>
      <c r="C5" s="957"/>
      <c r="D5" s="957"/>
      <c r="E5" s="958"/>
      <c r="F5" s="273" t="s">
        <v>393</v>
      </c>
      <c r="G5" s="46">
        <v>1</v>
      </c>
    </row>
    <row r="6" spans="1:11" ht="35.25" customHeight="1" thickBot="1">
      <c r="A6" s="959"/>
      <c r="B6" s="960"/>
      <c r="C6" s="960"/>
      <c r="D6" s="960"/>
      <c r="E6" s="961"/>
      <c r="F6" s="274" t="s">
        <v>394</v>
      </c>
      <c r="G6" s="48" t="str">
        <f>+'OFERTA ECONOMICA'!A8</f>
        <v>1.1.1</v>
      </c>
    </row>
    <row r="7" spans="1:11" s="7" customFormat="1" ht="15" thickBot="1">
      <c r="A7" s="1063" t="s">
        <v>1</v>
      </c>
      <c r="B7" s="1064" t="s">
        <v>395</v>
      </c>
      <c r="C7" s="1064"/>
      <c r="D7" s="1064"/>
      <c r="E7" s="1064"/>
      <c r="F7" s="1064"/>
      <c r="G7" s="1065"/>
      <c r="H7" s="49"/>
      <c r="I7" s="49"/>
      <c r="J7" s="49"/>
      <c r="K7" s="49"/>
    </row>
    <row r="8" spans="1:11" s="7" customFormat="1" ht="15" thickBot="1">
      <c r="A8" s="1042"/>
      <c r="B8" s="1045" t="s">
        <v>396</v>
      </c>
      <c r="C8" s="1046"/>
      <c r="D8" s="50" t="s">
        <v>3</v>
      </c>
      <c r="E8" s="242" t="s">
        <v>397</v>
      </c>
      <c r="F8" s="275" t="s">
        <v>398</v>
      </c>
      <c r="G8" s="52" t="s">
        <v>399</v>
      </c>
      <c r="H8" s="49"/>
      <c r="I8" s="49"/>
      <c r="J8" s="49"/>
      <c r="K8" s="49"/>
    </row>
    <row r="9" spans="1:11" s="7" customFormat="1" ht="15" thickBot="1">
      <c r="A9" s="53"/>
      <c r="B9" s="1066" t="s">
        <v>400</v>
      </c>
      <c r="C9" s="1067"/>
      <c r="D9" s="54" t="s">
        <v>401</v>
      </c>
      <c r="E9" s="243">
        <v>0.05</v>
      </c>
      <c r="F9" s="276">
        <f>+G33</f>
        <v>13238.135733333333</v>
      </c>
      <c r="G9" s="57">
        <f>ROUND((E9*F9),0)</f>
        <v>662</v>
      </c>
      <c r="H9" s="49"/>
      <c r="I9" s="49"/>
      <c r="J9" s="49"/>
      <c r="K9" s="49"/>
    </row>
    <row r="10" spans="1:11" s="7" customFormat="1" ht="15" thickBot="1">
      <c r="A10" s="58"/>
      <c r="B10" s="1083"/>
      <c r="C10" s="1084"/>
      <c r="D10" s="59"/>
      <c r="E10" s="243"/>
      <c r="F10" s="276"/>
      <c r="G10" s="60">
        <f>ROUND((E10*F10),0)</f>
        <v>0</v>
      </c>
      <c r="H10" s="49"/>
      <c r="I10" s="49"/>
      <c r="J10" s="49"/>
      <c r="K10" s="49"/>
    </row>
    <row r="11" spans="1:11" s="7" customFormat="1">
      <c r="A11" s="58"/>
      <c r="B11" s="1083"/>
      <c r="C11" s="1084"/>
      <c r="D11" s="59"/>
      <c r="E11" s="243"/>
      <c r="F11" s="276"/>
      <c r="G11" s="60">
        <f>ROUND((E11*F11),0)</f>
        <v>0</v>
      </c>
      <c r="H11" s="49"/>
      <c r="I11" s="49"/>
      <c r="J11" s="49"/>
      <c r="K11" s="49"/>
    </row>
    <row r="12" spans="1:11" s="7" customFormat="1" ht="15" thickBot="1">
      <c r="A12" s="61"/>
      <c r="B12" s="1068" t="s">
        <v>402</v>
      </c>
      <c r="C12" s="1069"/>
      <c r="D12" s="62" t="s">
        <v>402</v>
      </c>
      <c r="E12" s="244"/>
      <c r="F12" s="277"/>
      <c r="G12" s="63">
        <f>ROUND((E12*F12),0)</f>
        <v>0</v>
      </c>
      <c r="H12" s="49"/>
      <c r="I12" s="49"/>
      <c r="J12" s="49"/>
      <c r="K12" s="49"/>
    </row>
    <row r="13" spans="1:11" s="7" customFormat="1" ht="15" thickBot="1">
      <c r="A13" s="1070"/>
      <c r="B13" s="1071"/>
      <c r="C13" s="1071"/>
      <c r="D13" s="1052" t="s">
        <v>403</v>
      </c>
      <c r="E13" s="1052"/>
      <c r="F13" s="1052"/>
      <c r="G13" s="35">
        <f>SUM(G9:G12)</f>
        <v>662</v>
      </c>
      <c r="H13" s="49"/>
      <c r="I13" s="49"/>
      <c r="J13" s="49"/>
      <c r="K13" s="49"/>
    </row>
    <row r="14" spans="1:11" s="7" customFormat="1" ht="15" thickBot="1">
      <c r="A14" s="1042" t="s">
        <v>1</v>
      </c>
      <c r="B14" s="1043" t="s">
        <v>404</v>
      </c>
      <c r="C14" s="1043"/>
      <c r="D14" s="1043"/>
      <c r="E14" s="1043"/>
      <c r="F14" s="1043"/>
      <c r="G14" s="1044"/>
      <c r="H14" s="49"/>
      <c r="I14" s="49"/>
      <c r="J14" s="49"/>
      <c r="K14" s="49"/>
    </row>
    <row r="15" spans="1:11" s="7" customFormat="1" ht="15" thickBot="1">
      <c r="A15" s="1042"/>
      <c r="B15" s="1045" t="s">
        <v>396</v>
      </c>
      <c r="C15" s="1046"/>
      <c r="D15" s="50" t="s">
        <v>3</v>
      </c>
      <c r="E15" s="242" t="s">
        <v>397</v>
      </c>
      <c r="F15" s="275" t="s">
        <v>398</v>
      </c>
      <c r="G15" s="52" t="s">
        <v>399</v>
      </c>
      <c r="H15" s="49"/>
      <c r="I15" s="49"/>
      <c r="J15" s="49"/>
      <c r="K15" s="49"/>
    </row>
    <row r="16" spans="1:11" s="7" customFormat="1" ht="15" thickBot="1">
      <c r="A16" s="64"/>
      <c r="B16" s="1066" t="s">
        <v>405</v>
      </c>
      <c r="C16" s="1067"/>
      <c r="D16" s="54" t="s">
        <v>406</v>
      </c>
      <c r="E16" s="245">
        <v>1</v>
      </c>
      <c r="F16" s="276">
        <v>8425.7950000000001</v>
      </c>
      <c r="G16" s="65">
        <f>+F16*E16</f>
        <v>8425.7950000000001</v>
      </c>
      <c r="H16" s="49"/>
      <c r="I16" s="49"/>
      <c r="J16" s="49"/>
      <c r="K16" s="49"/>
    </row>
    <row r="17" spans="1:11" s="7" customFormat="1" ht="15" thickBot="1">
      <c r="A17" s="64"/>
      <c r="B17" s="1066" t="s">
        <v>407</v>
      </c>
      <c r="C17" s="1067"/>
      <c r="D17" s="54" t="s">
        <v>408</v>
      </c>
      <c r="E17" s="245">
        <v>0.04</v>
      </c>
      <c r="F17" s="276">
        <v>5786</v>
      </c>
      <c r="G17" s="65">
        <f t="shared" ref="G17:G21" si="0">+F17*E17</f>
        <v>231.44</v>
      </c>
      <c r="H17" s="49"/>
      <c r="I17" s="49"/>
      <c r="J17" s="49"/>
      <c r="K17" s="49"/>
    </row>
    <row r="18" spans="1:11" s="7" customFormat="1" ht="15" thickBot="1">
      <c r="A18" s="66"/>
      <c r="B18" s="1085" t="s">
        <v>409</v>
      </c>
      <c r="C18" s="1086"/>
      <c r="D18" s="67" t="s">
        <v>55</v>
      </c>
      <c r="E18" s="245">
        <v>0.5</v>
      </c>
      <c r="F18" s="276">
        <v>5622.75</v>
      </c>
      <c r="G18" s="65">
        <f t="shared" si="0"/>
        <v>2811.375</v>
      </c>
      <c r="H18" s="49"/>
      <c r="I18" s="49"/>
      <c r="J18" s="49"/>
      <c r="K18" s="49"/>
    </row>
    <row r="19" spans="1:11" s="7" customFormat="1" ht="15" thickBot="1">
      <c r="A19" s="64"/>
      <c r="B19" s="1066" t="s">
        <v>410</v>
      </c>
      <c r="C19" s="1067"/>
      <c r="D19" s="54" t="s">
        <v>411</v>
      </c>
      <c r="E19" s="245">
        <v>0.215</v>
      </c>
      <c r="F19" s="276">
        <v>5753</v>
      </c>
      <c r="G19" s="65">
        <f t="shared" si="0"/>
        <v>1236.895</v>
      </c>
      <c r="H19" s="49"/>
      <c r="I19" s="49"/>
      <c r="J19" s="49"/>
      <c r="K19" s="49"/>
    </row>
    <row r="20" spans="1:11" s="7" customFormat="1" ht="15" thickBot="1">
      <c r="A20" s="64"/>
      <c r="B20" s="1066" t="s">
        <v>412</v>
      </c>
      <c r="C20" s="1067"/>
      <c r="D20" s="54" t="s">
        <v>413</v>
      </c>
      <c r="E20" s="245">
        <v>1.9E-2</v>
      </c>
      <c r="F20" s="276">
        <v>477186.513034</v>
      </c>
      <c r="G20" s="65">
        <f t="shared" si="0"/>
        <v>9066.5437476459992</v>
      </c>
      <c r="H20" s="49"/>
      <c r="I20" s="49"/>
      <c r="J20" s="49"/>
      <c r="K20" s="49"/>
    </row>
    <row r="21" spans="1:11" s="7" customFormat="1" ht="15" thickBot="1">
      <c r="A21" s="66"/>
      <c r="B21" s="1085" t="s">
        <v>414</v>
      </c>
      <c r="C21" s="1086"/>
      <c r="D21" s="67" t="s">
        <v>12</v>
      </c>
      <c r="E21" s="245">
        <v>1.05</v>
      </c>
      <c r="F21" s="276">
        <v>4598</v>
      </c>
      <c r="G21" s="65">
        <f t="shared" si="0"/>
        <v>4827.9000000000005</v>
      </c>
      <c r="H21" s="49"/>
      <c r="I21" s="49"/>
      <c r="J21" s="49"/>
      <c r="K21" s="49"/>
    </row>
    <row r="22" spans="1:11" s="7" customFormat="1" ht="15" thickBot="1">
      <c r="A22" s="1072"/>
      <c r="B22" s="1073"/>
      <c r="C22" s="1074"/>
      <c r="D22" s="1052" t="s">
        <v>415</v>
      </c>
      <c r="E22" s="1052"/>
      <c r="F22" s="1052"/>
      <c r="G22" s="35">
        <f>SUM(G16:G21)</f>
        <v>26599.948747646002</v>
      </c>
      <c r="H22" s="49"/>
      <c r="I22" s="49"/>
      <c r="J22" s="49"/>
      <c r="K22" s="49"/>
    </row>
    <row r="23" spans="1:11" s="7" customFormat="1" ht="15" thickBot="1">
      <c r="A23" s="1042" t="s">
        <v>1</v>
      </c>
      <c r="B23" s="1043" t="s">
        <v>416</v>
      </c>
      <c r="C23" s="1043"/>
      <c r="D23" s="1043"/>
      <c r="E23" s="1043"/>
      <c r="F23" s="1043"/>
      <c r="G23" s="1044"/>
      <c r="H23" s="49"/>
      <c r="I23" s="49"/>
      <c r="J23" s="49"/>
      <c r="K23" s="49"/>
    </row>
    <row r="24" spans="1:11" s="7" customFormat="1" ht="15" thickBot="1">
      <c r="A24" s="1042"/>
      <c r="B24" s="1045" t="s">
        <v>396</v>
      </c>
      <c r="C24" s="1046"/>
      <c r="D24" s="50" t="s">
        <v>3</v>
      </c>
      <c r="E24" s="242" t="s">
        <v>397</v>
      </c>
      <c r="F24" s="275" t="s">
        <v>398</v>
      </c>
      <c r="G24" s="52" t="s">
        <v>399</v>
      </c>
      <c r="H24" s="49"/>
      <c r="I24" s="49"/>
      <c r="J24" s="49"/>
      <c r="K24" s="49"/>
    </row>
    <row r="25" spans="1:11" s="7" customFormat="1">
      <c r="A25" s="69"/>
      <c r="B25" s="938" t="s">
        <v>417</v>
      </c>
      <c r="C25" s="939"/>
      <c r="D25" s="70" t="s">
        <v>28</v>
      </c>
      <c r="E25" s="246">
        <v>0.02</v>
      </c>
      <c r="F25" s="278">
        <v>22500</v>
      </c>
      <c r="G25" s="71">
        <f>ROUND(F25*E25,)</f>
        <v>450</v>
      </c>
      <c r="H25" s="49"/>
      <c r="I25" s="49"/>
      <c r="J25" s="49"/>
      <c r="K25" s="49"/>
    </row>
    <row r="26" spans="1:11" s="7" customFormat="1" ht="15" thickBot="1">
      <c r="A26" s="72"/>
      <c r="B26" s="1047" t="s">
        <v>402</v>
      </c>
      <c r="C26" s="1048"/>
      <c r="D26" s="73" t="s">
        <v>402</v>
      </c>
      <c r="E26" s="247"/>
      <c r="F26" s="279"/>
      <c r="G26" s="74">
        <f>ROUND(F26*E26,)</f>
        <v>0</v>
      </c>
      <c r="H26" s="49"/>
      <c r="I26" s="49"/>
      <c r="J26" s="49"/>
      <c r="K26" s="49"/>
    </row>
    <row r="27" spans="1:11" s="7" customFormat="1" ht="15" thickBot="1">
      <c r="A27" s="1049"/>
      <c r="B27" s="1050"/>
      <c r="C27" s="1051"/>
      <c r="D27" s="1052" t="s">
        <v>418</v>
      </c>
      <c r="E27" s="1052"/>
      <c r="F27" s="1052"/>
      <c r="G27" s="35">
        <f>SUM(G25:G26)</f>
        <v>450</v>
      </c>
      <c r="H27" s="49"/>
      <c r="I27" s="49"/>
      <c r="J27" s="49"/>
      <c r="K27" s="49"/>
    </row>
    <row r="28" spans="1:11" s="7" customFormat="1" ht="15" thickBot="1">
      <c r="A28" s="1042" t="s">
        <v>1</v>
      </c>
      <c r="B28" s="1043" t="s">
        <v>419</v>
      </c>
      <c r="C28" s="1043"/>
      <c r="D28" s="1043"/>
      <c r="E28" s="1043"/>
      <c r="F28" s="1043"/>
      <c r="G28" s="1044"/>
      <c r="H28" s="49"/>
      <c r="I28" s="49"/>
      <c r="J28" s="49"/>
      <c r="K28" s="49"/>
    </row>
    <row r="29" spans="1:11" s="7" customFormat="1" ht="15" thickBot="1">
      <c r="A29" s="1042"/>
      <c r="B29" s="1045" t="s">
        <v>396</v>
      </c>
      <c r="C29" s="1046"/>
      <c r="D29" s="50" t="s">
        <v>3</v>
      </c>
      <c r="E29" s="242" t="s">
        <v>4</v>
      </c>
      <c r="F29" s="280" t="s">
        <v>420</v>
      </c>
      <c r="G29" s="52" t="s">
        <v>399</v>
      </c>
      <c r="H29" s="49"/>
      <c r="I29" s="49"/>
      <c r="J29" s="49"/>
      <c r="K29" s="49"/>
    </row>
    <row r="30" spans="1:11" s="7" customFormat="1" ht="15" thickBot="1">
      <c r="A30" s="69"/>
      <c r="B30" s="985" t="s">
        <v>421</v>
      </c>
      <c r="C30" s="986"/>
      <c r="D30" s="70" t="s">
        <v>422</v>
      </c>
      <c r="E30" s="243">
        <v>0.04</v>
      </c>
      <c r="F30" s="281">
        <f>_xlfn.IFNA(VLOOKUP(B30,'sub M. DE OBRA'!$B$4:$E$19997,4,FALSE),0)</f>
        <v>301253.33333333331</v>
      </c>
      <c r="G30" s="71">
        <f>+E30*F30</f>
        <v>12050.133333333333</v>
      </c>
      <c r="H30" s="49"/>
      <c r="I30" s="49"/>
      <c r="J30" s="49"/>
      <c r="K30" s="49"/>
    </row>
    <row r="31" spans="1:11" s="7" customFormat="1" ht="15" thickBot="1">
      <c r="A31" s="69"/>
      <c r="B31" s="938" t="s">
        <v>423</v>
      </c>
      <c r="C31" s="939"/>
      <c r="D31" s="70" t="s">
        <v>28</v>
      </c>
      <c r="E31" s="243">
        <f>0.2*0.2*0.3*1.3</f>
        <v>1.5600000000000003E-2</v>
      </c>
      <c r="F31" s="281">
        <v>76154</v>
      </c>
      <c r="G31" s="71">
        <f>+E31*F31</f>
        <v>1188.0024000000003</v>
      </c>
      <c r="H31" s="49"/>
      <c r="I31" s="49"/>
      <c r="J31" s="49"/>
      <c r="K31" s="49"/>
    </row>
    <row r="32" spans="1:11" s="7" customFormat="1">
      <c r="A32" s="76"/>
      <c r="B32" s="1053"/>
      <c r="C32" s="1054"/>
      <c r="D32" s="70"/>
      <c r="E32" s="248"/>
      <c r="F32" s="282"/>
      <c r="G32" s="71">
        <f>+E32*F32</f>
        <v>0</v>
      </c>
      <c r="H32" s="49"/>
      <c r="I32" s="49"/>
      <c r="J32" s="49"/>
      <c r="K32" s="49"/>
    </row>
    <row r="33" spans="1:12" s="7" customFormat="1" ht="15" thickBot="1">
      <c r="A33" s="1055" t="s">
        <v>424</v>
      </c>
      <c r="B33" s="1056"/>
      <c r="C33" s="1057"/>
      <c r="D33" s="1058" t="s">
        <v>425</v>
      </c>
      <c r="E33" s="1058"/>
      <c r="F33" s="1058"/>
      <c r="G33" s="36">
        <f>SUM(G30:G32)</f>
        <v>13238.135733333333</v>
      </c>
      <c r="H33" s="49"/>
      <c r="I33" s="49"/>
      <c r="J33" s="49"/>
      <c r="K33" s="49"/>
    </row>
    <row r="34" spans="1:12" s="7" customFormat="1" ht="15" thickBot="1">
      <c r="A34" s="1059"/>
      <c r="B34" s="1059"/>
      <c r="C34" s="1060"/>
      <c r="D34" s="1061" t="s">
        <v>426</v>
      </c>
      <c r="E34" s="1062"/>
      <c r="F34" s="1062"/>
      <c r="G34" s="78">
        <f>ROUND(G13+G22+G27+G33,0)</f>
        <v>40950</v>
      </c>
      <c r="H34" s="49"/>
      <c r="I34" s="49"/>
      <c r="J34" s="49"/>
      <c r="K34" s="49"/>
    </row>
    <row r="35" spans="1:12" ht="15" thickBot="1">
      <c r="A35" s="79"/>
      <c r="B35" s="79"/>
      <c r="C35" s="79"/>
      <c r="D35" s="79"/>
      <c r="E35" s="250"/>
      <c r="F35" s="283"/>
      <c r="G35" s="79"/>
    </row>
    <row r="36" spans="1:12" ht="15" thickBot="1">
      <c r="A36" s="1006" t="s">
        <v>390</v>
      </c>
      <c r="B36" s="1007"/>
      <c r="C36" s="1007"/>
      <c r="D36" s="1007"/>
      <c r="E36" s="1007"/>
      <c r="F36" s="272" t="s">
        <v>391</v>
      </c>
      <c r="G36" s="43">
        <f ca="1">TODAY()</f>
        <v>46071</v>
      </c>
    </row>
    <row r="37" spans="1:12" ht="21" customHeight="1" thickBot="1">
      <c r="A37" s="953" t="str">
        <f>+'OFERTA ECONOMICA'!B9</f>
        <v>Demolición de enchapes y/o revoques. Incluye demolición del mortero de nivelación espesor máximo 0.03 m, el transporte interno hasta el sitio de acopio que indique la interventoría y/o la botada del material hasta el botadero oficial autorizado. Incluye andamios certificados, equipos de seguridad, empacada de escombros en costales, cargue, transporte y botada de escombros en botaderos oficiales, transporte hasta el sitio que lo indique la supervisión.</v>
      </c>
      <c r="B37" s="954"/>
      <c r="C37" s="954"/>
      <c r="D37" s="954"/>
      <c r="E37" s="955"/>
      <c r="F37" s="273" t="s">
        <v>392</v>
      </c>
      <c r="G37" s="45" t="s">
        <v>15</v>
      </c>
    </row>
    <row r="38" spans="1:12" ht="21" customHeight="1" thickBot="1">
      <c r="A38" s="956"/>
      <c r="B38" s="957"/>
      <c r="C38" s="957"/>
      <c r="D38" s="957"/>
      <c r="E38" s="958"/>
      <c r="F38" s="273" t="s">
        <v>393</v>
      </c>
      <c r="G38" s="46">
        <v>1</v>
      </c>
    </row>
    <row r="39" spans="1:12" ht="21" customHeight="1" thickBot="1">
      <c r="A39" s="959"/>
      <c r="B39" s="960"/>
      <c r="C39" s="960"/>
      <c r="D39" s="960"/>
      <c r="E39" s="961"/>
      <c r="F39" s="274" t="s">
        <v>394</v>
      </c>
      <c r="G39" s="48" t="s">
        <v>13</v>
      </c>
    </row>
    <row r="40" spans="1:12" s="7" customFormat="1" ht="15" thickBot="1">
      <c r="A40" s="1063" t="s">
        <v>1</v>
      </c>
      <c r="B40" s="1064" t="s">
        <v>395</v>
      </c>
      <c r="C40" s="1064"/>
      <c r="D40" s="1064"/>
      <c r="E40" s="1064"/>
      <c r="F40" s="1064"/>
      <c r="G40" s="1065"/>
      <c r="H40" s="49"/>
      <c r="I40" s="49"/>
      <c r="J40" s="49"/>
      <c r="K40" s="49"/>
    </row>
    <row r="41" spans="1:12" s="7" customFormat="1" ht="15" thickBot="1">
      <c r="A41" s="1042"/>
      <c r="B41" s="1045" t="s">
        <v>396</v>
      </c>
      <c r="C41" s="1046"/>
      <c r="D41" s="50" t="s">
        <v>3</v>
      </c>
      <c r="E41" s="242" t="s">
        <v>397</v>
      </c>
      <c r="F41" s="275" t="s">
        <v>398</v>
      </c>
      <c r="G41" s="52" t="s">
        <v>399</v>
      </c>
      <c r="H41" s="49"/>
      <c r="I41" s="49"/>
      <c r="J41" s="49"/>
      <c r="K41" s="49"/>
    </row>
    <row r="42" spans="1:12" s="7" customFormat="1" ht="15" thickBot="1">
      <c r="A42" s="87"/>
      <c r="B42" s="930" t="s">
        <v>427</v>
      </c>
      <c r="C42" s="931"/>
      <c r="D42" s="88" t="s">
        <v>428</v>
      </c>
      <c r="E42" s="251">
        <f>+G60</f>
        <v>18021.835088</v>
      </c>
      <c r="F42" s="284">
        <v>0.05</v>
      </c>
      <c r="G42" s="90">
        <f t="shared" ref="G42:G46" si="1">ROUND((E42*F42),0)</f>
        <v>901</v>
      </c>
      <c r="H42" s="49"/>
      <c r="I42" s="49"/>
      <c r="J42" s="49"/>
      <c r="K42" s="49"/>
    </row>
    <row r="43" spans="1:12" s="203" customFormat="1" ht="12.75">
      <c r="A43" s="200"/>
      <c r="B43" s="968" t="s">
        <v>429</v>
      </c>
      <c r="C43" s="969"/>
      <c r="D43" s="92" t="s">
        <v>430</v>
      </c>
      <c r="E43" s="252">
        <f>+E59</f>
        <v>4.546E-2</v>
      </c>
      <c r="F43" s="328">
        <v>101853</v>
      </c>
      <c r="G43" s="94">
        <f>ROUND((E43*F43),0)</f>
        <v>4630</v>
      </c>
      <c r="H43" s="201"/>
      <c r="I43" s="202"/>
      <c r="J43" s="202"/>
      <c r="K43" s="202"/>
      <c r="L43" s="202"/>
    </row>
    <row r="44" spans="1:12" s="7" customFormat="1" ht="15">
      <c r="A44" s="206"/>
      <c r="B44" s="968" t="s">
        <v>431</v>
      </c>
      <c r="C44" s="969"/>
      <c r="D44" s="92" t="s">
        <v>430</v>
      </c>
      <c r="E44" s="252">
        <f>+E59*2</f>
        <v>9.0920000000000001E-2</v>
      </c>
      <c r="F44" s="328">
        <v>850</v>
      </c>
      <c r="G44" s="94">
        <f t="shared" ref="G44" si="2">ROUND((E44*F44),0)</f>
        <v>77</v>
      </c>
      <c r="H44" s="204"/>
      <c r="I44" s="205"/>
      <c r="J44" s="205"/>
      <c r="K44" s="205"/>
      <c r="L44" s="205"/>
    </row>
    <row r="45" spans="1:12" s="7" customFormat="1">
      <c r="A45" s="91"/>
      <c r="B45" s="968" t="s">
        <v>432</v>
      </c>
      <c r="C45" s="969"/>
      <c r="D45" s="92" t="s">
        <v>430</v>
      </c>
      <c r="E45" s="252">
        <f>+E59</f>
        <v>4.546E-2</v>
      </c>
      <c r="F45" s="328">
        <v>36500</v>
      </c>
      <c r="G45" s="94">
        <f t="shared" si="1"/>
        <v>1659</v>
      </c>
      <c r="H45" s="49"/>
      <c r="I45" s="49"/>
      <c r="J45" s="49"/>
      <c r="K45" s="49"/>
    </row>
    <row r="46" spans="1:12" s="7" customFormat="1">
      <c r="A46" s="91"/>
      <c r="B46" s="968" t="s">
        <v>433</v>
      </c>
      <c r="C46" s="969"/>
      <c r="D46" s="92" t="s">
        <v>430</v>
      </c>
      <c r="E46" s="252">
        <f>+E59</f>
        <v>4.546E-2</v>
      </c>
      <c r="F46" s="328">
        <v>448</v>
      </c>
      <c r="G46" s="94">
        <f t="shared" si="1"/>
        <v>20</v>
      </c>
      <c r="H46" s="49"/>
      <c r="I46" s="49"/>
      <c r="J46" s="49"/>
      <c r="K46" s="49"/>
    </row>
    <row r="47" spans="1:12" s="7" customFormat="1" ht="15" thickBot="1">
      <c r="A47" s="994"/>
      <c r="B47" s="995"/>
      <c r="C47" s="995"/>
      <c r="D47" s="981" t="s">
        <v>403</v>
      </c>
      <c r="E47" s="981"/>
      <c r="F47" s="981"/>
      <c r="G47" s="13">
        <f>SUM(G42:G46)</f>
        <v>7287</v>
      </c>
      <c r="H47" s="49"/>
      <c r="I47" s="49"/>
      <c r="J47" s="49"/>
      <c r="K47" s="49"/>
    </row>
    <row r="48" spans="1:12" s="7" customFormat="1" ht="15" thickBot="1">
      <c r="A48" s="982" t="s">
        <v>1</v>
      </c>
      <c r="B48" s="983" t="s">
        <v>404</v>
      </c>
      <c r="C48" s="983"/>
      <c r="D48" s="983"/>
      <c r="E48" s="983"/>
      <c r="F48" s="983"/>
      <c r="G48" s="984"/>
      <c r="H48" s="49"/>
      <c r="I48" s="49"/>
      <c r="J48" s="49"/>
      <c r="K48" s="49"/>
    </row>
    <row r="49" spans="1:11" s="7" customFormat="1" ht="15" thickBot="1">
      <c r="A49" s="982"/>
      <c r="B49" s="913" t="s">
        <v>396</v>
      </c>
      <c r="C49" s="914"/>
      <c r="D49" s="95" t="s">
        <v>3</v>
      </c>
      <c r="E49" s="242" t="s">
        <v>398</v>
      </c>
      <c r="F49" s="286" t="s">
        <v>397</v>
      </c>
      <c r="G49" s="97" t="s">
        <v>399</v>
      </c>
      <c r="H49" s="49"/>
      <c r="I49" s="49"/>
      <c r="J49" s="49"/>
      <c r="K49" s="49"/>
    </row>
    <row r="50" spans="1:11" s="7" customFormat="1">
      <c r="A50" s="98"/>
      <c r="B50" s="928" t="s">
        <v>434</v>
      </c>
      <c r="C50" s="929"/>
      <c r="D50" s="99" t="s">
        <v>55</v>
      </c>
      <c r="E50" s="253">
        <v>0.3</v>
      </c>
      <c r="F50" s="287">
        <v>1300</v>
      </c>
      <c r="G50" s="102">
        <f t="shared" ref="G50" si="3">ROUND(E50*F50,)</f>
        <v>390</v>
      </c>
      <c r="H50" s="49"/>
      <c r="I50" s="49"/>
      <c r="J50" s="49"/>
      <c r="K50" s="49"/>
    </row>
    <row r="51" spans="1:11" s="7" customFormat="1" ht="15" thickBot="1">
      <c r="A51" s="996"/>
      <c r="B51" s="997"/>
      <c r="C51" s="998"/>
      <c r="D51" s="981" t="s">
        <v>415</v>
      </c>
      <c r="E51" s="981"/>
      <c r="F51" s="981"/>
      <c r="G51" s="13">
        <f>SUM(G50:G50)</f>
        <v>390</v>
      </c>
      <c r="H51" s="49"/>
      <c r="I51" s="49"/>
      <c r="J51" s="49"/>
      <c r="K51" s="49"/>
    </row>
    <row r="52" spans="1:11" s="7" customFormat="1" ht="15" thickBot="1">
      <c r="A52" s="982" t="s">
        <v>1</v>
      </c>
      <c r="B52" s="983" t="s">
        <v>416</v>
      </c>
      <c r="C52" s="983"/>
      <c r="D52" s="983"/>
      <c r="E52" s="983"/>
      <c r="F52" s="983"/>
      <c r="G52" s="984"/>
      <c r="H52" s="49"/>
      <c r="I52" s="49"/>
      <c r="J52" s="49"/>
      <c r="K52" s="49"/>
    </row>
    <row r="53" spans="1:11" s="7" customFormat="1" ht="15" thickBot="1">
      <c r="A53" s="982"/>
      <c r="B53" s="913" t="s">
        <v>396</v>
      </c>
      <c r="C53" s="914"/>
      <c r="D53" s="95" t="s">
        <v>3</v>
      </c>
      <c r="E53" s="242" t="s">
        <v>398</v>
      </c>
      <c r="F53" s="286" t="s">
        <v>397</v>
      </c>
      <c r="G53" s="97" t="s">
        <v>399</v>
      </c>
      <c r="H53" s="49"/>
      <c r="I53" s="49"/>
      <c r="J53" s="49"/>
      <c r="K53" s="49"/>
    </row>
    <row r="54" spans="1:11" s="7" customFormat="1" ht="15" thickBot="1">
      <c r="A54" s="103"/>
      <c r="B54" s="942" t="s">
        <v>435</v>
      </c>
      <c r="C54" s="943"/>
      <c r="D54" s="104" t="s">
        <v>28</v>
      </c>
      <c r="E54" s="212">
        <v>55083</v>
      </c>
      <c r="F54" s="288">
        <v>2.4E-2</v>
      </c>
      <c r="G54" s="106">
        <f>ROUND(F54*E54,)</f>
        <v>1322</v>
      </c>
      <c r="H54" s="49"/>
      <c r="I54" s="49"/>
      <c r="J54" s="49"/>
      <c r="K54" s="49"/>
    </row>
    <row r="55" spans="1:11" s="7" customFormat="1" ht="15" thickBot="1">
      <c r="A55" s="103"/>
      <c r="B55" s="942" t="s">
        <v>436</v>
      </c>
      <c r="C55" s="943"/>
      <c r="D55" s="104" t="s">
        <v>28</v>
      </c>
      <c r="E55" s="212">
        <v>22500</v>
      </c>
      <c r="F55" s="288">
        <v>2.4E-2</v>
      </c>
      <c r="G55" s="106">
        <f>ROUND(F55*E55,)</f>
        <v>540</v>
      </c>
      <c r="H55" s="49"/>
      <c r="I55" s="49"/>
      <c r="J55" s="49"/>
      <c r="K55" s="49"/>
    </row>
    <row r="56" spans="1:11" s="7" customFormat="1" ht="15" thickBot="1">
      <c r="A56" s="978"/>
      <c r="B56" s="979"/>
      <c r="C56" s="980"/>
      <c r="D56" s="981" t="s">
        <v>418</v>
      </c>
      <c r="E56" s="981"/>
      <c r="F56" s="981"/>
      <c r="G56" s="13">
        <f>SUM(G54:G55)</f>
        <v>1862</v>
      </c>
      <c r="H56" s="49"/>
      <c r="I56" s="49"/>
      <c r="J56" s="49"/>
      <c r="K56" s="49"/>
    </row>
    <row r="57" spans="1:11" s="7" customFormat="1" ht="15" thickBot="1">
      <c r="A57" s="982" t="s">
        <v>1</v>
      </c>
      <c r="B57" s="983" t="s">
        <v>419</v>
      </c>
      <c r="C57" s="983"/>
      <c r="D57" s="983"/>
      <c r="E57" s="983"/>
      <c r="F57" s="983"/>
      <c r="G57" s="984"/>
      <c r="H57" s="49"/>
      <c r="I57" s="49"/>
      <c r="J57" s="49"/>
      <c r="K57" s="49"/>
    </row>
    <row r="58" spans="1:11" s="7" customFormat="1" ht="15" thickBot="1">
      <c r="A58" s="982"/>
      <c r="B58" s="913" t="s">
        <v>396</v>
      </c>
      <c r="C58" s="914"/>
      <c r="D58" s="95" t="s">
        <v>3</v>
      </c>
      <c r="E58" s="242" t="s">
        <v>4</v>
      </c>
      <c r="F58" s="289" t="s">
        <v>420</v>
      </c>
      <c r="G58" s="97" t="s">
        <v>399</v>
      </c>
      <c r="H58" s="49"/>
      <c r="I58" s="49"/>
      <c r="J58" s="49"/>
      <c r="K58" s="49"/>
    </row>
    <row r="59" spans="1:11" s="7" customFormat="1">
      <c r="A59" s="108"/>
      <c r="B59" s="985" t="s">
        <v>437</v>
      </c>
      <c r="C59" s="986"/>
      <c r="D59" s="109" t="s">
        <v>422</v>
      </c>
      <c r="E59" s="254">
        <v>4.546E-2</v>
      </c>
      <c r="F59" s="82">
        <f>_xlfn.IFNA(VLOOKUP(B59,'sub M. DE OBRA'!$B$4:$E$19997,4,FALSE),0)</f>
        <v>396432.8</v>
      </c>
      <c r="G59" s="111">
        <f>+E59*F59</f>
        <v>18021.835088</v>
      </c>
      <c r="H59" s="49"/>
      <c r="I59" s="49"/>
      <c r="J59" s="49"/>
      <c r="K59" s="49"/>
    </row>
    <row r="60" spans="1:11" s="7" customFormat="1" ht="15" thickBot="1">
      <c r="A60" s="987" t="s">
        <v>424</v>
      </c>
      <c r="B60" s="988"/>
      <c r="C60" s="989"/>
      <c r="D60" s="990" t="s">
        <v>425</v>
      </c>
      <c r="E60" s="990"/>
      <c r="F60" s="990"/>
      <c r="G60" s="14">
        <f>SUM(G59:G59)</f>
        <v>18021.835088</v>
      </c>
      <c r="H60" s="49"/>
      <c r="I60" s="49"/>
      <c r="J60" s="49"/>
      <c r="K60" s="49"/>
    </row>
    <row r="61" spans="1:11" s="7" customFormat="1" ht="15" thickBot="1">
      <c r="A61" s="991"/>
      <c r="B61" s="991"/>
      <c r="C61" s="991"/>
      <c r="D61" s="992" t="s">
        <v>426</v>
      </c>
      <c r="E61" s="993"/>
      <c r="F61" s="993"/>
      <c r="G61" s="112">
        <f>ROUND(+G47+G51+G56+G60,)</f>
        <v>27561</v>
      </c>
      <c r="H61" s="49"/>
      <c r="I61" s="49"/>
      <c r="J61" s="49"/>
      <c r="K61" s="49"/>
    </row>
    <row r="62" spans="1:11" ht="15" thickBot="1">
      <c r="A62" s="83"/>
      <c r="B62" s="84"/>
      <c r="C62" s="84"/>
      <c r="D62" s="85"/>
      <c r="E62" s="249"/>
      <c r="F62" s="291"/>
      <c r="G62" s="86"/>
    </row>
    <row r="63" spans="1:11" ht="15" thickBot="1">
      <c r="A63" s="1006" t="s">
        <v>390</v>
      </c>
      <c r="B63" s="1007"/>
      <c r="C63" s="1007"/>
      <c r="D63" s="1007"/>
      <c r="E63" s="1007"/>
      <c r="F63" s="272" t="s">
        <v>391</v>
      </c>
      <c r="G63" s="43">
        <f ca="1">TODAY()</f>
        <v>46071</v>
      </c>
    </row>
    <row r="64" spans="1:11" ht="15" thickBot="1">
      <c r="A64" s="953" t="str">
        <f>+'OFERTA ECONOMICA'!B10</f>
        <v>Demolición piso en cerámica, incluye la demolición del mortero de pega. sobre terreno. cargue, transporte y botada de escombros, incluye demolición del mortero de nivelación espesor máximo 0.07m, refuerzo e instalaciones embebidas. además recuperación de los materiales aprovechables o su transporte hasta el sitio que lo indique la interventoría.</v>
      </c>
      <c r="B64" s="954"/>
      <c r="C64" s="954"/>
      <c r="D64" s="954"/>
      <c r="E64" s="955"/>
      <c r="F64" s="273" t="s">
        <v>392</v>
      </c>
      <c r="G64" s="45" t="s">
        <v>15</v>
      </c>
    </row>
    <row r="65" spans="1:11" ht="15" thickBot="1">
      <c r="A65" s="956"/>
      <c r="B65" s="957"/>
      <c r="C65" s="957"/>
      <c r="D65" s="957"/>
      <c r="E65" s="958"/>
      <c r="F65" s="273" t="s">
        <v>393</v>
      </c>
      <c r="G65" s="46">
        <v>1</v>
      </c>
    </row>
    <row r="66" spans="1:11" ht="15" thickBot="1">
      <c r="A66" s="959"/>
      <c r="B66" s="960"/>
      <c r="C66" s="960"/>
      <c r="D66" s="960"/>
      <c r="E66" s="961"/>
      <c r="F66" s="274" t="s">
        <v>394</v>
      </c>
      <c r="G66" s="48" t="s">
        <v>16</v>
      </c>
    </row>
    <row r="67" spans="1:11" ht="15" thickBot="1">
      <c r="A67" s="909" t="s">
        <v>1</v>
      </c>
      <c r="B67" s="1009" t="s">
        <v>438</v>
      </c>
      <c r="C67" s="1009"/>
      <c r="D67" s="1009"/>
      <c r="E67" s="1009"/>
      <c r="F67" s="1009"/>
      <c r="G67" s="1011"/>
    </row>
    <row r="68" spans="1:11" ht="15" thickBot="1">
      <c r="A68" s="1002"/>
      <c r="B68" s="913" t="s">
        <v>396</v>
      </c>
      <c r="C68" s="914"/>
      <c r="D68" s="95" t="s">
        <v>3</v>
      </c>
      <c r="E68" s="242" t="s">
        <v>439</v>
      </c>
      <c r="F68" s="292" t="s">
        <v>398</v>
      </c>
      <c r="G68" s="113" t="s">
        <v>399</v>
      </c>
    </row>
    <row r="69" spans="1:11" ht="15" thickBot="1">
      <c r="A69" s="114"/>
      <c r="B69" s="930" t="s">
        <v>427</v>
      </c>
      <c r="C69" s="931"/>
      <c r="D69" s="88" t="s">
        <v>428</v>
      </c>
      <c r="E69" s="243">
        <v>0.05</v>
      </c>
      <c r="F69" s="330">
        <f>+G86</f>
        <v>17046.610399999998</v>
      </c>
      <c r="G69" s="117">
        <f t="shared" ref="G69:G70" si="4">ROUND((E69*F69),0)</f>
        <v>852</v>
      </c>
    </row>
    <row r="70" spans="1:11" ht="15" thickBot="1">
      <c r="A70" s="118"/>
      <c r="B70" s="1012"/>
      <c r="C70" s="1013"/>
      <c r="D70" s="119"/>
      <c r="E70" s="243"/>
      <c r="F70" s="293"/>
      <c r="G70" s="121">
        <f t="shared" si="4"/>
        <v>0</v>
      </c>
    </row>
    <row r="71" spans="1:11" ht="15" thickBot="1">
      <c r="A71" s="1014"/>
      <c r="B71" s="995"/>
      <c r="C71" s="995"/>
      <c r="D71" s="981" t="s">
        <v>415</v>
      </c>
      <c r="E71" s="981"/>
      <c r="F71" s="981"/>
      <c r="G71" s="11">
        <f>SUM(G69:G70)</f>
        <v>852</v>
      </c>
    </row>
    <row r="72" spans="1:11" ht="15" thickBot="1">
      <c r="A72" s="1002" t="s">
        <v>1</v>
      </c>
      <c r="B72" s="983" t="s">
        <v>395</v>
      </c>
      <c r="C72" s="983"/>
      <c r="D72" s="983"/>
      <c r="E72" s="983"/>
      <c r="F72" s="983"/>
      <c r="G72" s="1003"/>
    </row>
    <row r="73" spans="1:11" s="7" customFormat="1" ht="13.5" thickBot="1">
      <c r="A73" s="1002"/>
      <c r="B73" s="913" t="s">
        <v>396</v>
      </c>
      <c r="C73" s="914"/>
      <c r="D73" s="95" t="s">
        <v>3</v>
      </c>
      <c r="E73" s="242" t="s">
        <v>439</v>
      </c>
      <c r="F73" s="292" t="s">
        <v>398</v>
      </c>
      <c r="G73" s="113" t="s">
        <v>399</v>
      </c>
    </row>
    <row r="74" spans="1:11" ht="15" thickBot="1">
      <c r="A74" s="122"/>
      <c r="B74" s="928" t="s">
        <v>434</v>
      </c>
      <c r="C74" s="929"/>
      <c r="D74" s="99" t="s">
        <v>55</v>
      </c>
      <c r="E74" s="253">
        <v>0.3</v>
      </c>
      <c r="F74" s="287">
        <v>1300</v>
      </c>
      <c r="G74" s="102">
        <f t="shared" ref="G74" si="5">ROUND(E74*F74,)</f>
        <v>390</v>
      </c>
    </row>
    <row r="75" spans="1:11" ht="15" thickBot="1">
      <c r="A75" s="123"/>
      <c r="B75" s="976"/>
      <c r="C75" s="977"/>
      <c r="D75" s="88"/>
      <c r="E75" s="243"/>
      <c r="F75" s="293"/>
      <c r="G75" s="124">
        <f t="shared" ref="G75" si="6">ROUND(E75*F75,)</f>
        <v>0</v>
      </c>
    </row>
    <row r="76" spans="1:11" ht="15" thickBot="1">
      <c r="A76" s="1017"/>
      <c r="B76" s="997"/>
      <c r="C76" s="998"/>
      <c r="D76" s="981" t="s">
        <v>403</v>
      </c>
      <c r="E76" s="981"/>
      <c r="F76" s="981"/>
      <c r="G76" s="11">
        <f>SUM(G74:G75)</f>
        <v>390</v>
      </c>
      <c r="J76" s="125"/>
      <c r="K76" s="126"/>
    </row>
    <row r="77" spans="1:11" ht="15" thickBot="1">
      <c r="A77" s="1002" t="s">
        <v>1</v>
      </c>
      <c r="B77" s="983" t="s">
        <v>416</v>
      </c>
      <c r="C77" s="983"/>
      <c r="D77" s="983"/>
      <c r="E77" s="983"/>
      <c r="F77" s="983"/>
      <c r="G77" s="1003"/>
    </row>
    <row r="78" spans="1:11" ht="15" thickBot="1">
      <c r="A78" s="1002"/>
      <c r="B78" s="913" t="s">
        <v>396</v>
      </c>
      <c r="C78" s="914"/>
      <c r="D78" s="95" t="s">
        <v>3</v>
      </c>
      <c r="E78" s="242" t="s">
        <v>398</v>
      </c>
      <c r="F78" s="286" t="s">
        <v>397</v>
      </c>
      <c r="G78" s="113" t="s">
        <v>399</v>
      </c>
    </row>
    <row r="79" spans="1:11">
      <c r="A79" s="127"/>
      <c r="B79" s="999" t="s">
        <v>435</v>
      </c>
      <c r="C79" s="1000"/>
      <c r="D79" s="128" t="s">
        <v>28</v>
      </c>
      <c r="E79" s="329">
        <v>55000</v>
      </c>
      <c r="F79" s="295">
        <f>0.03*1.35</f>
        <v>4.0500000000000001E-2</v>
      </c>
      <c r="G79" s="129">
        <f>ROUND(F79*E79,)</f>
        <v>2228</v>
      </c>
    </row>
    <row r="80" spans="1:11" ht="15" thickBot="1">
      <c r="A80" s="130"/>
      <c r="B80" s="942" t="s">
        <v>436</v>
      </c>
      <c r="C80" s="943"/>
      <c r="D80" s="104" t="s">
        <v>28</v>
      </c>
      <c r="E80" s="327">
        <v>22500</v>
      </c>
      <c r="F80" s="288">
        <f>+F79</f>
        <v>4.0500000000000001E-2</v>
      </c>
      <c r="G80" s="131">
        <f>ROUND(F80*E80,)</f>
        <v>911</v>
      </c>
    </row>
    <row r="81" spans="1:7" ht="15" thickBot="1">
      <c r="A81" s="1001"/>
      <c r="B81" s="979"/>
      <c r="C81" s="980"/>
      <c r="D81" s="981" t="s">
        <v>418</v>
      </c>
      <c r="E81" s="981"/>
      <c r="F81" s="981"/>
      <c r="G81" s="11">
        <f>SUM(G79:G80)</f>
        <v>3139</v>
      </c>
    </row>
    <row r="82" spans="1:7" ht="15" thickBot="1">
      <c r="A82" s="1002" t="s">
        <v>1</v>
      </c>
      <c r="B82" s="983" t="s">
        <v>419</v>
      </c>
      <c r="C82" s="983"/>
      <c r="D82" s="983"/>
      <c r="E82" s="983"/>
      <c r="F82" s="983"/>
      <c r="G82" s="1003"/>
    </row>
    <row r="83" spans="1:7" ht="15" thickBot="1">
      <c r="A83" s="1002"/>
      <c r="B83" s="913" t="s">
        <v>396</v>
      </c>
      <c r="C83" s="914"/>
      <c r="D83" s="95" t="s">
        <v>3</v>
      </c>
      <c r="E83" s="242" t="s">
        <v>4</v>
      </c>
      <c r="F83" s="289" t="s">
        <v>420</v>
      </c>
      <c r="G83" s="113" t="s">
        <v>399</v>
      </c>
    </row>
    <row r="84" spans="1:7" ht="15" thickBot="1">
      <c r="A84" s="127"/>
      <c r="B84" s="985" t="s">
        <v>437</v>
      </c>
      <c r="C84" s="986"/>
      <c r="D84" s="128" t="s">
        <v>422</v>
      </c>
      <c r="E84" s="243">
        <v>4.2999999999999997E-2</v>
      </c>
      <c r="F84" s="281">
        <f>_xlfn.IFNA(VLOOKUP(B84,'sub M. DE OBRA'!$B$4:$E$19997,4,FALSE),0)</f>
        <v>396432.8</v>
      </c>
      <c r="G84" s="129">
        <f>+E84*F84</f>
        <v>17046.610399999998</v>
      </c>
    </row>
    <row r="85" spans="1:7">
      <c r="A85" s="132"/>
      <c r="B85" s="133"/>
      <c r="C85" s="134"/>
      <c r="D85" s="135"/>
      <c r="E85" s="248"/>
      <c r="F85" s="296"/>
      <c r="G85" s="129">
        <f>+E85*F85</f>
        <v>0</v>
      </c>
    </row>
    <row r="86" spans="1:7" ht="15" thickBot="1">
      <c r="A86" s="1004" t="s">
        <v>424</v>
      </c>
      <c r="B86" s="988"/>
      <c r="C86" s="989"/>
      <c r="D86" s="990" t="s">
        <v>425</v>
      </c>
      <c r="E86" s="990"/>
      <c r="F86" s="990"/>
      <c r="G86" s="12">
        <f>SUM(G84:G85)</f>
        <v>17046.610399999998</v>
      </c>
    </row>
    <row r="87" spans="1:7" ht="15" thickBot="1">
      <c r="A87" s="1005"/>
      <c r="B87" s="1005"/>
      <c r="C87" s="921"/>
      <c r="D87" s="1041" t="s">
        <v>426</v>
      </c>
      <c r="E87" s="1041"/>
      <c r="F87" s="1041"/>
      <c r="G87" s="137">
        <f>ROUND(G71+G76+G81+G86,0)</f>
        <v>21428</v>
      </c>
    </row>
    <row r="88" spans="1:7" ht="15" thickBot="1">
      <c r="A88" s="83"/>
      <c r="B88" s="84"/>
      <c r="C88" s="84"/>
      <c r="D88" s="85"/>
      <c r="E88" s="249"/>
      <c r="F88" s="291"/>
      <c r="G88" s="86"/>
    </row>
    <row r="89" spans="1:7" ht="15" thickBot="1">
      <c r="A89" s="1006" t="s">
        <v>390</v>
      </c>
      <c r="B89" s="1007"/>
      <c r="C89" s="1007"/>
      <c r="D89" s="1007"/>
      <c r="E89" s="1007"/>
      <c r="F89" s="272" t="s">
        <v>391</v>
      </c>
      <c r="G89" s="43">
        <f ca="1">TODAY()</f>
        <v>46071</v>
      </c>
    </row>
    <row r="90" spans="1:7" ht="15" thickBot="1">
      <c r="A90" s="953" t="str">
        <f>+'OFERTA ECONOMICA'!B11</f>
        <v>Desmonte y retiro de cubierta existente en mal estado (teja metálica y/o aluminio, policarbonato, asbesto cemento o similar) incluye el traslado del material al sitio donde indique la interventoría y/o su disposición final. Medido a cinta pegada sobre pendiente. No incluye el retiro de la estructura de soporte.</v>
      </c>
      <c r="B90" s="954"/>
      <c r="C90" s="954"/>
      <c r="D90" s="954"/>
      <c r="E90" s="955"/>
      <c r="F90" s="273" t="s">
        <v>392</v>
      </c>
      <c r="G90" s="45" t="s">
        <v>15</v>
      </c>
    </row>
    <row r="91" spans="1:7" ht="15" thickBot="1">
      <c r="A91" s="956"/>
      <c r="B91" s="957"/>
      <c r="C91" s="957"/>
      <c r="D91" s="957"/>
      <c r="E91" s="958"/>
      <c r="F91" s="273" t="s">
        <v>393</v>
      </c>
      <c r="G91" s="46">
        <v>1</v>
      </c>
    </row>
    <row r="92" spans="1:7" ht="15" thickBot="1">
      <c r="A92" s="959"/>
      <c r="B92" s="960"/>
      <c r="C92" s="960"/>
      <c r="D92" s="960"/>
      <c r="E92" s="961"/>
      <c r="F92" s="274" t="s">
        <v>394</v>
      </c>
      <c r="G92" s="48" t="s">
        <v>440</v>
      </c>
    </row>
    <row r="93" spans="1:7" ht="15" thickBot="1">
      <c r="A93" s="909" t="s">
        <v>1</v>
      </c>
      <c r="B93" s="1009" t="s">
        <v>438</v>
      </c>
      <c r="C93" s="1009"/>
      <c r="D93" s="1009"/>
      <c r="E93" s="1009"/>
      <c r="F93" s="1009"/>
      <c r="G93" s="1011"/>
    </row>
    <row r="94" spans="1:7" ht="15" thickBot="1">
      <c r="A94" s="1002"/>
      <c r="B94" s="913" t="s">
        <v>396</v>
      </c>
      <c r="C94" s="914"/>
      <c r="D94" s="95" t="s">
        <v>3</v>
      </c>
      <c r="E94" s="242" t="s">
        <v>439</v>
      </c>
      <c r="F94" s="292" t="s">
        <v>398</v>
      </c>
      <c r="G94" s="113" t="s">
        <v>399</v>
      </c>
    </row>
    <row r="95" spans="1:7" ht="15" thickBot="1">
      <c r="A95" s="114"/>
      <c r="B95" s="930" t="s">
        <v>427</v>
      </c>
      <c r="C95" s="931"/>
      <c r="D95" s="88" t="s">
        <v>428</v>
      </c>
      <c r="E95" s="243">
        <v>0.05</v>
      </c>
      <c r="F95" s="293">
        <f>+G112</f>
        <v>41153.996000000006</v>
      </c>
      <c r="G95" s="117">
        <f>ROUND((E95*F95),0)</f>
        <v>2058</v>
      </c>
    </row>
    <row r="96" spans="1:7" ht="15" thickBot="1">
      <c r="A96" s="118"/>
      <c r="B96" s="1012" t="s">
        <v>441</v>
      </c>
      <c r="C96" s="1013"/>
      <c r="D96" s="119" t="s">
        <v>430</v>
      </c>
      <c r="E96" s="243">
        <f>+E110</f>
        <v>0.13</v>
      </c>
      <c r="F96" s="293">
        <v>36500</v>
      </c>
      <c r="G96" s="121">
        <f>ROUND((E96*F96),0)</f>
        <v>4745</v>
      </c>
    </row>
    <row r="97" spans="1:11" ht="15" thickBot="1">
      <c r="A97" s="1014"/>
      <c r="B97" s="995"/>
      <c r="C97" s="995"/>
      <c r="D97" s="981" t="s">
        <v>415</v>
      </c>
      <c r="E97" s="981"/>
      <c r="F97" s="981"/>
      <c r="G97" s="11">
        <f>SUM(G95:G96)</f>
        <v>6803</v>
      </c>
    </row>
    <row r="98" spans="1:11" ht="15" thickBot="1">
      <c r="A98" s="1002" t="s">
        <v>1</v>
      </c>
      <c r="B98" s="983" t="s">
        <v>395</v>
      </c>
      <c r="C98" s="983"/>
      <c r="D98" s="983"/>
      <c r="E98" s="983"/>
      <c r="F98" s="983"/>
      <c r="G98" s="1003"/>
    </row>
    <row r="99" spans="1:11" s="7" customFormat="1" ht="13.5" thickBot="1">
      <c r="A99" s="1002"/>
      <c r="B99" s="913" t="s">
        <v>396</v>
      </c>
      <c r="C99" s="914"/>
      <c r="D99" s="95" t="s">
        <v>3</v>
      </c>
      <c r="E99" s="242" t="s">
        <v>439</v>
      </c>
      <c r="F99" s="292" t="s">
        <v>398</v>
      </c>
      <c r="G99" s="113" t="s">
        <v>399</v>
      </c>
    </row>
    <row r="100" spans="1:11" ht="15" thickBot="1">
      <c r="A100" s="122"/>
      <c r="B100" s="930"/>
      <c r="C100" s="931"/>
      <c r="D100" s="88"/>
      <c r="E100" s="243"/>
      <c r="F100" s="293"/>
      <c r="G100" s="117">
        <f>ROUND((E100*F100),0)</f>
        <v>0</v>
      </c>
    </row>
    <row r="101" spans="1:11" ht="15" thickBot="1">
      <c r="A101" s="123"/>
      <c r="B101" s="976"/>
      <c r="C101" s="977"/>
      <c r="D101" s="88"/>
      <c r="E101" s="243"/>
      <c r="F101" s="293"/>
      <c r="G101" s="124">
        <f>ROUND(E101*F101,)</f>
        <v>0</v>
      </c>
    </row>
    <row r="102" spans="1:11" ht="15" thickBot="1">
      <c r="A102" s="1017"/>
      <c r="B102" s="997"/>
      <c r="C102" s="998"/>
      <c r="D102" s="981" t="s">
        <v>403</v>
      </c>
      <c r="E102" s="981"/>
      <c r="F102" s="981"/>
      <c r="G102" s="11">
        <f>SUM(G100:G101)</f>
        <v>0</v>
      </c>
      <c r="J102" s="125"/>
      <c r="K102" s="126"/>
    </row>
    <row r="103" spans="1:11" ht="15" thickBot="1">
      <c r="A103" s="1002" t="s">
        <v>1</v>
      </c>
      <c r="B103" s="983" t="s">
        <v>416</v>
      </c>
      <c r="C103" s="983"/>
      <c r="D103" s="983"/>
      <c r="E103" s="983"/>
      <c r="F103" s="983"/>
      <c r="G103" s="1003"/>
    </row>
    <row r="104" spans="1:11" ht="15" thickBot="1">
      <c r="A104" s="1002"/>
      <c r="B104" s="913" t="s">
        <v>396</v>
      </c>
      <c r="C104" s="914"/>
      <c r="D104" s="95" t="s">
        <v>3</v>
      </c>
      <c r="E104" s="242" t="s">
        <v>398</v>
      </c>
      <c r="F104" s="286" t="s">
        <v>397</v>
      </c>
      <c r="G104" s="113" t="s">
        <v>399</v>
      </c>
    </row>
    <row r="105" spans="1:11">
      <c r="A105" s="127"/>
      <c r="B105" s="999" t="s">
        <v>435</v>
      </c>
      <c r="C105" s="1000"/>
      <c r="D105" s="128" t="s">
        <v>28</v>
      </c>
      <c r="E105" s="329">
        <v>55000</v>
      </c>
      <c r="F105" s="295">
        <v>0.2</v>
      </c>
      <c r="G105" s="129">
        <f>ROUND(F105*E105,)</f>
        <v>11000</v>
      </c>
    </row>
    <row r="106" spans="1:11" ht="15" thickBot="1">
      <c r="A106" s="130"/>
      <c r="B106" s="942" t="s">
        <v>436</v>
      </c>
      <c r="C106" s="943"/>
      <c r="D106" s="104" t="s">
        <v>28</v>
      </c>
      <c r="E106" s="327">
        <v>22500</v>
      </c>
      <c r="F106" s="288">
        <f>+F105</f>
        <v>0.2</v>
      </c>
      <c r="G106" s="131">
        <f>ROUND(F106*E106,)</f>
        <v>4500</v>
      </c>
    </row>
    <row r="107" spans="1:11" ht="15" thickBot="1">
      <c r="A107" s="1001"/>
      <c r="B107" s="979"/>
      <c r="C107" s="980"/>
      <c r="D107" s="981" t="s">
        <v>418</v>
      </c>
      <c r="E107" s="981"/>
      <c r="F107" s="981"/>
      <c r="G107" s="11">
        <f>SUM(G105:G106)</f>
        <v>15500</v>
      </c>
    </row>
    <row r="108" spans="1:11" ht="15" thickBot="1">
      <c r="A108" s="1002" t="s">
        <v>1</v>
      </c>
      <c r="B108" s="983" t="s">
        <v>419</v>
      </c>
      <c r="C108" s="983"/>
      <c r="D108" s="983"/>
      <c r="E108" s="983"/>
      <c r="F108" s="983"/>
      <c r="G108" s="1003"/>
    </row>
    <row r="109" spans="1:11" ht="15" thickBot="1">
      <c r="A109" s="1002"/>
      <c r="B109" s="913" t="s">
        <v>396</v>
      </c>
      <c r="C109" s="914"/>
      <c r="D109" s="95" t="s">
        <v>3</v>
      </c>
      <c r="E109" s="242" t="s">
        <v>4</v>
      </c>
      <c r="F109" s="289" t="s">
        <v>420</v>
      </c>
      <c r="G109" s="113" t="s">
        <v>399</v>
      </c>
    </row>
    <row r="110" spans="1:11" ht="15" thickBot="1">
      <c r="A110" s="127"/>
      <c r="B110" s="325" t="s">
        <v>442</v>
      </c>
      <c r="C110" s="326"/>
      <c r="D110" s="128" t="s">
        <v>422</v>
      </c>
      <c r="E110" s="243">
        <v>0.13</v>
      </c>
      <c r="F110" s="281">
        <f>_xlfn.IFNA(VLOOKUP(B110,'sub M. DE OBRA'!$B$4:$E$19997,4,FALSE),0)</f>
        <v>316569.2</v>
      </c>
      <c r="G110" s="129">
        <f>+E110*F110</f>
        <v>41153.996000000006</v>
      </c>
    </row>
    <row r="111" spans="1:11">
      <c r="A111" s="132"/>
      <c r="B111" s="133"/>
      <c r="C111" s="134"/>
      <c r="D111" s="135"/>
      <c r="E111" s="248"/>
      <c r="F111" s="296"/>
      <c r="G111" s="129">
        <f>+E111*F111</f>
        <v>0</v>
      </c>
    </row>
    <row r="112" spans="1:11" ht="15" thickBot="1">
      <c r="A112" s="1004" t="s">
        <v>424</v>
      </c>
      <c r="B112" s="988"/>
      <c r="C112" s="989"/>
      <c r="D112" s="990" t="s">
        <v>425</v>
      </c>
      <c r="E112" s="990"/>
      <c r="F112" s="990"/>
      <c r="G112" s="12">
        <f>SUM(G110:G111)</f>
        <v>41153.996000000006</v>
      </c>
    </row>
    <row r="113" spans="1:11" ht="15" thickBot="1">
      <c r="A113" s="1005"/>
      <c r="B113" s="1005"/>
      <c r="C113" s="921"/>
      <c r="D113" s="1041" t="s">
        <v>426</v>
      </c>
      <c r="E113" s="1041"/>
      <c r="F113" s="1041"/>
      <c r="G113" s="137">
        <f>ROUND(G97+G102+G107+G112,0)</f>
        <v>63457</v>
      </c>
    </row>
    <row r="114" spans="1:11" ht="15" thickBot="1">
      <c r="A114" s="83"/>
      <c r="B114" s="84"/>
      <c r="C114" s="84"/>
      <c r="D114" s="85"/>
      <c r="E114" s="249"/>
      <c r="F114" s="291"/>
      <c r="G114" s="86"/>
    </row>
    <row r="115" spans="1:11" ht="15" thickBot="1">
      <c r="A115" s="1006" t="s">
        <v>390</v>
      </c>
      <c r="B115" s="1007"/>
      <c r="C115" s="1007"/>
      <c r="D115" s="1007"/>
      <c r="E115" s="1007"/>
      <c r="F115" s="272" t="s">
        <v>391</v>
      </c>
      <c r="G115" s="43">
        <f ca="1">TODAY()</f>
        <v>46071</v>
      </c>
    </row>
    <row r="116" spans="1:11" ht="15" thickBot="1">
      <c r="A116" s="953" t="str">
        <f>+'OFERTA ECONOMICA'!B12</f>
        <v>Retiro de ruanas en mal estado. Incluye transporte interno al sitio de acopio para el cargue.</v>
      </c>
      <c r="B116" s="954"/>
      <c r="C116" s="954"/>
      <c r="D116" s="954"/>
      <c r="E116" s="955"/>
      <c r="F116" s="273" t="s">
        <v>392</v>
      </c>
      <c r="G116" s="45" t="s">
        <v>12</v>
      </c>
    </row>
    <row r="117" spans="1:11" ht="15" thickBot="1">
      <c r="A117" s="956"/>
      <c r="B117" s="957"/>
      <c r="C117" s="957"/>
      <c r="D117" s="957"/>
      <c r="E117" s="958"/>
      <c r="F117" s="273" t="s">
        <v>393</v>
      </c>
      <c r="G117" s="46">
        <v>1</v>
      </c>
    </row>
    <row r="118" spans="1:11" ht="15" thickBot="1">
      <c r="A118" s="959"/>
      <c r="B118" s="960"/>
      <c r="C118" s="960"/>
      <c r="D118" s="960"/>
      <c r="E118" s="961"/>
      <c r="F118" s="274" t="s">
        <v>394</v>
      </c>
      <c r="G118" s="48" t="s">
        <v>443</v>
      </c>
    </row>
    <row r="119" spans="1:11" ht="15" thickBot="1">
      <c r="A119" s="909" t="s">
        <v>1</v>
      </c>
      <c r="B119" s="1009" t="s">
        <v>438</v>
      </c>
      <c r="C119" s="1009"/>
      <c r="D119" s="1009"/>
      <c r="E119" s="1009"/>
      <c r="F119" s="1009"/>
      <c r="G119" s="1011"/>
    </row>
    <row r="120" spans="1:11" ht="15" thickBot="1">
      <c r="A120" s="1002"/>
      <c r="B120" s="913" t="s">
        <v>396</v>
      </c>
      <c r="C120" s="914"/>
      <c r="D120" s="95" t="s">
        <v>3</v>
      </c>
      <c r="E120" s="242" t="s">
        <v>439</v>
      </c>
      <c r="F120" s="292" t="s">
        <v>398</v>
      </c>
      <c r="G120" s="113" t="s">
        <v>399</v>
      </c>
    </row>
    <row r="121" spans="1:11">
      <c r="A121" s="114"/>
      <c r="B121" s="930" t="s">
        <v>427</v>
      </c>
      <c r="C121" s="931"/>
      <c r="D121" s="88" t="s">
        <v>428</v>
      </c>
      <c r="E121" s="243">
        <v>0.05</v>
      </c>
      <c r="F121" s="293">
        <f>+G138</f>
        <v>5698.2456000000002</v>
      </c>
      <c r="G121" s="117">
        <f t="shared" ref="G121:G122" si="7">ROUND((E121*F121),0)</f>
        <v>285</v>
      </c>
    </row>
    <row r="122" spans="1:11" ht="15" thickBot="1">
      <c r="A122" s="118"/>
      <c r="B122" s="1012" t="s">
        <v>402</v>
      </c>
      <c r="C122" s="1013"/>
      <c r="D122" s="119" t="s">
        <v>402</v>
      </c>
      <c r="E122" s="244"/>
      <c r="F122" s="294"/>
      <c r="G122" s="121">
        <f t="shared" si="7"/>
        <v>0</v>
      </c>
    </row>
    <row r="123" spans="1:11" ht="15" thickBot="1">
      <c r="A123" s="1014"/>
      <c r="B123" s="995"/>
      <c r="C123" s="995"/>
      <c r="D123" s="981" t="s">
        <v>415</v>
      </c>
      <c r="E123" s="981"/>
      <c r="F123" s="981"/>
      <c r="G123" s="11">
        <f>SUM(G121:G122)</f>
        <v>285</v>
      </c>
    </row>
    <row r="124" spans="1:11" ht="15" thickBot="1">
      <c r="A124" s="1002" t="s">
        <v>1</v>
      </c>
      <c r="B124" s="983" t="s">
        <v>395</v>
      </c>
      <c r="C124" s="983"/>
      <c r="D124" s="983"/>
      <c r="E124" s="983"/>
      <c r="F124" s="983"/>
      <c r="G124" s="1003"/>
    </row>
    <row r="125" spans="1:11" s="7" customFormat="1" ht="13.5" thickBot="1">
      <c r="A125" s="1002"/>
      <c r="B125" s="913" t="s">
        <v>396</v>
      </c>
      <c r="C125" s="914"/>
      <c r="D125" s="95" t="s">
        <v>3</v>
      </c>
      <c r="E125" s="242" t="s">
        <v>439</v>
      </c>
      <c r="F125" s="292" t="s">
        <v>398</v>
      </c>
      <c r="G125" s="113" t="s">
        <v>399</v>
      </c>
    </row>
    <row r="126" spans="1:11" ht="15" thickBot="1">
      <c r="A126" s="122"/>
      <c r="B126" s="930"/>
      <c r="C126" s="931"/>
      <c r="D126" s="88"/>
      <c r="E126" s="243"/>
      <c r="F126" s="293"/>
      <c r="G126" s="117">
        <f t="shared" ref="G126" si="8">ROUND((E126*F126),0)</f>
        <v>0</v>
      </c>
    </row>
    <row r="127" spans="1:11" ht="15" thickBot="1">
      <c r="A127" s="123"/>
      <c r="B127" s="976"/>
      <c r="C127" s="977"/>
      <c r="D127" s="88"/>
      <c r="E127" s="243"/>
      <c r="F127" s="293"/>
      <c r="G127" s="124">
        <f t="shared" ref="G127" si="9">ROUND(E127*F127,)</f>
        <v>0</v>
      </c>
    </row>
    <row r="128" spans="1:11" ht="15" thickBot="1">
      <c r="A128" s="1017"/>
      <c r="B128" s="997"/>
      <c r="C128" s="998"/>
      <c r="D128" s="981" t="s">
        <v>403</v>
      </c>
      <c r="E128" s="981"/>
      <c r="F128" s="981"/>
      <c r="G128" s="11">
        <f>SUM(G126:G127)</f>
        <v>0</v>
      </c>
      <c r="J128" s="125"/>
      <c r="K128" s="126"/>
    </row>
    <row r="129" spans="1:7" ht="15" thickBot="1">
      <c r="A129" s="1002" t="s">
        <v>1</v>
      </c>
      <c r="B129" s="983" t="s">
        <v>416</v>
      </c>
      <c r="C129" s="983"/>
      <c r="D129" s="983"/>
      <c r="E129" s="983"/>
      <c r="F129" s="983"/>
      <c r="G129" s="1003"/>
    </row>
    <row r="130" spans="1:7" ht="15" thickBot="1">
      <c r="A130" s="1002"/>
      <c r="B130" s="913" t="s">
        <v>396</v>
      </c>
      <c r="C130" s="914"/>
      <c r="D130" s="95" t="s">
        <v>3</v>
      </c>
      <c r="E130" s="242" t="s">
        <v>398</v>
      </c>
      <c r="F130" s="286" t="s">
        <v>397</v>
      </c>
      <c r="G130" s="113" t="s">
        <v>399</v>
      </c>
    </row>
    <row r="131" spans="1:7">
      <c r="A131" s="127"/>
      <c r="B131" s="999" t="s">
        <v>435</v>
      </c>
      <c r="C131" s="1000"/>
      <c r="D131" s="128" t="s">
        <v>28</v>
      </c>
      <c r="E131" s="246">
        <v>55000</v>
      </c>
      <c r="F131" s="295">
        <v>0.02</v>
      </c>
      <c r="G131" s="129">
        <f>ROUND(F131*E131,)</f>
        <v>1100</v>
      </c>
    </row>
    <row r="132" spans="1:7" ht="15" thickBot="1">
      <c r="A132" s="130"/>
      <c r="B132" s="942" t="s">
        <v>436</v>
      </c>
      <c r="C132" s="943"/>
      <c r="D132" s="104" t="s">
        <v>28</v>
      </c>
      <c r="E132" s="247">
        <v>22500</v>
      </c>
      <c r="F132" s="288">
        <f>+F131</f>
        <v>0.02</v>
      </c>
      <c r="G132" s="131">
        <f>ROUND(F132*E132,)</f>
        <v>450</v>
      </c>
    </row>
    <row r="133" spans="1:7" ht="15" thickBot="1">
      <c r="A133" s="1001"/>
      <c r="B133" s="979"/>
      <c r="C133" s="980"/>
      <c r="D133" s="981" t="s">
        <v>418</v>
      </c>
      <c r="E133" s="981"/>
      <c r="F133" s="981"/>
      <c r="G133" s="11">
        <f>SUM(G131:G132)</f>
        <v>1550</v>
      </c>
    </row>
    <row r="134" spans="1:7" ht="15" thickBot="1">
      <c r="A134" s="1002" t="s">
        <v>1</v>
      </c>
      <c r="B134" s="983" t="s">
        <v>419</v>
      </c>
      <c r="C134" s="983"/>
      <c r="D134" s="983"/>
      <c r="E134" s="983"/>
      <c r="F134" s="983"/>
      <c r="G134" s="1003"/>
    </row>
    <row r="135" spans="1:7" ht="15" thickBot="1">
      <c r="A135" s="1002"/>
      <c r="B135" s="913" t="s">
        <v>396</v>
      </c>
      <c r="C135" s="914"/>
      <c r="D135" s="95" t="s">
        <v>3</v>
      </c>
      <c r="E135" s="242" t="s">
        <v>4</v>
      </c>
      <c r="F135" s="289" t="s">
        <v>420</v>
      </c>
      <c r="G135" s="113" t="s">
        <v>399</v>
      </c>
    </row>
    <row r="136" spans="1:7" ht="15" thickBot="1">
      <c r="A136" s="127"/>
      <c r="B136" s="1075" t="s">
        <v>442</v>
      </c>
      <c r="C136" s="1076"/>
      <c r="D136" s="128" t="s">
        <v>422</v>
      </c>
      <c r="E136" s="243">
        <v>1.7999999999999999E-2</v>
      </c>
      <c r="F136" s="281">
        <f>_xlfn.IFNA(VLOOKUP(B136,'sub M. DE OBRA'!$B$4:$E$19997,4,FALSE),0)</f>
        <v>316569.2</v>
      </c>
      <c r="G136" s="129">
        <f>+E136*F136</f>
        <v>5698.2456000000002</v>
      </c>
    </row>
    <row r="137" spans="1:7">
      <c r="A137" s="132"/>
      <c r="B137" s="133"/>
      <c r="C137" s="134"/>
      <c r="D137" s="135"/>
      <c r="E137" s="248"/>
      <c r="F137" s="296"/>
      <c r="G137" s="129">
        <f>+E137*F137</f>
        <v>0</v>
      </c>
    </row>
    <row r="138" spans="1:7" ht="15" thickBot="1">
      <c r="A138" s="1004" t="s">
        <v>424</v>
      </c>
      <c r="B138" s="988"/>
      <c r="C138" s="989"/>
      <c r="D138" s="990" t="s">
        <v>425</v>
      </c>
      <c r="E138" s="990"/>
      <c r="F138" s="990"/>
      <c r="G138" s="12">
        <f>SUM(G136:G137)</f>
        <v>5698.2456000000002</v>
      </c>
    </row>
    <row r="139" spans="1:7" ht="15" thickBot="1">
      <c r="A139" s="1005"/>
      <c r="B139" s="1005"/>
      <c r="C139" s="921"/>
      <c r="D139" s="1041" t="s">
        <v>426</v>
      </c>
      <c r="E139" s="1041"/>
      <c r="F139" s="1041"/>
      <c r="G139" s="137">
        <f>ROUND(G123+G128+G133+G138,0)</f>
        <v>7533</v>
      </c>
    </row>
    <row r="140" spans="1:7" ht="15" thickBot="1">
      <c r="A140" s="80"/>
      <c r="B140" s="81"/>
      <c r="C140" s="81"/>
      <c r="D140" s="81"/>
      <c r="E140" s="241"/>
      <c r="F140" s="271"/>
      <c r="G140" s="81"/>
    </row>
    <row r="141" spans="1:7" ht="15" thickBot="1">
      <c r="A141" s="1006" t="s">
        <v>390</v>
      </c>
      <c r="B141" s="1007"/>
      <c r="C141" s="1007"/>
      <c r="D141" s="1007"/>
      <c r="E141" s="1007"/>
      <c r="F141" s="272" t="s">
        <v>391</v>
      </c>
      <c r="G141" s="43">
        <f ca="1">TODAY()</f>
        <v>46071</v>
      </c>
    </row>
    <row r="142" spans="1:7" ht="15" thickBot="1">
      <c r="A142" s="953" t="str">
        <f>+'OFERTA ECONOMICA'!B13</f>
        <v>Retiro de canoas en mal estado. Incluye transporte interno al sitio de acopio para el cargue.</v>
      </c>
      <c r="B142" s="954"/>
      <c r="C142" s="954"/>
      <c r="D142" s="954"/>
      <c r="E142" s="955"/>
      <c r="F142" s="273" t="s">
        <v>392</v>
      </c>
      <c r="G142" s="45" t="s">
        <v>12</v>
      </c>
    </row>
    <row r="143" spans="1:7" ht="15" thickBot="1">
      <c r="A143" s="956"/>
      <c r="B143" s="957"/>
      <c r="C143" s="957"/>
      <c r="D143" s="957"/>
      <c r="E143" s="958"/>
      <c r="F143" s="273" t="s">
        <v>393</v>
      </c>
      <c r="G143" s="46">
        <v>1</v>
      </c>
    </row>
    <row r="144" spans="1:7" ht="15" thickBot="1">
      <c r="A144" s="959"/>
      <c r="B144" s="960"/>
      <c r="C144" s="960"/>
      <c r="D144" s="960"/>
      <c r="E144" s="961"/>
      <c r="F144" s="274" t="s">
        <v>394</v>
      </c>
      <c r="G144" s="48" t="s">
        <v>444</v>
      </c>
    </row>
    <row r="145" spans="1:11" ht="15" thickBot="1">
      <c r="A145" s="909" t="s">
        <v>1</v>
      </c>
      <c r="B145" s="1009" t="s">
        <v>438</v>
      </c>
      <c r="C145" s="1009"/>
      <c r="D145" s="1009"/>
      <c r="E145" s="1009"/>
      <c r="F145" s="1009"/>
      <c r="G145" s="1011"/>
    </row>
    <row r="146" spans="1:11" ht="15" thickBot="1">
      <c r="A146" s="1002"/>
      <c r="B146" s="913" t="s">
        <v>396</v>
      </c>
      <c r="C146" s="914"/>
      <c r="D146" s="95" t="s">
        <v>3</v>
      </c>
      <c r="E146" s="242" t="s">
        <v>439</v>
      </c>
      <c r="F146" s="292" t="s">
        <v>398</v>
      </c>
      <c r="G146" s="113" t="s">
        <v>399</v>
      </c>
    </row>
    <row r="147" spans="1:11">
      <c r="A147" s="114"/>
      <c r="B147" s="930" t="s">
        <v>427</v>
      </c>
      <c r="C147" s="931"/>
      <c r="D147" s="88" t="s">
        <v>428</v>
      </c>
      <c r="E147" s="243">
        <v>0.05</v>
      </c>
      <c r="F147" s="293">
        <f>+G164</f>
        <v>6331.384</v>
      </c>
      <c r="G147" s="117">
        <f t="shared" ref="G147:G148" si="10">ROUND((E147*F147),0)</f>
        <v>317</v>
      </c>
    </row>
    <row r="148" spans="1:11" ht="15" thickBot="1">
      <c r="A148" s="118"/>
      <c r="B148" s="1012" t="s">
        <v>402</v>
      </c>
      <c r="C148" s="1013"/>
      <c r="D148" s="119" t="s">
        <v>402</v>
      </c>
      <c r="E148" s="244"/>
      <c r="F148" s="294"/>
      <c r="G148" s="121">
        <f t="shared" si="10"/>
        <v>0</v>
      </c>
    </row>
    <row r="149" spans="1:11" ht="15" thickBot="1">
      <c r="A149" s="1014"/>
      <c r="B149" s="995"/>
      <c r="C149" s="995"/>
      <c r="D149" s="981" t="s">
        <v>415</v>
      </c>
      <c r="E149" s="981"/>
      <c r="F149" s="981"/>
      <c r="G149" s="11">
        <f>SUM(G147:G148)</f>
        <v>317</v>
      </c>
    </row>
    <row r="150" spans="1:11" ht="15" thickBot="1">
      <c r="A150" s="1002" t="s">
        <v>1</v>
      </c>
      <c r="B150" s="983" t="s">
        <v>395</v>
      </c>
      <c r="C150" s="983"/>
      <c r="D150" s="983"/>
      <c r="E150" s="983"/>
      <c r="F150" s="983"/>
      <c r="G150" s="1003"/>
    </row>
    <row r="151" spans="1:11" s="7" customFormat="1" ht="13.5" thickBot="1">
      <c r="A151" s="1002"/>
      <c r="B151" s="913" t="s">
        <v>396</v>
      </c>
      <c r="C151" s="914"/>
      <c r="D151" s="95" t="s">
        <v>3</v>
      </c>
      <c r="E151" s="242" t="s">
        <v>439</v>
      </c>
      <c r="F151" s="292" t="s">
        <v>398</v>
      </c>
      <c r="G151" s="113" t="s">
        <v>399</v>
      </c>
    </row>
    <row r="152" spans="1:11" ht="15" thickBot="1">
      <c r="A152" s="122"/>
      <c r="B152" s="930"/>
      <c r="C152" s="931"/>
      <c r="D152" s="88"/>
      <c r="E152" s="243"/>
      <c r="F152" s="293"/>
      <c r="G152" s="117">
        <f t="shared" ref="G152" si="11">ROUND((E152*F152),0)</f>
        <v>0</v>
      </c>
    </row>
    <row r="153" spans="1:11" ht="15" thickBot="1">
      <c r="A153" s="123"/>
      <c r="B153" s="976"/>
      <c r="C153" s="977"/>
      <c r="D153" s="88"/>
      <c r="E153" s="243"/>
      <c r="F153" s="293"/>
      <c r="G153" s="124">
        <f t="shared" ref="G153" si="12">ROUND(E153*F153,)</f>
        <v>0</v>
      </c>
    </row>
    <row r="154" spans="1:11" ht="15" thickBot="1">
      <c r="A154" s="1017"/>
      <c r="B154" s="997"/>
      <c r="C154" s="998"/>
      <c r="D154" s="981" t="s">
        <v>403</v>
      </c>
      <c r="E154" s="981"/>
      <c r="F154" s="981"/>
      <c r="G154" s="11">
        <f>SUM(G152:G153)</f>
        <v>0</v>
      </c>
      <c r="J154" s="125"/>
      <c r="K154" s="126"/>
    </row>
    <row r="155" spans="1:11" ht="15" thickBot="1">
      <c r="A155" s="1002" t="s">
        <v>1</v>
      </c>
      <c r="B155" s="983" t="s">
        <v>416</v>
      </c>
      <c r="C155" s="983"/>
      <c r="D155" s="983"/>
      <c r="E155" s="983"/>
      <c r="F155" s="983"/>
      <c r="G155" s="1003"/>
    </row>
    <row r="156" spans="1:11" ht="15" thickBot="1">
      <c r="A156" s="1002"/>
      <c r="B156" s="913" t="s">
        <v>396</v>
      </c>
      <c r="C156" s="914"/>
      <c r="D156" s="95" t="s">
        <v>3</v>
      </c>
      <c r="E156" s="242" t="s">
        <v>398</v>
      </c>
      <c r="F156" s="286" t="s">
        <v>397</v>
      </c>
      <c r="G156" s="113" t="s">
        <v>399</v>
      </c>
    </row>
    <row r="157" spans="1:11">
      <c r="A157" s="127"/>
      <c r="B157" s="999" t="s">
        <v>435</v>
      </c>
      <c r="C157" s="1000"/>
      <c r="D157" s="128" t="s">
        <v>28</v>
      </c>
      <c r="E157" s="246">
        <v>55000</v>
      </c>
      <c r="F157" s="295">
        <v>0.02</v>
      </c>
      <c r="G157" s="129">
        <f>ROUND(F157*E157,)</f>
        <v>1100</v>
      </c>
    </row>
    <row r="158" spans="1:11" ht="15" thickBot="1">
      <c r="A158" s="130"/>
      <c r="B158" s="942" t="s">
        <v>436</v>
      </c>
      <c r="C158" s="943"/>
      <c r="D158" s="104" t="s">
        <v>28</v>
      </c>
      <c r="E158" s="247">
        <v>22500</v>
      </c>
      <c r="F158" s="288">
        <f>+F157</f>
        <v>0.02</v>
      </c>
      <c r="G158" s="131">
        <f>ROUND(F158*E158,)</f>
        <v>450</v>
      </c>
    </row>
    <row r="159" spans="1:11" ht="15" thickBot="1">
      <c r="A159" s="1001"/>
      <c r="B159" s="979"/>
      <c r="C159" s="980"/>
      <c r="D159" s="981" t="s">
        <v>418</v>
      </c>
      <c r="E159" s="981"/>
      <c r="F159" s="981"/>
      <c r="G159" s="11">
        <f>SUM(G157:G158)</f>
        <v>1550</v>
      </c>
    </row>
    <row r="160" spans="1:11" ht="15" thickBot="1">
      <c r="A160" s="1002" t="s">
        <v>1</v>
      </c>
      <c r="B160" s="983" t="s">
        <v>419</v>
      </c>
      <c r="C160" s="983"/>
      <c r="D160" s="983"/>
      <c r="E160" s="983"/>
      <c r="F160" s="983"/>
      <c r="G160" s="1003"/>
    </row>
    <row r="161" spans="1:11" ht="15" thickBot="1">
      <c r="A161" s="1002"/>
      <c r="B161" s="913" t="s">
        <v>396</v>
      </c>
      <c r="C161" s="914"/>
      <c r="D161" s="95" t="s">
        <v>3</v>
      </c>
      <c r="E161" s="242" t="s">
        <v>4</v>
      </c>
      <c r="F161" s="289" t="s">
        <v>420</v>
      </c>
      <c r="G161" s="113" t="s">
        <v>399</v>
      </c>
    </row>
    <row r="162" spans="1:11" ht="15" thickBot="1">
      <c r="A162" s="127"/>
      <c r="B162" s="1075" t="s">
        <v>442</v>
      </c>
      <c r="C162" s="1076"/>
      <c r="D162" s="128" t="s">
        <v>422</v>
      </c>
      <c r="E162" s="243">
        <v>0.02</v>
      </c>
      <c r="F162" s="281">
        <f>_xlfn.IFNA(VLOOKUP(B162,'sub M. DE OBRA'!$B$4:$E$19997,4,FALSE),0)</f>
        <v>316569.2</v>
      </c>
      <c r="G162" s="129">
        <f>+E162*F162</f>
        <v>6331.384</v>
      </c>
    </row>
    <row r="163" spans="1:11">
      <c r="A163" s="132"/>
      <c r="B163" s="133"/>
      <c r="C163" s="134"/>
      <c r="D163" s="135"/>
      <c r="E163" s="248"/>
      <c r="F163" s="296"/>
      <c r="G163" s="129">
        <f>+E163*F163</f>
        <v>0</v>
      </c>
    </row>
    <row r="164" spans="1:11" ht="15" thickBot="1">
      <c r="A164" s="1004" t="s">
        <v>424</v>
      </c>
      <c r="B164" s="988"/>
      <c r="C164" s="989"/>
      <c r="D164" s="990" t="s">
        <v>425</v>
      </c>
      <c r="E164" s="990"/>
      <c r="F164" s="990"/>
      <c r="G164" s="12">
        <f>SUM(G162:G163)</f>
        <v>6331.384</v>
      </c>
    </row>
    <row r="165" spans="1:11" ht="15" thickBot="1">
      <c r="A165" s="1005"/>
      <c r="B165" s="1005"/>
      <c r="C165" s="921"/>
      <c r="D165" s="1041" t="s">
        <v>426</v>
      </c>
      <c r="E165" s="1041"/>
      <c r="F165" s="1041"/>
      <c r="G165" s="137">
        <f>ROUND(G149+G154+G159+G164,0)</f>
        <v>8198</v>
      </c>
    </row>
    <row r="166" spans="1:11" ht="15" thickBot="1">
      <c r="A166" s="150"/>
      <c r="B166" s="150"/>
      <c r="C166" s="150"/>
      <c r="D166" s="150"/>
      <c r="E166" s="256"/>
      <c r="F166" s="299"/>
      <c r="G166" s="151"/>
    </row>
    <row r="167" spans="1:11" ht="15" thickBot="1">
      <c r="A167" s="1077" t="s">
        <v>389</v>
      </c>
      <c r="B167" s="1078"/>
      <c r="C167" s="1078"/>
      <c r="D167" s="1078"/>
      <c r="E167" s="1078"/>
      <c r="F167" s="1078"/>
      <c r="G167" s="1079"/>
    </row>
    <row r="168" spans="1:11" ht="15" thickBot="1">
      <c r="A168" s="1006" t="s">
        <v>390</v>
      </c>
      <c r="B168" s="1007"/>
      <c r="C168" s="1007"/>
      <c r="D168" s="1007"/>
      <c r="E168" s="1007"/>
      <c r="F168" s="272" t="s">
        <v>391</v>
      </c>
      <c r="G168" s="43">
        <f ca="1">TODAY()</f>
        <v>46071</v>
      </c>
    </row>
    <row r="169" spans="1:11" ht="15" thickBot="1">
      <c r="A169" s="953" t="str">
        <f>+'OFERTA ECONOMICA'!B15</f>
        <v>Excavación manual de material heterogéneo hasta 2m de profunidad., bajo cualquier grado de humedad. Incluye: roca descompuesta, bolas de roca de volumen inferior a 0.5 m³., incluye botada, cargue y transporte interno y su medida será en el sitio. No incluye entibado.</v>
      </c>
      <c r="B169" s="954"/>
      <c r="C169" s="954"/>
      <c r="D169" s="954"/>
      <c r="E169" s="955"/>
      <c r="F169" s="273" t="s">
        <v>392</v>
      </c>
      <c r="G169" s="45" t="s">
        <v>28</v>
      </c>
    </row>
    <row r="170" spans="1:11" ht="15" thickBot="1">
      <c r="A170" s="956"/>
      <c r="B170" s="957"/>
      <c r="C170" s="957"/>
      <c r="D170" s="957"/>
      <c r="E170" s="958"/>
      <c r="F170" s="273" t="s">
        <v>393</v>
      </c>
      <c r="G170" s="46">
        <v>1</v>
      </c>
      <c r="J170" s="125"/>
      <c r="K170" s="126"/>
    </row>
    <row r="171" spans="1:11" ht="15" thickBot="1">
      <c r="A171" s="959"/>
      <c r="B171" s="960"/>
      <c r="C171" s="960"/>
      <c r="D171" s="960"/>
      <c r="E171" s="961"/>
      <c r="F171" s="274" t="s">
        <v>394</v>
      </c>
      <c r="G171" s="48" t="s">
        <v>26</v>
      </c>
    </row>
    <row r="172" spans="1:11" s="7" customFormat="1" ht="15" thickBot="1">
      <c r="A172" s="1063" t="s">
        <v>1</v>
      </c>
      <c r="B172" s="1064" t="s">
        <v>395</v>
      </c>
      <c r="C172" s="1064"/>
      <c r="D172" s="1064"/>
      <c r="E172" s="1064"/>
      <c r="F172" s="1064"/>
      <c r="G172" s="1065"/>
      <c r="H172" s="49"/>
      <c r="I172" s="49"/>
      <c r="J172" s="49"/>
      <c r="K172" s="49"/>
    </row>
    <row r="173" spans="1:11" s="7" customFormat="1" ht="15" thickBot="1">
      <c r="A173" s="1042"/>
      <c r="B173" s="1045" t="s">
        <v>396</v>
      </c>
      <c r="C173" s="1046"/>
      <c r="D173" s="50" t="s">
        <v>3</v>
      </c>
      <c r="E173" s="242" t="s">
        <v>397</v>
      </c>
      <c r="F173" s="275" t="s">
        <v>398</v>
      </c>
      <c r="G173" s="52" t="s">
        <v>399</v>
      </c>
      <c r="H173" s="49"/>
      <c r="I173" s="49"/>
      <c r="J173" s="49"/>
      <c r="K173" s="49"/>
    </row>
    <row r="174" spans="1:11" s="7" customFormat="1" ht="15" thickBot="1">
      <c r="A174" s="53"/>
      <c r="B174" s="1066" t="s">
        <v>400</v>
      </c>
      <c r="C174" s="1067"/>
      <c r="D174" s="54" t="s">
        <v>445</v>
      </c>
      <c r="E174" s="243">
        <v>0.05</v>
      </c>
      <c r="F174" s="276">
        <f>+G192</f>
        <v>34822.612000000001</v>
      </c>
      <c r="G174" s="57">
        <f t="shared" ref="G174:G176" si="13">ROUND((E174*F174),0)</f>
        <v>1741</v>
      </c>
      <c r="H174" s="49"/>
      <c r="I174" s="49"/>
      <c r="J174" s="49"/>
      <c r="K174" s="49"/>
    </row>
    <row r="175" spans="1:11" s="7" customFormat="1" ht="15" thickBot="1">
      <c r="A175" s="53"/>
      <c r="B175" s="1066" t="s">
        <v>446</v>
      </c>
      <c r="C175" s="1067"/>
      <c r="D175" s="54" t="s">
        <v>430</v>
      </c>
      <c r="E175" s="243">
        <v>0.03</v>
      </c>
      <c r="F175" s="276">
        <v>81818</v>
      </c>
      <c r="G175" s="57">
        <f t="shared" si="13"/>
        <v>2455</v>
      </c>
      <c r="H175" s="49"/>
      <c r="I175" s="49"/>
      <c r="J175" s="49"/>
      <c r="K175" s="49"/>
    </row>
    <row r="176" spans="1:11" s="7" customFormat="1">
      <c r="A176" s="53"/>
      <c r="B176" s="1066"/>
      <c r="C176" s="1067"/>
      <c r="D176" s="54"/>
      <c r="E176" s="243"/>
      <c r="F176" s="276"/>
      <c r="G176" s="57">
        <f t="shared" si="13"/>
        <v>0</v>
      </c>
      <c r="H176" s="49"/>
      <c r="I176" s="49"/>
      <c r="J176" s="49"/>
      <c r="K176" s="49"/>
    </row>
    <row r="177" spans="1:14" s="7" customFormat="1" ht="15" thickBot="1">
      <c r="A177" s="1070"/>
      <c r="B177" s="1071"/>
      <c r="C177" s="1071"/>
      <c r="D177" s="1052" t="s">
        <v>403</v>
      </c>
      <c r="E177" s="1052"/>
      <c r="F177" s="1052"/>
      <c r="G177" s="35">
        <f>SUM(G174:G175)</f>
        <v>4196</v>
      </c>
      <c r="H177" s="49"/>
      <c r="I177" s="49"/>
      <c r="J177" s="49"/>
      <c r="K177" s="49"/>
    </row>
    <row r="178" spans="1:14" s="7" customFormat="1" ht="15" thickBot="1">
      <c r="A178" s="1042" t="s">
        <v>1</v>
      </c>
      <c r="B178" s="1043" t="s">
        <v>404</v>
      </c>
      <c r="C178" s="1043"/>
      <c r="D178" s="1043"/>
      <c r="E178" s="1043"/>
      <c r="F178" s="1043"/>
      <c r="G178" s="1044"/>
      <c r="H178" s="49"/>
      <c r="I178" s="49"/>
      <c r="J178" s="49"/>
      <c r="K178" s="49"/>
    </row>
    <row r="179" spans="1:14" s="7" customFormat="1" ht="15" thickBot="1">
      <c r="A179" s="1042"/>
      <c r="B179" s="1045" t="s">
        <v>396</v>
      </c>
      <c r="C179" s="1046"/>
      <c r="D179" s="50" t="s">
        <v>3</v>
      </c>
      <c r="E179" s="242" t="s">
        <v>397</v>
      </c>
      <c r="F179" s="275" t="s">
        <v>398</v>
      </c>
      <c r="G179" s="52" t="s">
        <v>399</v>
      </c>
      <c r="H179" s="49"/>
      <c r="I179" s="49"/>
      <c r="J179" s="49"/>
      <c r="K179" s="49"/>
    </row>
    <row r="180" spans="1:14" s="7" customFormat="1" ht="15" thickBot="1">
      <c r="A180" s="66"/>
      <c r="B180" s="1085"/>
      <c r="C180" s="1086"/>
      <c r="D180" s="67"/>
      <c r="E180" s="245"/>
      <c r="F180" s="276"/>
      <c r="G180" s="68">
        <f t="shared" ref="G180" si="14">ROUND(E180*F180,)</f>
        <v>0</v>
      </c>
      <c r="H180" s="49"/>
      <c r="I180" s="49"/>
      <c r="J180" s="49"/>
      <c r="K180" s="49"/>
    </row>
    <row r="181" spans="1:14" s="7" customFormat="1" ht="15" thickBot="1">
      <c r="A181" s="1072"/>
      <c r="B181" s="1073"/>
      <c r="C181" s="1074"/>
      <c r="D181" s="1052" t="s">
        <v>415</v>
      </c>
      <c r="E181" s="1052"/>
      <c r="F181" s="1052"/>
      <c r="G181" s="35">
        <f>SUM(G180:G180)</f>
        <v>0</v>
      </c>
      <c r="H181" s="49"/>
      <c r="I181" s="49"/>
      <c r="J181" s="49"/>
      <c r="K181" s="49"/>
    </row>
    <row r="182" spans="1:14" s="7" customFormat="1" ht="15" thickBot="1">
      <c r="A182" s="1042" t="s">
        <v>1</v>
      </c>
      <c r="B182" s="1043" t="s">
        <v>416</v>
      </c>
      <c r="C182" s="1043"/>
      <c r="D182" s="1043"/>
      <c r="E182" s="1043"/>
      <c r="F182" s="1043"/>
      <c r="G182" s="1044"/>
      <c r="H182" s="49"/>
      <c r="I182" s="49"/>
      <c r="J182" s="49"/>
      <c r="K182" s="49"/>
    </row>
    <row r="183" spans="1:14" s="7" customFormat="1" ht="15" thickBot="1">
      <c r="A183" s="1042"/>
      <c r="B183" s="1045" t="s">
        <v>396</v>
      </c>
      <c r="C183" s="1046"/>
      <c r="D183" s="50" t="s">
        <v>3</v>
      </c>
      <c r="E183" s="242" t="s">
        <v>397</v>
      </c>
      <c r="F183" s="275" t="s">
        <v>398</v>
      </c>
      <c r="G183" s="52" t="s">
        <v>399</v>
      </c>
      <c r="H183" s="49"/>
      <c r="I183" s="49"/>
      <c r="J183" s="49"/>
      <c r="K183" s="49"/>
    </row>
    <row r="184" spans="1:14" s="7" customFormat="1" ht="15" thickBot="1">
      <c r="A184" s="69"/>
      <c r="B184" s="938" t="s">
        <v>447</v>
      </c>
      <c r="C184" s="939"/>
      <c r="D184" s="70" t="s">
        <v>28</v>
      </c>
      <c r="E184" s="246">
        <v>1.3</v>
      </c>
      <c r="F184" s="278">
        <v>55000</v>
      </c>
      <c r="G184" s="71">
        <f>ROUND(F184*E184,)</f>
        <v>71500</v>
      </c>
      <c r="H184" s="49"/>
      <c r="I184" s="49"/>
      <c r="J184" s="49"/>
      <c r="K184" s="49"/>
      <c r="L184" s="49"/>
      <c r="M184" s="49"/>
      <c r="N184" s="49"/>
    </row>
    <row r="185" spans="1:14" s="7" customFormat="1" ht="15" thickBot="1">
      <c r="A185" s="72"/>
      <c r="B185" s="1047" t="s">
        <v>417</v>
      </c>
      <c r="C185" s="1048"/>
      <c r="D185" s="73" t="s">
        <v>28</v>
      </c>
      <c r="E185" s="246">
        <v>1.3</v>
      </c>
      <c r="F185" s="278">
        <v>22500</v>
      </c>
      <c r="G185" s="74">
        <f>ROUND(F185*E185,)</f>
        <v>29250</v>
      </c>
      <c r="H185" s="41"/>
      <c r="I185" s="41"/>
      <c r="J185" s="41"/>
      <c r="K185" s="41"/>
      <c r="L185" s="41"/>
      <c r="M185" s="41"/>
      <c r="N185" s="49"/>
    </row>
    <row r="186" spans="1:14" s="7" customFormat="1" ht="15" thickBot="1">
      <c r="A186" s="1049"/>
      <c r="B186" s="1050"/>
      <c r="C186" s="1051"/>
      <c r="D186" s="1052" t="s">
        <v>418</v>
      </c>
      <c r="E186" s="1052"/>
      <c r="F186" s="1052"/>
      <c r="G186" s="35">
        <f>SUM(G184:G185)</f>
        <v>100750</v>
      </c>
      <c r="H186" s="49"/>
      <c r="I186" s="49"/>
      <c r="J186" s="49"/>
      <c r="K186" s="49"/>
    </row>
    <row r="187" spans="1:14" s="7" customFormat="1" ht="15" thickBot="1">
      <c r="A187" s="1042" t="s">
        <v>1</v>
      </c>
      <c r="B187" s="1043" t="s">
        <v>419</v>
      </c>
      <c r="C187" s="1043"/>
      <c r="D187" s="1043"/>
      <c r="E187" s="1043"/>
      <c r="F187" s="1043"/>
      <c r="G187" s="1044"/>
      <c r="H187" s="49"/>
      <c r="I187" s="49"/>
      <c r="J187" s="49"/>
      <c r="K187" s="49"/>
    </row>
    <row r="188" spans="1:14" s="7" customFormat="1" ht="15" thickBot="1">
      <c r="A188" s="1042"/>
      <c r="B188" s="1045" t="s">
        <v>396</v>
      </c>
      <c r="C188" s="1046"/>
      <c r="D188" s="50" t="s">
        <v>3</v>
      </c>
      <c r="E188" s="242" t="s">
        <v>4</v>
      </c>
      <c r="F188" s="280" t="s">
        <v>420</v>
      </c>
      <c r="G188" s="52" t="s">
        <v>399</v>
      </c>
      <c r="H188" s="49"/>
      <c r="I188" s="49"/>
      <c r="J188" s="49"/>
      <c r="K188" s="49"/>
    </row>
    <row r="189" spans="1:14" s="7" customFormat="1" ht="15" thickBot="1">
      <c r="A189" s="69"/>
      <c r="B189" s="1053" t="s">
        <v>448</v>
      </c>
      <c r="C189" s="1054"/>
      <c r="D189" s="70" t="s">
        <v>422</v>
      </c>
      <c r="E189" s="243">
        <v>0.33</v>
      </c>
      <c r="F189" s="281">
        <f>_xlfn.IFNA(VLOOKUP(B189,'sub M. DE OBRA'!$B$4:$E$19997,4,FALSE),0)</f>
        <v>105523.06666666667</v>
      </c>
      <c r="G189" s="71">
        <f>+E189*F189</f>
        <v>34822.612000000001</v>
      </c>
      <c r="H189" s="49"/>
      <c r="I189" s="49"/>
      <c r="J189" s="49"/>
      <c r="K189" s="49"/>
    </row>
    <row r="190" spans="1:14" s="7" customFormat="1" ht="15" thickBot="1">
      <c r="A190" s="69"/>
      <c r="B190" s="1053"/>
      <c r="C190" s="1054"/>
      <c r="D190" s="70"/>
      <c r="E190" s="243"/>
      <c r="F190" s="281"/>
      <c r="G190" s="71">
        <f>+E190*F190</f>
        <v>0</v>
      </c>
      <c r="H190" s="49"/>
      <c r="I190" s="49"/>
      <c r="J190" s="49"/>
      <c r="K190" s="49"/>
    </row>
    <row r="191" spans="1:14" s="7" customFormat="1">
      <c r="A191" s="76"/>
      <c r="B191" s="1053"/>
      <c r="C191" s="1054"/>
      <c r="D191" s="70"/>
      <c r="E191" s="248"/>
      <c r="F191" s="282"/>
      <c r="G191" s="71">
        <f>+E191*F191</f>
        <v>0</v>
      </c>
      <c r="H191" s="49"/>
      <c r="I191" s="49"/>
      <c r="J191" s="49"/>
      <c r="K191" s="49"/>
    </row>
    <row r="192" spans="1:14" s="7" customFormat="1" ht="15" thickBot="1">
      <c r="A192" s="1055" t="s">
        <v>424</v>
      </c>
      <c r="B192" s="1056"/>
      <c r="C192" s="1057"/>
      <c r="D192" s="1058" t="s">
        <v>425</v>
      </c>
      <c r="E192" s="1058"/>
      <c r="F192" s="1058"/>
      <c r="G192" s="36">
        <f>SUM(G189:G191)</f>
        <v>34822.612000000001</v>
      </c>
      <c r="H192" s="49"/>
      <c r="I192" s="49"/>
      <c r="J192" s="49"/>
      <c r="K192" s="49"/>
    </row>
    <row r="193" spans="1:11" s="7" customFormat="1" ht="15" thickBot="1">
      <c r="A193" s="1059"/>
      <c r="B193" s="1059"/>
      <c r="C193" s="1060"/>
      <c r="D193" s="1061" t="s">
        <v>426</v>
      </c>
      <c r="E193" s="1062"/>
      <c r="F193" s="1062"/>
      <c r="G193" s="145">
        <f>ROUND(+G177+G181+G186+G192,)</f>
        <v>139769</v>
      </c>
      <c r="H193" s="49"/>
      <c r="I193" s="49"/>
      <c r="J193" s="49"/>
      <c r="K193" s="49"/>
    </row>
    <row r="194" spans="1:11" s="7" customFormat="1" ht="15.75" thickBot="1">
      <c r="A194" s="162"/>
      <c r="B194" s="162"/>
      <c r="C194" s="162"/>
      <c r="D194" s="162"/>
      <c r="E194" s="258"/>
      <c r="F194" s="301"/>
      <c r="G194" s="162"/>
    </row>
    <row r="195" spans="1:11" s="7" customFormat="1" ht="13.5" thickBot="1">
      <c r="A195" s="1027" t="s">
        <v>389</v>
      </c>
      <c r="B195" s="1028"/>
      <c r="C195" s="1028"/>
      <c r="D195" s="1028"/>
      <c r="E195" s="1028"/>
      <c r="F195" s="1028"/>
      <c r="G195" s="1029"/>
    </row>
    <row r="196" spans="1:11" s="7" customFormat="1" ht="13.5" thickBot="1">
      <c r="A196" s="950" t="s">
        <v>390</v>
      </c>
      <c r="B196" s="951"/>
      <c r="C196" s="951"/>
      <c r="D196" s="951"/>
      <c r="E196" s="952"/>
      <c r="F196" s="272" t="s">
        <v>391</v>
      </c>
      <c r="G196" s="43">
        <f ca="1">TODAY()</f>
        <v>46071</v>
      </c>
    </row>
    <row r="197" spans="1:11" s="7" customFormat="1" ht="20.25" customHeight="1" thickBot="1">
      <c r="A197" s="953" t="str">
        <f>+'OFERTA ECONOMICA'!B17</f>
        <v>Construcción de placa contrapiso en concreto de 21 MPa. con espesor de 0.15m. Adicionado con fibra nikon e impermeabilizante integral tipo Plastocrete Dm o equivalente calidad. Incluye suministro, transporte y colocación del concreto, formaleta, vibrado, protección, curado y todos los demás elementos necesarios para su correcta construcción. El entresuelo y el acero de refuerzo se pagará en su respectivo ítem.</v>
      </c>
      <c r="B197" s="954"/>
      <c r="C197" s="954"/>
      <c r="D197" s="954"/>
      <c r="E197" s="955"/>
      <c r="F197" s="273" t="s">
        <v>392</v>
      </c>
      <c r="G197" s="45" t="s">
        <v>15</v>
      </c>
    </row>
    <row r="198" spans="1:11" s="7" customFormat="1" ht="20.25" customHeight="1" thickBot="1">
      <c r="A198" s="956"/>
      <c r="B198" s="957"/>
      <c r="C198" s="957"/>
      <c r="D198" s="957"/>
      <c r="E198" s="958"/>
      <c r="F198" s="273" t="s">
        <v>393</v>
      </c>
      <c r="G198" s="46">
        <v>1</v>
      </c>
    </row>
    <row r="199" spans="1:11" s="7" customFormat="1" ht="20.25" customHeight="1" thickBot="1">
      <c r="A199" s="959"/>
      <c r="B199" s="960"/>
      <c r="C199" s="960"/>
      <c r="D199" s="960"/>
      <c r="E199" s="961"/>
      <c r="F199" s="274" t="s">
        <v>394</v>
      </c>
      <c r="G199" s="48" t="s">
        <v>31</v>
      </c>
    </row>
    <row r="200" spans="1:11" s="7" customFormat="1" ht="13.5" thickBot="1">
      <c r="A200" s="962" t="s">
        <v>1</v>
      </c>
      <c r="B200" s="963" t="s">
        <v>395</v>
      </c>
      <c r="C200" s="964"/>
      <c r="D200" s="964"/>
      <c r="E200" s="964"/>
      <c r="F200" s="964"/>
      <c r="G200" s="965"/>
    </row>
    <row r="201" spans="1:11" s="7" customFormat="1" ht="13.5" thickBot="1">
      <c r="A201" s="909"/>
      <c r="B201" s="913" t="s">
        <v>396</v>
      </c>
      <c r="C201" s="914"/>
      <c r="D201" s="95" t="s">
        <v>3</v>
      </c>
      <c r="E201" s="242" t="s">
        <v>398</v>
      </c>
      <c r="F201" s="286" t="s">
        <v>439</v>
      </c>
      <c r="G201" s="113" t="s">
        <v>399</v>
      </c>
    </row>
    <row r="202" spans="1:11" s="7" customFormat="1" ht="13.5" thickBot="1">
      <c r="A202" s="114"/>
      <c r="B202" s="930" t="s">
        <v>427</v>
      </c>
      <c r="C202" s="931"/>
      <c r="D202" s="88" t="s">
        <v>428</v>
      </c>
      <c r="E202" s="251">
        <f>+G223</f>
        <v>110430</v>
      </c>
      <c r="F202" s="284">
        <v>0.05</v>
      </c>
      <c r="G202" s="117">
        <f t="shared" ref="G202:G203" si="15">ROUND((E202*F202),0)</f>
        <v>5522</v>
      </c>
    </row>
    <row r="203" spans="1:11" s="7" customFormat="1" ht="12.75">
      <c r="A203" s="154"/>
      <c r="B203" s="930" t="s">
        <v>449</v>
      </c>
      <c r="C203" s="931"/>
      <c r="D203" s="88" t="s">
        <v>430</v>
      </c>
      <c r="E203" s="251">
        <v>83300</v>
      </c>
      <c r="F203" s="284">
        <v>3.5000000000000003E-2</v>
      </c>
      <c r="G203" s="149">
        <f t="shared" si="15"/>
        <v>2916</v>
      </c>
    </row>
    <row r="204" spans="1:11" s="7" customFormat="1" ht="13.5" thickBot="1">
      <c r="A204" s="118"/>
      <c r="B204" s="1012" t="s">
        <v>402</v>
      </c>
      <c r="C204" s="1013"/>
      <c r="D204" s="119" t="s">
        <v>402</v>
      </c>
      <c r="E204" s="244"/>
      <c r="F204" s="294"/>
      <c r="G204" s="121"/>
    </row>
    <row r="205" spans="1:11" s="7" customFormat="1" ht="13.5" thickBot="1">
      <c r="A205" s="1087"/>
      <c r="B205" s="1088"/>
      <c r="C205" s="1089"/>
      <c r="D205" s="935" t="s">
        <v>403</v>
      </c>
      <c r="E205" s="936"/>
      <c r="F205" s="937"/>
      <c r="G205" s="11">
        <f>SUM(G202:G204)</f>
        <v>8438</v>
      </c>
    </row>
    <row r="206" spans="1:11" s="7" customFormat="1" ht="13.5" thickBot="1">
      <c r="A206" s="908" t="s">
        <v>1</v>
      </c>
      <c r="B206" s="910" t="s">
        <v>404</v>
      </c>
      <c r="C206" s="911"/>
      <c r="D206" s="911"/>
      <c r="E206" s="911"/>
      <c r="F206" s="911"/>
      <c r="G206" s="912"/>
    </row>
    <row r="207" spans="1:11" s="7" customFormat="1" ht="13.5" thickBot="1">
      <c r="A207" s="909"/>
      <c r="B207" s="913" t="s">
        <v>396</v>
      </c>
      <c r="C207" s="914"/>
      <c r="D207" s="95" t="s">
        <v>3</v>
      </c>
      <c r="E207" s="242" t="s">
        <v>398</v>
      </c>
      <c r="F207" s="286" t="s">
        <v>397</v>
      </c>
      <c r="G207" s="113" t="s">
        <v>399</v>
      </c>
    </row>
    <row r="208" spans="1:11" s="7" customFormat="1" ht="13.5" thickBot="1">
      <c r="A208" s="122"/>
      <c r="B208" s="976" t="s">
        <v>450</v>
      </c>
      <c r="C208" s="977"/>
      <c r="D208" s="88" t="s">
        <v>28</v>
      </c>
      <c r="E208" s="251">
        <v>643650</v>
      </c>
      <c r="F208" s="284">
        <f>1*1*0.15*1.05</f>
        <v>0.1575</v>
      </c>
      <c r="G208" s="140">
        <f t="shared" ref="G208:G212" si="16">ROUND(E208*F208,)</f>
        <v>101375</v>
      </c>
    </row>
    <row r="209" spans="1:7" s="7" customFormat="1" ht="13.5" thickBot="1">
      <c r="A209" s="163"/>
      <c r="B209" s="976" t="s">
        <v>451</v>
      </c>
      <c r="C209" s="977"/>
      <c r="D209" s="88" t="s">
        <v>411</v>
      </c>
      <c r="E209" s="251">
        <v>48900</v>
      </c>
      <c r="F209" s="284">
        <v>0.37</v>
      </c>
      <c r="G209" s="140">
        <f t="shared" si="16"/>
        <v>18093</v>
      </c>
    </row>
    <row r="210" spans="1:7" s="7" customFormat="1" ht="13.5" thickBot="1">
      <c r="A210" s="163"/>
      <c r="B210" s="976" t="s">
        <v>452</v>
      </c>
      <c r="C210" s="977"/>
      <c r="D210" s="88" t="s">
        <v>411</v>
      </c>
      <c r="E210" s="251">
        <v>31178</v>
      </c>
      <c r="F210" s="284">
        <v>0.14000000000000001</v>
      </c>
      <c r="G210" s="140">
        <f t="shared" si="16"/>
        <v>4365</v>
      </c>
    </row>
    <row r="211" spans="1:7" s="7" customFormat="1" ht="12.75">
      <c r="A211" s="163"/>
      <c r="B211" s="976" t="s">
        <v>453</v>
      </c>
      <c r="C211" s="977"/>
      <c r="D211" s="88" t="s">
        <v>55</v>
      </c>
      <c r="E211" s="251">
        <v>12500</v>
      </c>
      <c r="F211" s="284">
        <v>0.23649999999999999</v>
      </c>
      <c r="G211" s="140">
        <f t="shared" si="16"/>
        <v>2956</v>
      </c>
    </row>
    <row r="212" spans="1:7" s="7" customFormat="1" ht="13.5" thickBot="1">
      <c r="A212" s="155"/>
      <c r="B212" s="928" t="s">
        <v>454</v>
      </c>
      <c r="C212" s="929"/>
      <c r="D212" s="99" t="s">
        <v>408</v>
      </c>
      <c r="E212" s="253">
        <v>5686</v>
      </c>
      <c r="F212" s="302">
        <v>0.1</v>
      </c>
      <c r="G212" s="149">
        <f t="shared" si="16"/>
        <v>569</v>
      </c>
    </row>
    <row r="213" spans="1:7" s="7" customFormat="1" ht="13.5" thickBot="1">
      <c r="A213" s="932"/>
      <c r="B213" s="933"/>
      <c r="C213" s="934"/>
      <c r="D213" s="935" t="s">
        <v>415</v>
      </c>
      <c r="E213" s="936"/>
      <c r="F213" s="937"/>
      <c r="G213" s="18">
        <f>SUM(G208:G212)</f>
        <v>127358</v>
      </c>
    </row>
    <row r="214" spans="1:7" s="7" customFormat="1" ht="13.5" thickBot="1">
      <c r="A214" s="908" t="s">
        <v>1</v>
      </c>
      <c r="B214" s="910" t="s">
        <v>416</v>
      </c>
      <c r="C214" s="911"/>
      <c r="D214" s="911"/>
      <c r="E214" s="911"/>
      <c r="F214" s="911"/>
      <c r="G214" s="912"/>
    </row>
    <row r="215" spans="1:7" s="7" customFormat="1" ht="13.5" thickBot="1">
      <c r="A215" s="909"/>
      <c r="B215" s="913" t="s">
        <v>396</v>
      </c>
      <c r="C215" s="914"/>
      <c r="D215" s="95" t="s">
        <v>3</v>
      </c>
      <c r="E215" s="242" t="s">
        <v>398</v>
      </c>
      <c r="F215" s="286" t="s">
        <v>397</v>
      </c>
      <c r="G215" s="113" t="s">
        <v>399</v>
      </c>
    </row>
    <row r="216" spans="1:7" s="7" customFormat="1" ht="12.75">
      <c r="A216" s="127"/>
      <c r="B216" s="1075" t="s">
        <v>455</v>
      </c>
      <c r="C216" s="1076"/>
      <c r="D216" s="128" t="s">
        <v>28</v>
      </c>
      <c r="E216" s="246">
        <v>22500</v>
      </c>
      <c r="F216" s="295">
        <v>0.1575</v>
      </c>
      <c r="G216" s="129">
        <f>ROUND(F216*E216,)</f>
        <v>3544</v>
      </c>
    </row>
    <row r="217" spans="1:7" s="7" customFormat="1" ht="12.75">
      <c r="A217" s="156"/>
      <c r="B217" s="940" t="s">
        <v>402</v>
      </c>
      <c r="C217" s="941"/>
      <c r="D217" s="157" t="s">
        <v>402</v>
      </c>
      <c r="E217" s="259"/>
      <c r="F217" s="303"/>
      <c r="G217" s="159">
        <f>ROUND(F217*E217,)</f>
        <v>0</v>
      </c>
    </row>
    <row r="218" spans="1:7" s="7" customFormat="1" ht="13.5" thickBot="1">
      <c r="A218" s="130"/>
      <c r="B218" s="942" t="s">
        <v>402</v>
      </c>
      <c r="C218" s="943"/>
      <c r="D218" s="104" t="s">
        <v>402</v>
      </c>
      <c r="E218" s="247"/>
      <c r="F218" s="288"/>
      <c r="G218" s="131">
        <f>ROUND(F218*E218,)</f>
        <v>0</v>
      </c>
    </row>
    <row r="219" spans="1:7" s="7" customFormat="1" ht="13.5" thickBot="1">
      <c r="A219" s="944"/>
      <c r="B219" s="945"/>
      <c r="C219" s="946"/>
      <c r="D219" s="947" t="s">
        <v>418</v>
      </c>
      <c r="E219" s="948"/>
      <c r="F219" s="949"/>
      <c r="G219" s="11">
        <f>SUM(G216:G218)</f>
        <v>3544</v>
      </c>
    </row>
    <row r="220" spans="1:7" s="7" customFormat="1" ht="13.5" thickBot="1">
      <c r="A220" s="908" t="s">
        <v>1</v>
      </c>
      <c r="B220" s="910" t="s">
        <v>419</v>
      </c>
      <c r="C220" s="911"/>
      <c r="D220" s="911"/>
      <c r="E220" s="911"/>
      <c r="F220" s="911"/>
      <c r="G220" s="912"/>
    </row>
    <row r="221" spans="1:7" s="7" customFormat="1" ht="13.5" thickBot="1">
      <c r="A221" s="909"/>
      <c r="B221" s="95" t="s">
        <v>396</v>
      </c>
      <c r="C221" s="95"/>
      <c r="D221" s="95" t="s">
        <v>3</v>
      </c>
      <c r="E221" s="286" t="s">
        <v>397</v>
      </c>
      <c r="F221" s="242" t="s">
        <v>398</v>
      </c>
      <c r="G221" s="113" t="s">
        <v>399</v>
      </c>
    </row>
    <row r="222" spans="1:7" s="7" customFormat="1" ht="13.5" thickBot="1">
      <c r="A222" s="122"/>
      <c r="B222" s="160" t="s">
        <v>456</v>
      </c>
      <c r="C222" s="161"/>
      <c r="D222" s="109" t="s">
        <v>422</v>
      </c>
      <c r="E222" s="304">
        <v>0.22</v>
      </c>
      <c r="F222" s="281">
        <f>_xlfn.IFNA(VLOOKUP(B222,'sub M. DE OBRA'!$B$4:$E$19997,4,FALSE),0)</f>
        <v>501955.8666666667</v>
      </c>
      <c r="G222" s="129">
        <f>ROUND(F222*E222,)</f>
        <v>110430</v>
      </c>
    </row>
    <row r="223" spans="1:7" s="7" customFormat="1" ht="13.5" thickBot="1">
      <c r="A223" s="1090" t="s">
        <v>424</v>
      </c>
      <c r="B223" s="919"/>
      <c r="C223" s="920"/>
      <c r="D223" s="918" t="s">
        <v>425</v>
      </c>
      <c r="E223" s="919"/>
      <c r="F223" s="920"/>
      <c r="G223" s="12">
        <f>SUM(G222:G222)</f>
        <v>110430</v>
      </c>
    </row>
    <row r="224" spans="1:7" s="7" customFormat="1" ht="13.5" thickBot="1">
      <c r="A224" s="991"/>
      <c r="B224" s="991"/>
      <c r="C224" s="991"/>
      <c r="D224" s="923" t="s">
        <v>426</v>
      </c>
      <c r="E224" s="924"/>
      <c r="F224" s="925"/>
      <c r="G224" s="153">
        <f>+G205+G213+G219+G223</f>
        <v>249770</v>
      </c>
    </row>
    <row r="225" spans="1:7" s="7" customFormat="1" ht="15.75" thickBot="1">
      <c r="A225" s="162"/>
      <c r="B225" s="162"/>
      <c r="C225" s="162"/>
      <c r="D225" s="162"/>
      <c r="E225" s="258"/>
      <c r="F225" s="301"/>
      <c r="G225" s="162"/>
    </row>
    <row r="226" spans="1:7" ht="15" thickBot="1">
      <c r="A226" s="1027" t="s">
        <v>389</v>
      </c>
      <c r="B226" s="1028"/>
      <c r="C226" s="1028"/>
      <c r="D226" s="1028"/>
      <c r="E226" s="1028"/>
      <c r="F226" s="1028"/>
      <c r="G226" s="1029"/>
    </row>
    <row r="227" spans="1:7" ht="15" thickBot="1">
      <c r="A227" s="950" t="s">
        <v>390</v>
      </c>
      <c r="B227" s="951"/>
      <c r="C227" s="951"/>
      <c r="D227" s="951"/>
      <c r="E227" s="952"/>
      <c r="F227" s="272" t="s">
        <v>391</v>
      </c>
      <c r="G227" s="43">
        <f ca="1">TODAY()</f>
        <v>46071</v>
      </c>
    </row>
    <row r="228" spans="1:7" ht="15" thickBot="1">
      <c r="A228" s="953" t="str">
        <f>+'OFERTA ECONOMICA'!B19</f>
        <v>Suministro, transporte e instalación de malla electrosoldada tipo D84. Incluye el suministro y el transporte del material y todos los elementos necesarios para su correcta colocación.</v>
      </c>
      <c r="B228" s="954"/>
      <c r="C228" s="954"/>
      <c r="D228" s="954"/>
      <c r="E228" s="955"/>
      <c r="F228" s="273" t="s">
        <v>392</v>
      </c>
      <c r="G228" s="45" t="s">
        <v>15</v>
      </c>
    </row>
    <row r="229" spans="1:7" ht="15" thickBot="1">
      <c r="A229" s="956"/>
      <c r="B229" s="957"/>
      <c r="C229" s="957"/>
      <c r="D229" s="957"/>
      <c r="E229" s="958"/>
      <c r="F229" s="273" t="s">
        <v>393</v>
      </c>
      <c r="G229" s="46">
        <v>1</v>
      </c>
    </row>
    <row r="230" spans="1:7" ht="15" thickBot="1">
      <c r="A230" s="959"/>
      <c r="B230" s="960"/>
      <c r="C230" s="960"/>
      <c r="D230" s="960"/>
      <c r="E230" s="961"/>
      <c r="F230" s="274" t="s">
        <v>394</v>
      </c>
      <c r="G230" s="48" t="s">
        <v>35</v>
      </c>
    </row>
    <row r="231" spans="1:7" ht="15" thickBot="1">
      <c r="A231" s="962" t="s">
        <v>1</v>
      </c>
      <c r="B231" s="963" t="s">
        <v>395</v>
      </c>
      <c r="C231" s="964"/>
      <c r="D231" s="964"/>
      <c r="E231" s="964"/>
      <c r="F231" s="964"/>
      <c r="G231" s="965"/>
    </row>
    <row r="232" spans="1:7" ht="15" thickBot="1">
      <c r="A232" s="909"/>
      <c r="B232" s="913" t="s">
        <v>396</v>
      </c>
      <c r="C232" s="914"/>
      <c r="D232" s="95" t="s">
        <v>3</v>
      </c>
      <c r="E232" s="242" t="s">
        <v>398</v>
      </c>
      <c r="F232" s="286" t="s">
        <v>439</v>
      </c>
      <c r="G232" s="113" t="s">
        <v>399</v>
      </c>
    </row>
    <row r="233" spans="1:7" ht="15" thickBot="1">
      <c r="A233" s="114"/>
      <c r="B233" s="966" t="s">
        <v>427</v>
      </c>
      <c r="C233" s="967"/>
      <c r="D233" s="88" t="s">
        <v>428</v>
      </c>
      <c r="E233" s="251">
        <f>+G253</f>
        <v>9038</v>
      </c>
      <c r="F233" s="284">
        <v>0.05</v>
      </c>
      <c r="G233" s="117">
        <f>ROUND((E233*F233),0)</f>
        <v>452</v>
      </c>
    </row>
    <row r="234" spans="1:7">
      <c r="A234" s="154"/>
      <c r="B234" s="968" t="s">
        <v>457</v>
      </c>
      <c r="C234" s="969"/>
      <c r="D234" s="171" t="s">
        <v>458</v>
      </c>
      <c r="E234" s="260">
        <v>1800</v>
      </c>
      <c r="F234" s="285">
        <v>0.03</v>
      </c>
      <c r="G234" s="149">
        <f>ROUND((E234*F234),0)</f>
        <v>54</v>
      </c>
    </row>
    <row r="235" spans="1:7" ht="15" thickBot="1">
      <c r="A235" s="970"/>
      <c r="B235" s="971"/>
      <c r="C235" s="972"/>
      <c r="D235" s="973" t="s">
        <v>403</v>
      </c>
      <c r="E235" s="974"/>
      <c r="F235" s="975"/>
      <c r="G235" s="11">
        <f>SUM(G233:G234)</f>
        <v>506</v>
      </c>
    </row>
    <row r="236" spans="1:7" ht="15" thickBot="1">
      <c r="A236" s="908" t="s">
        <v>1</v>
      </c>
      <c r="B236" s="910" t="s">
        <v>404</v>
      </c>
      <c r="C236" s="911"/>
      <c r="D236" s="911"/>
      <c r="E236" s="911"/>
      <c r="F236" s="911"/>
      <c r="G236" s="912"/>
    </row>
    <row r="237" spans="1:7" ht="15" thickBot="1">
      <c r="A237" s="909"/>
      <c r="B237" s="913" t="s">
        <v>396</v>
      </c>
      <c r="C237" s="914"/>
      <c r="D237" s="95" t="s">
        <v>3</v>
      </c>
      <c r="E237" s="242" t="s">
        <v>397</v>
      </c>
      <c r="F237" s="292" t="s">
        <v>398</v>
      </c>
      <c r="G237" s="113" t="s">
        <v>399</v>
      </c>
    </row>
    <row r="238" spans="1:7" ht="15" thickBot="1">
      <c r="A238" s="122"/>
      <c r="B238" s="930" t="s">
        <v>459</v>
      </c>
      <c r="C238" s="931"/>
      <c r="D238" s="88" t="s">
        <v>15</v>
      </c>
      <c r="E238" s="251">
        <v>7051</v>
      </c>
      <c r="F238" s="284">
        <v>1.2</v>
      </c>
      <c r="G238" s="149">
        <f>ROUND((E238*F238),0)</f>
        <v>8461</v>
      </c>
    </row>
    <row r="239" spans="1:7">
      <c r="A239" s="155"/>
      <c r="B239" s="930" t="s">
        <v>460</v>
      </c>
      <c r="C239" s="931"/>
      <c r="D239" s="88" t="s">
        <v>411</v>
      </c>
      <c r="E239" s="251">
        <v>8600</v>
      </c>
      <c r="F239" s="284">
        <v>0.11</v>
      </c>
      <c r="G239" s="149">
        <f>ROUND((E239*F239),0)</f>
        <v>946</v>
      </c>
    </row>
    <row r="240" spans="1:7" ht="15" thickBot="1">
      <c r="A240" s="178"/>
      <c r="B240" s="926"/>
      <c r="C240" s="927"/>
      <c r="D240" s="179"/>
      <c r="E240" s="261"/>
      <c r="F240" s="305"/>
      <c r="G240" s="181">
        <f>ROUND(E240*F240,)</f>
        <v>0</v>
      </c>
    </row>
    <row r="241" spans="1:7" ht="15" thickBot="1">
      <c r="A241" s="932"/>
      <c r="B241" s="933"/>
      <c r="C241" s="934"/>
      <c r="D241" s="935" t="s">
        <v>415</v>
      </c>
      <c r="E241" s="936"/>
      <c r="F241" s="937"/>
      <c r="G241" s="18">
        <f>SUM(G238:G240)</f>
        <v>9407</v>
      </c>
    </row>
    <row r="242" spans="1:7" ht="15" thickBot="1">
      <c r="A242" s="908" t="s">
        <v>1</v>
      </c>
      <c r="B242" s="910" t="s">
        <v>416</v>
      </c>
      <c r="C242" s="911"/>
      <c r="D242" s="911"/>
      <c r="E242" s="911"/>
      <c r="F242" s="911"/>
      <c r="G242" s="912"/>
    </row>
    <row r="243" spans="1:7" ht="15" thickBot="1">
      <c r="A243" s="909"/>
      <c r="B243" s="913" t="s">
        <v>396</v>
      </c>
      <c r="C243" s="914"/>
      <c r="D243" s="95" t="s">
        <v>3</v>
      </c>
      <c r="E243" s="242" t="s">
        <v>398</v>
      </c>
      <c r="F243" s="286" t="s">
        <v>397</v>
      </c>
      <c r="G243" s="113" t="s">
        <v>399</v>
      </c>
    </row>
    <row r="244" spans="1:7">
      <c r="A244" s="127"/>
      <c r="B244" s="930" t="s">
        <v>461</v>
      </c>
      <c r="C244" s="931"/>
      <c r="D244" s="88" t="s">
        <v>411</v>
      </c>
      <c r="E244" s="251">
        <v>300</v>
      </c>
      <c r="F244" s="284">
        <v>3.51</v>
      </c>
      <c r="G244" s="159">
        <f>ROUND(F244*E244,)</f>
        <v>1053</v>
      </c>
    </row>
    <row r="245" spans="1:7">
      <c r="A245" s="156"/>
      <c r="B245" s="940" t="s">
        <v>402</v>
      </c>
      <c r="C245" s="941"/>
      <c r="D245" s="157" t="s">
        <v>402</v>
      </c>
      <c r="E245" s="259"/>
      <c r="F245" s="303"/>
      <c r="G245" s="159">
        <f>ROUND(F245*E245,)</f>
        <v>0</v>
      </c>
    </row>
    <row r="246" spans="1:7" ht="15" thickBot="1">
      <c r="A246" s="130"/>
      <c r="B246" s="942" t="s">
        <v>402</v>
      </c>
      <c r="C246" s="943"/>
      <c r="D246" s="104" t="s">
        <v>402</v>
      </c>
      <c r="E246" s="247"/>
      <c r="F246" s="288"/>
      <c r="G246" s="131">
        <f>ROUND(F246*E246,)</f>
        <v>0</v>
      </c>
    </row>
    <row r="247" spans="1:7" ht="15" thickBot="1">
      <c r="A247" s="944"/>
      <c r="B247" s="945"/>
      <c r="C247" s="946"/>
      <c r="D247" s="947" t="s">
        <v>418</v>
      </c>
      <c r="E247" s="948"/>
      <c r="F247" s="949"/>
      <c r="G247" s="11">
        <f>SUM(G244:G246)</f>
        <v>1053</v>
      </c>
    </row>
    <row r="248" spans="1:7" ht="15" thickBot="1">
      <c r="A248" s="908" t="s">
        <v>1</v>
      </c>
      <c r="B248" s="910" t="s">
        <v>419</v>
      </c>
      <c r="C248" s="911"/>
      <c r="D248" s="911"/>
      <c r="E248" s="911"/>
      <c r="F248" s="911"/>
      <c r="G248" s="912"/>
    </row>
    <row r="249" spans="1:7" ht="15" thickBot="1">
      <c r="A249" s="909"/>
      <c r="B249" s="913" t="s">
        <v>396</v>
      </c>
      <c r="C249" s="914"/>
      <c r="D249" s="95" t="s">
        <v>3</v>
      </c>
      <c r="E249" s="242" t="s">
        <v>398</v>
      </c>
      <c r="F249" s="286" t="s">
        <v>397</v>
      </c>
      <c r="G249" s="113" t="s">
        <v>399</v>
      </c>
    </row>
    <row r="250" spans="1:7">
      <c r="A250" s="122"/>
      <c r="B250" s="985" t="s">
        <v>421</v>
      </c>
      <c r="C250" s="986"/>
      <c r="D250" s="109" t="s">
        <v>422</v>
      </c>
      <c r="E250" s="281">
        <f>_xlfn.IFNA(VLOOKUP(B250,'sub M. DE OBRA'!$B$4:$E$19997,4,FALSE),0)</f>
        <v>301253.33333333331</v>
      </c>
      <c r="F250" s="304">
        <v>0.03</v>
      </c>
      <c r="G250" s="129">
        <f>ROUND(F250*E250,)</f>
        <v>9038</v>
      </c>
    </row>
    <row r="251" spans="1:7">
      <c r="A251" s="155"/>
      <c r="B251" s="184"/>
      <c r="C251" s="185"/>
      <c r="D251" s="92"/>
      <c r="E251" s="252"/>
      <c r="F251" s="287"/>
      <c r="G251" s="164">
        <f>ROUND(E251*F251*C251,0)</f>
        <v>0</v>
      </c>
    </row>
    <row r="252" spans="1:7" ht="15" thickBot="1">
      <c r="A252" s="165"/>
      <c r="B252" s="166"/>
      <c r="C252" s="167"/>
      <c r="D252" s="168"/>
      <c r="E252" s="262"/>
      <c r="F252" s="306"/>
      <c r="G252" s="170">
        <f>ROUND(E252*F252*C252,0)</f>
        <v>0</v>
      </c>
    </row>
    <row r="253" spans="1:7" ht="15" thickBot="1">
      <c r="A253" s="915" t="s">
        <v>424</v>
      </c>
      <c r="B253" s="916"/>
      <c r="C253" s="917"/>
      <c r="D253" s="918" t="s">
        <v>425</v>
      </c>
      <c r="E253" s="919"/>
      <c r="F253" s="920"/>
      <c r="G253" s="12">
        <f>SUM(G250:G252)</f>
        <v>9038</v>
      </c>
    </row>
    <row r="254" spans="1:7" ht="15" thickBot="1">
      <c r="A254" s="921"/>
      <c r="B254" s="922"/>
      <c r="C254" s="922"/>
      <c r="D254" s="923" t="s">
        <v>426</v>
      </c>
      <c r="E254" s="924"/>
      <c r="F254" s="925"/>
      <c r="G254" s="78">
        <f>+G235+G241+G247+G253</f>
        <v>20004</v>
      </c>
    </row>
    <row r="255" spans="1:7">
      <c r="A255" s="49"/>
      <c r="B255" s="49"/>
      <c r="C255" s="49"/>
      <c r="D255" s="49"/>
      <c r="F255" s="307"/>
      <c r="G255" s="49"/>
    </row>
    <row r="256" spans="1:7" s="7" customFormat="1" ht="13.5" thickBot="1">
      <c r="A256" s="1036" t="s">
        <v>389</v>
      </c>
      <c r="B256" s="1037"/>
      <c r="C256" s="1037"/>
      <c r="D256" s="1037"/>
      <c r="E256" s="1037"/>
      <c r="F256" s="1037"/>
      <c r="G256" s="1038"/>
    </row>
    <row r="257" spans="1:7" ht="15" thickBot="1">
      <c r="A257" s="1006" t="s">
        <v>390</v>
      </c>
      <c r="B257" s="1007"/>
      <c r="C257" s="1007"/>
      <c r="D257" s="1007"/>
      <c r="E257" s="1007"/>
      <c r="F257" s="272" t="s">
        <v>391</v>
      </c>
      <c r="G257" s="43">
        <f ca="1">TODAY()</f>
        <v>46071</v>
      </c>
    </row>
    <row r="258" spans="1:7" ht="15" thickBot="1">
      <c r="A258" s="953" t="str">
        <f>+'OFERTA ECONOMICA'!B21</f>
        <v>Revoque impermeabilizado 1:4:0,25  (cemento, arena, cal hidraulica) para muros exteriores hasta 4,50 m. muros baños. Incluye: Sika 1 o similar, ranuras, filetes, dilataciones y fajas.</v>
      </c>
      <c r="B258" s="954"/>
      <c r="C258" s="954"/>
      <c r="D258" s="954"/>
      <c r="E258" s="955"/>
      <c r="F258" s="273" t="s">
        <v>392</v>
      </c>
      <c r="G258" s="45" t="s">
        <v>15</v>
      </c>
    </row>
    <row r="259" spans="1:7" ht="15" thickBot="1">
      <c r="A259" s="956"/>
      <c r="B259" s="957"/>
      <c r="C259" s="957"/>
      <c r="D259" s="957"/>
      <c r="E259" s="958"/>
      <c r="F259" s="273" t="s">
        <v>393</v>
      </c>
      <c r="G259" s="46">
        <v>1</v>
      </c>
    </row>
    <row r="260" spans="1:7" ht="15" thickBot="1">
      <c r="A260" s="959"/>
      <c r="B260" s="960"/>
      <c r="C260" s="960"/>
      <c r="D260" s="960"/>
      <c r="E260" s="961"/>
      <c r="F260" s="274" t="s">
        <v>394</v>
      </c>
      <c r="G260" s="48" t="s">
        <v>39</v>
      </c>
    </row>
    <row r="261" spans="1:7" ht="15" thickBot="1">
      <c r="A261" s="1008" t="s">
        <v>1</v>
      </c>
      <c r="B261" s="1009" t="s">
        <v>395</v>
      </c>
      <c r="C261" s="1009"/>
      <c r="D261" s="1009"/>
      <c r="E261" s="1009"/>
      <c r="F261" s="1009"/>
      <c r="G261" s="1010"/>
    </row>
    <row r="262" spans="1:7" ht="15" thickBot="1">
      <c r="A262" s="982"/>
      <c r="B262" s="913" t="s">
        <v>396</v>
      </c>
      <c r="C262" s="914"/>
      <c r="D262" s="95" t="s">
        <v>3</v>
      </c>
      <c r="E262" s="242" t="s">
        <v>398</v>
      </c>
      <c r="F262" s="286" t="s">
        <v>4</v>
      </c>
      <c r="G262" s="97" t="s">
        <v>399</v>
      </c>
    </row>
    <row r="263" spans="1:7">
      <c r="A263" s="87"/>
      <c r="B263" s="930" t="s">
        <v>427</v>
      </c>
      <c r="C263" s="931"/>
      <c r="D263" s="88" t="s">
        <v>428</v>
      </c>
      <c r="E263" s="251">
        <f>+G279</f>
        <v>38400.084800000004</v>
      </c>
      <c r="F263" s="284">
        <v>0.05</v>
      </c>
      <c r="G263" s="90">
        <f t="shared" ref="G263:G265" si="17">ROUND((E263*F263),0)</f>
        <v>1920</v>
      </c>
    </row>
    <row r="264" spans="1:7">
      <c r="A264" s="91"/>
      <c r="B264" s="968" t="s">
        <v>462</v>
      </c>
      <c r="C264" s="969"/>
      <c r="D264" s="92" t="s">
        <v>430</v>
      </c>
      <c r="E264" s="252">
        <v>36500</v>
      </c>
      <c r="F264" s="285">
        <v>0.15</v>
      </c>
      <c r="G264" s="94">
        <f t="shared" si="17"/>
        <v>5475</v>
      </c>
    </row>
    <row r="265" spans="1:7">
      <c r="A265" s="91"/>
      <c r="B265" s="968" t="s">
        <v>463</v>
      </c>
      <c r="C265" s="969"/>
      <c r="D265" s="92" t="s">
        <v>430</v>
      </c>
      <c r="E265" s="252">
        <v>107956</v>
      </c>
      <c r="F265" s="285">
        <v>6.1149999999999998E-3</v>
      </c>
      <c r="G265" s="94">
        <f t="shared" si="17"/>
        <v>660</v>
      </c>
    </row>
    <row r="266" spans="1:7" ht="15" thickBot="1">
      <c r="A266" s="994"/>
      <c r="B266" s="995"/>
      <c r="C266" s="995"/>
      <c r="D266" s="981" t="s">
        <v>403</v>
      </c>
      <c r="E266" s="981"/>
      <c r="F266" s="981"/>
      <c r="G266" s="13">
        <f>SUM(G263:G265)</f>
        <v>8055</v>
      </c>
    </row>
    <row r="267" spans="1:7" ht="15" thickBot="1">
      <c r="A267" s="982" t="s">
        <v>1</v>
      </c>
      <c r="B267" s="983" t="s">
        <v>404</v>
      </c>
      <c r="C267" s="983"/>
      <c r="D267" s="983"/>
      <c r="E267" s="983"/>
      <c r="F267" s="983"/>
      <c r="G267" s="984"/>
    </row>
    <row r="268" spans="1:7" ht="15" thickBot="1">
      <c r="A268" s="982"/>
      <c r="B268" s="913" t="s">
        <v>396</v>
      </c>
      <c r="C268" s="914"/>
      <c r="D268" s="95" t="s">
        <v>3</v>
      </c>
      <c r="E268" s="242" t="s">
        <v>398</v>
      </c>
      <c r="F268" s="286" t="s">
        <v>397</v>
      </c>
      <c r="G268" s="97" t="s">
        <v>399</v>
      </c>
    </row>
    <row r="269" spans="1:7">
      <c r="A269" s="98"/>
      <c r="B269" s="928" t="s">
        <v>464</v>
      </c>
      <c r="C269" s="929"/>
      <c r="D269" s="99" t="s">
        <v>55</v>
      </c>
      <c r="E269" s="253">
        <v>482316</v>
      </c>
      <c r="F269" s="287">
        <f>0.02*1.05</f>
        <v>2.1000000000000001E-2</v>
      </c>
      <c r="G269" s="102">
        <f t="shared" ref="G269:G270" si="18">ROUND(E269*F269,)</f>
        <v>10129</v>
      </c>
    </row>
    <row r="270" spans="1:7">
      <c r="A270" s="98"/>
      <c r="B270" s="928" t="s">
        <v>465</v>
      </c>
      <c r="C270" s="929"/>
      <c r="D270" s="99" t="s">
        <v>411</v>
      </c>
      <c r="E270" s="253">
        <f>49177/2</f>
        <v>24588.5</v>
      </c>
      <c r="F270" s="287">
        <f>1*8*F269</f>
        <v>0.16800000000000001</v>
      </c>
      <c r="G270" s="102">
        <f t="shared" si="18"/>
        <v>4131</v>
      </c>
    </row>
    <row r="271" spans="1:7" ht="15" thickBot="1">
      <c r="A271" s="996"/>
      <c r="B271" s="997"/>
      <c r="C271" s="998"/>
      <c r="D271" s="981" t="s">
        <v>415</v>
      </c>
      <c r="E271" s="981"/>
      <c r="F271" s="981"/>
      <c r="G271" s="13">
        <f>SUM(G269:G270)</f>
        <v>14260</v>
      </c>
    </row>
    <row r="272" spans="1:7" ht="15" thickBot="1">
      <c r="A272" s="982" t="s">
        <v>1</v>
      </c>
      <c r="B272" s="983" t="s">
        <v>416</v>
      </c>
      <c r="C272" s="983"/>
      <c r="D272" s="983"/>
      <c r="E272" s="983"/>
      <c r="F272" s="983"/>
      <c r="G272" s="984"/>
    </row>
    <row r="273" spans="1:7" ht="15" thickBot="1">
      <c r="A273" s="982"/>
      <c r="B273" s="913" t="s">
        <v>396</v>
      </c>
      <c r="C273" s="914"/>
      <c r="D273" s="95" t="s">
        <v>3</v>
      </c>
      <c r="E273" s="242" t="s">
        <v>398</v>
      </c>
      <c r="F273" s="286" t="s">
        <v>397</v>
      </c>
      <c r="G273" s="97" t="s">
        <v>399</v>
      </c>
    </row>
    <row r="274" spans="1:7" ht="15" thickBot="1">
      <c r="A274" s="103"/>
      <c r="B274" s="1075" t="s">
        <v>455</v>
      </c>
      <c r="C274" s="1076"/>
      <c r="D274" s="128" t="s">
        <v>28</v>
      </c>
      <c r="E274" s="246">
        <v>22500</v>
      </c>
      <c r="F274" s="295">
        <f>0.02*1.05</f>
        <v>2.1000000000000001E-2</v>
      </c>
      <c r="G274" s="106">
        <f>ROUND(F274*E274,)</f>
        <v>473</v>
      </c>
    </row>
    <row r="275" spans="1:7" ht="15" thickBot="1">
      <c r="A275" s="978"/>
      <c r="B275" s="979"/>
      <c r="C275" s="980"/>
      <c r="D275" s="981" t="s">
        <v>418</v>
      </c>
      <c r="E275" s="981"/>
      <c r="F275" s="981"/>
      <c r="G275" s="13">
        <f>SUM(G274:G274)</f>
        <v>473</v>
      </c>
    </row>
    <row r="276" spans="1:7" ht="15" thickBot="1">
      <c r="A276" s="982" t="s">
        <v>1</v>
      </c>
      <c r="B276" s="983" t="s">
        <v>419</v>
      </c>
      <c r="C276" s="983"/>
      <c r="D276" s="983"/>
      <c r="E276" s="983"/>
      <c r="F276" s="983"/>
      <c r="G276" s="984"/>
    </row>
    <row r="277" spans="1:7" ht="15" thickBot="1">
      <c r="A277" s="982"/>
      <c r="B277" s="913" t="s">
        <v>396</v>
      </c>
      <c r="C277" s="914"/>
      <c r="D277" s="95" t="s">
        <v>3</v>
      </c>
      <c r="E277" s="242" t="s">
        <v>4</v>
      </c>
      <c r="F277" s="289" t="s">
        <v>420</v>
      </c>
      <c r="G277" s="97" t="s">
        <v>399</v>
      </c>
    </row>
    <row r="278" spans="1:7">
      <c r="A278" s="108"/>
      <c r="B278" s="985" t="s">
        <v>466</v>
      </c>
      <c r="C278" s="986"/>
      <c r="D278" s="109" t="s">
        <v>467</v>
      </c>
      <c r="E278" s="254">
        <v>0.13200000000000001</v>
      </c>
      <c r="F278" s="281">
        <f>_xlfn.IFNA(VLOOKUP(B278,'sub M. DE OBRA'!$B$4:$E$19997,4,FALSE),0)</f>
        <v>290909.73333333334</v>
      </c>
      <c r="G278" s="111">
        <f>+E278*F278</f>
        <v>38400.084800000004</v>
      </c>
    </row>
    <row r="279" spans="1:7" ht="15" thickBot="1">
      <c r="A279" s="987" t="s">
        <v>424</v>
      </c>
      <c r="B279" s="988"/>
      <c r="C279" s="989"/>
      <c r="D279" s="990" t="s">
        <v>425</v>
      </c>
      <c r="E279" s="990"/>
      <c r="F279" s="990"/>
      <c r="G279" s="14">
        <f>SUM(G278:G278)</f>
        <v>38400.084800000004</v>
      </c>
    </row>
    <row r="280" spans="1:7" ht="15" thickBot="1">
      <c r="A280" s="991"/>
      <c r="B280" s="991"/>
      <c r="C280" s="991"/>
      <c r="D280" s="992" t="s">
        <v>426</v>
      </c>
      <c r="E280" s="993"/>
      <c r="F280" s="993"/>
      <c r="G280" s="112">
        <f>ROUND(+G266+G271+G275+G279,)</f>
        <v>61188</v>
      </c>
    </row>
    <row r="281" spans="1:7">
      <c r="A281" s="49"/>
      <c r="B281" s="49"/>
      <c r="C281" s="49"/>
      <c r="D281" s="49"/>
      <c r="F281" s="307"/>
      <c r="G281" s="49"/>
    </row>
    <row r="282" spans="1:7" ht="15" thickBot="1">
      <c r="A282" s="1036" t="s">
        <v>389</v>
      </c>
      <c r="B282" s="1037"/>
      <c r="C282" s="1037"/>
      <c r="D282" s="1037"/>
      <c r="E282" s="1037"/>
      <c r="F282" s="1037"/>
      <c r="G282" s="1038"/>
    </row>
    <row r="283" spans="1:7" ht="15" thickBot="1">
      <c r="A283" s="1006" t="s">
        <v>390</v>
      </c>
      <c r="B283" s="1007"/>
      <c r="C283" s="1007"/>
      <c r="D283" s="1007"/>
      <c r="E283" s="1007"/>
      <c r="F283" s="272" t="s">
        <v>391</v>
      </c>
      <c r="G283" s="43">
        <f ca="1">TODAY()</f>
        <v>46071</v>
      </c>
    </row>
    <row r="284" spans="1:7" ht="16.5" customHeight="1" thickBot="1">
      <c r="A284" s="953" t="str">
        <f>+'OFERTA ECONOMICA'!B22</f>
        <v>Suministro, transporte y colocación de estuco acrílico profesional para interiores sobre muros y cielos revocados, 2 manos mínimo hasta obtener una superficie pareja y homogénea. Incluye ranuras, filetes, dilataciones y todos los elementos necesarios para su correcta aplicación y funcionamiento. Trabajos en altura hasta 5.0 m. Incluye personal y andamios certificados para trabajos en alturas.</v>
      </c>
      <c r="B284" s="954"/>
      <c r="C284" s="954"/>
      <c r="D284" s="954"/>
      <c r="E284" s="955"/>
      <c r="F284" s="273" t="s">
        <v>392</v>
      </c>
      <c r="G284" s="45" t="s">
        <v>15</v>
      </c>
    </row>
    <row r="285" spans="1:7" ht="16.5" customHeight="1" thickBot="1">
      <c r="A285" s="956"/>
      <c r="B285" s="957"/>
      <c r="C285" s="957"/>
      <c r="D285" s="957"/>
      <c r="E285" s="958"/>
      <c r="F285" s="273" t="s">
        <v>393</v>
      </c>
      <c r="G285" s="46">
        <v>1</v>
      </c>
    </row>
    <row r="286" spans="1:7" ht="16.5" customHeight="1" thickBot="1">
      <c r="A286" s="959"/>
      <c r="B286" s="960"/>
      <c r="C286" s="960"/>
      <c r="D286" s="960"/>
      <c r="E286" s="961"/>
      <c r="F286" s="274" t="s">
        <v>394</v>
      </c>
      <c r="G286" s="48" t="s">
        <v>41</v>
      </c>
    </row>
    <row r="287" spans="1:7" ht="15" thickBot="1">
      <c r="A287" s="1008" t="s">
        <v>1</v>
      </c>
      <c r="B287" s="1009" t="s">
        <v>395</v>
      </c>
      <c r="C287" s="1009"/>
      <c r="D287" s="1009"/>
      <c r="E287" s="1009"/>
      <c r="F287" s="1009"/>
      <c r="G287" s="1010"/>
    </row>
    <row r="288" spans="1:7" ht="15" thickBot="1">
      <c r="A288" s="982"/>
      <c r="B288" s="913" t="s">
        <v>396</v>
      </c>
      <c r="C288" s="914"/>
      <c r="D288" s="95" t="s">
        <v>3</v>
      </c>
      <c r="E288" s="242" t="s">
        <v>398</v>
      </c>
      <c r="F288" s="286" t="s">
        <v>4</v>
      </c>
      <c r="G288" s="97" t="s">
        <v>399</v>
      </c>
    </row>
    <row r="289" spans="1:7">
      <c r="A289" s="87"/>
      <c r="B289" s="930" t="s">
        <v>427</v>
      </c>
      <c r="C289" s="931"/>
      <c r="D289" s="88" t="s">
        <v>428</v>
      </c>
      <c r="E289" s="413">
        <f>+G306</f>
        <v>16568.933333333331</v>
      </c>
      <c r="F289" s="284">
        <v>0.05</v>
      </c>
      <c r="G289" s="90">
        <f t="shared" ref="G289:G291" si="19">ROUND((E289*F289),0)</f>
        <v>828</v>
      </c>
    </row>
    <row r="290" spans="1:7">
      <c r="A290" s="91"/>
      <c r="B290" s="968" t="s">
        <v>462</v>
      </c>
      <c r="C290" s="969"/>
      <c r="D290" s="92" t="s">
        <v>430</v>
      </c>
      <c r="E290" s="252">
        <v>36500</v>
      </c>
      <c r="F290" s="285">
        <v>5.4000000000000003E-3</v>
      </c>
      <c r="G290" s="94">
        <f t="shared" si="19"/>
        <v>197</v>
      </c>
    </row>
    <row r="291" spans="1:7">
      <c r="A291" s="91"/>
      <c r="B291" s="968"/>
      <c r="C291" s="969"/>
      <c r="D291" s="92"/>
      <c r="E291" s="252"/>
      <c r="F291" s="285"/>
      <c r="G291" s="94">
        <f t="shared" si="19"/>
        <v>0</v>
      </c>
    </row>
    <row r="292" spans="1:7" ht="15" thickBot="1">
      <c r="A292" s="994"/>
      <c r="B292" s="995"/>
      <c r="C292" s="995"/>
      <c r="D292" s="981" t="s">
        <v>403</v>
      </c>
      <c r="E292" s="981"/>
      <c r="F292" s="981"/>
      <c r="G292" s="13">
        <f>SUM(G289:G291)</f>
        <v>1025</v>
      </c>
    </row>
    <row r="293" spans="1:7" ht="15" thickBot="1">
      <c r="A293" s="982" t="s">
        <v>1</v>
      </c>
      <c r="B293" s="983" t="s">
        <v>404</v>
      </c>
      <c r="C293" s="983"/>
      <c r="D293" s="983"/>
      <c r="E293" s="983"/>
      <c r="F293" s="983"/>
      <c r="G293" s="984"/>
    </row>
    <row r="294" spans="1:7" s="7" customFormat="1" ht="13.5" thickBot="1">
      <c r="A294" s="982"/>
      <c r="B294" s="913" t="s">
        <v>396</v>
      </c>
      <c r="C294" s="914"/>
      <c r="D294" s="95" t="s">
        <v>3</v>
      </c>
      <c r="E294" s="242" t="s">
        <v>398</v>
      </c>
      <c r="F294" s="286" t="s">
        <v>397</v>
      </c>
      <c r="G294" s="97" t="s">
        <v>399</v>
      </c>
    </row>
    <row r="295" spans="1:7">
      <c r="A295" s="98"/>
      <c r="B295" s="928" t="s">
        <v>468</v>
      </c>
      <c r="C295" s="929"/>
      <c r="D295" s="99" t="s">
        <v>55</v>
      </c>
      <c r="E295" s="216">
        <v>1510</v>
      </c>
      <c r="F295" s="412">
        <v>0.125</v>
      </c>
      <c r="G295" s="102">
        <f t="shared" ref="G295:G297" si="20">ROUND(E295*F295,)</f>
        <v>189</v>
      </c>
    </row>
    <row r="296" spans="1:7">
      <c r="A296" s="98"/>
      <c r="B296" s="928" t="s">
        <v>469</v>
      </c>
      <c r="C296" s="929"/>
      <c r="D296" s="92" t="s">
        <v>411</v>
      </c>
      <c r="E296" s="215">
        <v>16900</v>
      </c>
      <c r="F296" s="412">
        <v>0.06</v>
      </c>
      <c r="G296" s="102">
        <f t="shared" si="20"/>
        <v>1014</v>
      </c>
    </row>
    <row r="297" spans="1:7">
      <c r="A297" s="98"/>
      <c r="B297" s="928" t="s">
        <v>470</v>
      </c>
      <c r="C297" s="929"/>
      <c r="D297" s="99" t="s">
        <v>411</v>
      </c>
      <c r="E297" s="411">
        <v>5782</v>
      </c>
      <c r="F297" s="412">
        <f>1.5*1.05</f>
        <v>1.5750000000000002</v>
      </c>
      <c r="G297" s="102">
        <f t="shared" si="20"/>
        <v>9107</v>
      </c>
    </row>
    <row r="298" spans="1:7" ht="15" thickBot="1">
      <c r="A298" s="996"/>
      <c r="B298" s="997"/>
      <c r="C298" s="998"/>
      <c r="D298" s="981" t="s">
        <v>415</v>
      </c>
      <c r="E298" s="981"/>
      <c r="F298" s="981"/>
      <c r="G298" s="13">
        <f>SUM(G295:G297)</f>
        <v>10310</v>
      </c>
    </row>
    <row r="299" spans="1:7" ht="15" thickBot="1">
      <c r="A299" s="982" t="s">
        <v>1</v>
      </c>
      <c r="B299" s="983" t="s">
        <v>416</v>
      </c>
      <c r="C299" s="983"/>
      <c r="D299" s="983"/>
      <c r="E299" s="983"/>
      <c r="F299" s="983"/>
      <c r="G299" s="984"/>
    </row>
    <row r="300" spans="1:7" ht="15" thickBot="1">
      <c r="A300" s="982"/>
      <c r="B300" s="913" t="s">
        <v>396</v>
      </c>
      <c r="C300" s="914"/>
      <c r="D300" s="95" t="s">
        <v>3</v>
      </c>
      <c r="E300" s="242" t="s">
        <v>398</v>
      </c>
      <c r="F300" s="286" t="s">
        <v>397</v>
      </c>
      <c r="G300" s="97" t="s">
        <v>399</v>
      </c>
    </row>
    <row r="301" spans="1:7" ht="15" thickBot="1">
      <c r="A301" s="103"/>
      <c r="B301" s="1075" t="s">
        <v>455</v>
      </c>
      <c r="C301" s="1076"/>
      <c r="D301" s="128" t="s">
        <v>28</v>
      </c>
      <c r="E301" s="246">
        <v>22500</v>
      </c>
      <c r="F301" s="295">
        <f>1.5*0.02*1.05</f>
        <v>3.15E-2</v>
      </c>
      <c r="G301" s="106">
        <f>ROUND(F301*E301,)</f>
        <v>709</v>
      </c>
    </row>
    <row r="302" spans="1:7" ht="15" thickBot="1">
      <c r="A302" s="978"/>
      <c r="B302" s="979"/>
      <c r="C302" s="980"/>
      <c r="D302" s="981" t="s">
        <v>418</v>
      </c>
      <c r="E302" s="981"/>
      <c r="F302" s="981"/>
      <c r="G302" s="13">
        <f>SUM(G301:G301)</f>
        <v>709</v>
      </c>
    </row>
    <row r="303" spans="1:7" ht="15" thickBot="1">
      <c r="A303" s="982" t="s">
        <v>1</v>
      </c>
      <c r="B303" s="983" t="s">
        <v>419</v>
      </c>
      <c r="C303" s="983"/>
      <c r="D303" s="983"/>
      <c r="E303" s="983"/>
      <c r="F303" s="983"/>
      <c r="G303" s="984"/>
    </row>
    <row r="304" spans="1:7" ht="15" thickBot="1">
      <c r="A304" s="982"/>
      <c r="B304" s="913" t="s">
        <v>396</v>
      </c>
      <c r="C304" s="914"/>
      <c r="D304" s="95" t="s">
        <v>3</v>
      </c>
      <c r="E304" s="242" t="s">
        <v>4</v>
      </c>
      <c r="F304" s="289" t="s">
        <v>420</v>
      </c>
      <c r="G304" s="97" t="s">
        <v>399</v>
      </c>
    </row>
    <row r="305" spans="1:7">
      <c r="A305" s="108"/>
      <c r="B305" s="985" t="s">
        <v>421</v>
      </c>
      <c r="C305" s="986"/>
      <c r="D305" s="109" t="s">
        <v>467</v>
      </c>
      <c r="E305" s="254">
        <v>5.5E-2</v>
      </c>
      <c r="F305" s="281">
        <f>_xlfn.IFNA(VLOOKUP(B305,'sub M. DE OBRA'!$B$4:$E$19997,4,FALSE),0)</f>
        <v>301253.33333333331</v>
      </c>
      <c r="G305" s="111">
        <f>+E305*F305</f>
        <v>16568.933333333331</v>
      </c>
    </row>
    <row r="306" spans="1:7" ht="15" thickBot="1">
      <c r="A306" s="987" t="s">
        <v>424</v>
      </c>
      <c r="B306" s="988"/>
      <c r="C306" s="989"/>
      <c r="D306" s="990" t="s">
        <v>425</v>
      </c>
      <c r="E306" s="990"/>
      <c r="F306" s="990"/>
      <c r="G306" s="14">
        <f>SUM(G305:G305)</f>
        <v>16568.933333333331</v>
      </c>
    </row>
    <row r="307" spans="1:7" ht="15" thickBot="1">
      <c r="A307" s="991"/>
      <c r="B307" s="991"/>
      <c r="C307" s="991"/>
      <c r="D307" s="992" t="s">
        <v>426</v>
      </c>
      <c r="E307" s="993"/>
      <c r="F307" s="993"/>
      <c r="G307" s="112">
        <f>ROUND(+G292+G298+G302+G306,)</f>
        <v>28613</v>
      </c>
    </row>
    <row r="308" spans="1:7">
      <c r="A308" s="49"/>
      <c r="B308" s="49"/>
      <c r="C308" s="49"/>
      <c r="D308" s="49"/>
      <c r="F308" s="307"/>
      <c r="G308" s="49"/>
    </row>
    <row r="309" spans="1:7" ht="15" thickBot="1">
      <c r="A309" s="1036" t="s">
        <v>389</v>
      </c>
      <c r="B309" s="1037"/>
      <c r="C309" s="1037"/>
      <c r="D309" s="1037"/>
      <c r="E309" s="1037"/>
      <c r="F309" s="1037"/>
      <c r="G309" s="1038"/>
    </row>
    <row r="310" spans="1:7" ht="15" thickBot="1">
      <c r="A310" s="1006" t="s">
        <v>390</v>
      </c>
      <c r="B310" s="1007"/>
      <c r="C310" s="1007"/>
      <c r="D310" s="1007"/>
      <c r="E310" s="1007"/>
      <c r="F310" s="272" t="s">
        <v>391</v>
      </c>
      <c r="G310" s="43">
        <f ca="1">TODAY()</f>
        <v>46071</v>
      </c>
    </row>
    <row r="311" spans="1:7" ht="24.75" customHeight="1" thickBot="1">
      <c r="A311" s="953" t="str">
        <f>+'OFERTA ECONOMICA'!B23</f>
        <v>Aplicación de pintura a base de agua en muros y cielos, con vinilo tipo 1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supervisión. Trabajos en altura hasta 3.0 m. Incluye personal y andamios certificados para trabajos en alturas.</v>
      </c>
      <c r="B311" s="954"/>
      <c r="C311" s="954"/>
      <c r="D311" s="954"/>
      <c r="E311" s="955"/>
      <c r="F311" s="273" t="s">
        <v>392</v>
      </c>
      <c r="G311" s="45" t="s">
        <v>15</v>
      </c>
    </row>
    <row r="312" spans="1:7" ht="24.75" customHeight="1" thickBot="1">
      <c r="A312" s="956"/>
      <c r="B312" s="957"/>
      <c r="C312" s="957"/>
      <c r="D312" s="957"/>
      <c r="E312" s="958"/>
      <c r="F312" s="273" t="s">
        <v>393</v>
      </c>
      <c r="G312" s="46">
        <v>1</v>
      </c>
    </row>
    <row r="313" spans="1:7" ht="24.75" customHeight="1" thickBot="1">
      <c r="A313" s="959"/>
      <c r="B313" s="960"/>
      <c r="C313" s="960"/>
      <c r="D313" s="960"/>
      <c r="E313" s="961"/>
      <c r="F313" s="274" t="s">
        <v>394</v>
      </c>
      <c r="G313" s="48" t="s">
        <v>471</v>
      </c>
    </row>
    <row r="314" spans="1:7" ht="15" thickBot="1">
      <c r="A314" s="1008" t="s">
        <v>1</v>
      </c>
      <c r="B314" s="1009" t="s">
        <v>395</v>
      </c>
      <c r="C314" s="1009"/>
      <c r="D314" s="1009"/>
      <c r="E314" s="1009"/>
      <c r="F314" s="1009"/>
      <c r="G314" s="1010"/>
    </row>
    <row r="315" spans="1:7" ht="15" thickBot="1">
      <c r="A315" s="982"/>
      <c r="B315" s="913" t="s">
        <v>396</v>
      </c>
      <c r="C315" s="914"/>
      <c r="D315" s="95" t="s">
        <v>3</v>
      </c>
      <c r="E315" s="242" t="s">
        <v>398</v>
      </c>
      <c r="F315" s="286" t="s">
        <v>4</v>
      </c>
      <c r="G315" s="97" t="s">
        <v>399</v>
      </c>
    </row>
    <row r="316" spans="1:7">
      <c r="A316" s="87"/>
      <c r="B316" s="930" t="s">
        <v>427</v>
      </c>
      <c r="C316" s="931"/>
      <c r="D316" s="88" t="s">
        <v>428</v>
      </c>
      <c r="E316" s="251">
        <f>+G334</f>
        <v>15062.666666666666</v>
      </c>
      <c r="F316" s="284">
        <v>0.05</v>
      </c>
      <c r="G316" s="90">
        <f t="shared" ref="G316:G318" si="21">ROUND((E316*F316),0)</f>
        <v>753</v>
      </c>
    </row>
    <row r="317" spans="1:7">
      <c r="A317" s="91"/>
      <c r="B317" s="968" t="s">
        <v>462</v>
      </c>
      <c r="C317" s="969"/>
      <c r="D317" s="92" t="s">
        <v>430</v>
      </c>
      <c r="E317" s="252">
        <v>36500</v>
      </c>
      <c r="F317" s="285">
        <v>0.05</v>
      </c>
      <c r="G317" s="94">
        <f t="shared" si="21"/>
        <v>1825</v>
      </c>
    </row>
    <row r="318" spans="1:7">
      <c r="A318" s="91"/>
      <c r="B318" s="968"/>
      <c r="C318" s="969"/>
      <c r="D318" s="92"/>
      <c r="E318" s="252"/>
      <c r="F318" s="285"/>
      <c r="G318" s="94">
        <f t="shared" si="21"/>
        <v>0</v>
      </c>
    </row>
    <row r="319" spans="1:7" ht="15" thickBot="1">
      <c r="A319" s="994"/>
      <c r="B319" s="995"/>
      <c r="C319" s="995"/>
      <c r="D319" s="981" t="s">
        <v>403</v>
      </c>
      <c r="E319" s="981"/>
      <c r="F319" s="981"/>
      <c r="G319" s="13">
        <f>SUM(G316:G318)</f>
        <v>2578</v>
      </c>
    </row>
    <row r="320" spans="1:7" ht="15" thickBot="1">
      <c r="A320" s="982" t="s">
        <v>1</v>
      </c>
      <c r="B320" s="983" t="s">
        <v>404</v>
      </c>
      <c r="C320" s="983"/>
      <c r="D320" s="983"/>
      <c r="E320" s="983"/>
      <c r="F320" s="983"/>
      <c r="G320" s="984"/>
    </row>
    <row r="321" spans="1:7" ht="15" thickBot="1">
      <c r="A321" s="982"/>
      <c r="B321" s="913" t="s">
        <v>396</v>
      </c>
      <c r="C321" s="914"/>
      <c r="D321" s="95" t="s">
        <v>3</v>
      </c>
      <c r="E321" s="242" t="s">
        <v>398</v>
      </c>
      <c r="F321" s="286" t="s">
        <v>397</v>
      </c>
      <c r="G321" s="97" t="s">
        <v>399</v>
      </c>
    </row>
    <row r="322" spans="1:7">
      <c r="A322" s="98"/>
      <c r="B322" s="928" t="s">
        <v>468</v>
      </c>
      <c r="C322" s="929"/>
      <c r="D322" s="99" t="s">
        <v>55</v>
      </c>
      <c r="E322" s="253">
        <v>1510</v>
      </c>
      <c r="F322" s="287">
        <v>0.5</v>
      </c>
      <c r="G322" s="102">
        <f t="shared" ref="G322:G325" si="22">ROUND(E322*F322,)</f>
        <v>755</v>
      </c>
    </row>
    <row r="323" spans="1:7">
      <c r="A323" s="98"/>
      <c r="B323" s="928" t="s">
        <v>469</v>
      </c>
      <c r="C323" s="929"/>
      <c r="D323" s="92" t="s">
        <v>411</v>
      </c>
      <c r="E323" s="252">
        <v>15900</v>
      </c>
      <c r="F323" s="287">
        <v>0.1</v>
      </c>
      <c r="G323" s="102">
        <f t="shared" si="22"/>
        <v>1590</v>
      </c>
    </row>
    <row r="324" spans="1:7">
      <c r="A324" s="98"/>
      <c r="B324" s="928" t="s">
        <v>472</v>
      </c>
      <c r="C324" s="929"/>
      <c r="D324" s="99" t="s">
        <v>473</v>
      </c>
      <c r="E324" s="253">
        <v>1461</v>
      </c>
      <c r="F324" s="287">
        <v>0.3</v>
      </c>
      <c r="G324" s="102">
        <f t="shared" si="22"/>
        <v>438</v>
      </c>
    </row>
    <row r="325" spans="1:7">
      <c r="A325" s="98"/>
      <c r="B325" s="928" t="s">
        <v>474</v>
      </c>
      <c r="C325" s="929"/>
      <c r="D325" s="99" t="s">
        <v>473</v>
      </c>
      <c r="E325" s="253">
        <v>65187.524171539961</v>
      </c>
      <c r="F325" s="287">
        <v>0.09</v>
      </c>
      <c r="G325" s="102">
        <f t="shared" si="22"/>
        <v>5867</v>
      </c>
    </row>
    <row r="326" spans="1:7" ht="15" thickBot="1">
      <c r="A326" s="996"/>
      <c r="B326" s="997"/>
      <c r="C326" s="998"/>
      <c r="D326" s="981" t="s">
        <v>415</v>
      </c>
      <c r="E326" s="981"/>
      <c r="F326" s="981"/>
      <c r="G326" s="13">
        <f>SUM(G322:G325)</f>
        <v>8650</v>
      </c>
    </row>
    <row r="327" spans="1:7" ht="15" thickBot="1">
      <c r="A327" s="982" t="s">
        <v>1</v>
      </c>
      <c r="B327" s="983" t="s">
        <v>416</v>
      </c>
      <c r="C327" s="983"/>
      <c r="D327" s="983"/>
      <c r="E327" s="983"/>
      <c r="F327" s="983"/>
      <c r="G327" s="984"/>
    </row>
    <row r="328" spans="1:7" ht="15" thickBot="1">
      <c r="A328" s="982"/>
      <c r="B328" s="913" t="s">
        <v>396</v>
      </c>
      <c r="C328" s="914"/>
      <c r="D328" s="95" t="s">
        <v>3</v>
      </c>
      <c r="E328" s="242" t="s">
        <v>398</v>
      </c>
      <c r="F328" s="286" t="s">
        <v>397</v>
      </c>
      <c r="G328" s="97" t="s">
        <v>399</v>
      </c>
    </row>
    <row r="329" spans="1:7" s="7" customFormat="1" ht="13.5" thickBot="1">
      <c r="A329" s="103"/>
      <c r="B329" s="942"/>
      <c r="C329" s="943"/>
      <c r="D329" s="104"/>
      <c r="E329" s="247"/>
      <c r="F329" s="288"/>
      <c r="G329" s="106">
        <f>ROUND(F329*E329,)</f>
        <v>0</v>
      </c>
    </row>
    <row r="330" spans="1:7" ht="15" thickBot="1">
      <c r="A330" s="978"/>
      <c r="B330" s="979"/>
      <c r="C330" s="980"/>
      <c r="D330" s="981" t="s">
        <v>418</v>
      </c>
      <c r="E330" s="981"/>
      <c r="F330" s="981"/>
      <c r="G330" s="13">
        <f>SUM(G329:G329)</f>
        <v>0</v>
      </c>
    </row>
    <row r="331" spans="1:7" ht="15" thickBot="1">
      <c r="A331" s="982" t="s">
        <v>1</v>
      </c>
      <c r="B331" s="983" t="s">
        <v>419</v>
      </c>
      <c r="C331" s="983"/>
      <c r="D331" s="983"/>
      <c r="E331" s="983"/>
      <c r="F331" s="983"/>
      <c r="G331" s="984"/>
    </row>
    <row r="332" spans="1:7" ht="15" thickBot="1">
      <c r="A332" s="982"/>
      <c r="B332" s="913" t="s">
        <v>396</v>
      </c>
      <c r="C332" s="914"/>
      <c r="D332" s="95" t="s">
        <v>3</v>
      </c>
      <c r="E332" s="242" t="s">
        <v>4</v>
      </c>
      <c r="F332" s="289" t="s">
        <v>420</v>
      </c>
      <c r="G332" s="97" t="s">
        <v>399</v>
      </c>
    </row>
    <row r="333" spans="1:7">
      <c r="A333" s="108"/>
      <c r="B333" s="985" t="s">
        <v>421</v>
      </c>
      <c r="C333" s="986"/>
      <c r="D333" s="109" t="s">
        <v>467</v>
      </c>
      <c r="E333" s="254">
        <v>0.05</v>
      </c>
      <c r="F333" s="281">
        <f>_xlfn.IFNA(VLOOKUP(B333,'sub M. DE OBRA'!$B$4:$E$19997,4,FALSE),0)</f>
        <v>301253.33333333331</v>
      </c>
      <c r="G333" s="111">
        <f>+E333*F333</f>
        <v>15062.666666666666</v>
      </c>
    </row>
    <row r="334" spans="1:7" ht="15" thickBot="1">
      <c r="A334" s="987" t="s">
        <v>424</v>
      </c>
      <c r="B334" s="988"/>
      <c r="C334" s="989"/>
      <c r="D334" s="990" t="s">
        <v>425</v>
      </c>
      <c r="E334" s="990"/>
      <c r="F334" s="990"/>
      <c r="G334" s="14">
        <f>SUM(G333:G333)</f>
        <v>15062.666666666666</v>
      </c>
    </row>
    <row r="335" spans="1:7" ht="15" thickBot="1">
      <c r="A335" s="991"/>
      <c r="B335" s="991"/>
      <c r="C335" s="991"/>
      <c r="D335" s="992" t="s">
        <v>426</v>
      </c>
      <c r="E335" s="993"/>
      <c r="F335" s="993"/>
      <c r="G335" s="112">
        <f>ROUND(+G319+G326+G330+G334,)</f>
        <v>26291</v>
      </c>
    </row>
    <row r="336" spans="1:7">
      <c r="A336" s="49"/>
      <c r="B336" s="49"/>
      <c r="C336" s="49"/>
      <c r="D336" s="49"/>
      <c r="F336" s="307"/>
      <c r="G336" s="49"/>
    </row>
    <row r="337" spans="1:7" ht="15" thickBot="1">
      <c r="A337" s="1036" t="s">
        <v>389</v>
      </c>
      <c r="B337" s="1037"/>
      <c r="C337" s="1037"/>
      <c r="D337" s="1037"/>
      <c r="E337" s="1037"/>
      <c r="F337" s="1037"/>
      <c r="G337" s="1038"/>
    </row>
    <row r="338" spans="1:7" ht="15" thickBot="1">
      <c r="A338" s="1006" t="s">
        <v>390</v>
      </c>
      <c r="B338" s="1007"/>
      <c r="C338" s="1007"/>
      <c r="D338" s="1007"/>
      <c r="E338" s="1007"/>
      <c r="F338" s="272" t="s">
        <v>391</v>
      </c>
      <c r="G338" s="43">
        <f ca="1">TODAY()</f>
        <v>46071</v>
      </c>
    </row>
    <row r="339" spans="1:7" ht="24.75" customHeight="1" thickBot="1">
      <c r="A339" s="953" t="str">
        <f>+'OFERTA ECONOMICA'!B24</f>
        <v>Suministro, transporte y aplicación en exteriores de pintura vinilo tipo exterior Koraza profesional o similar en muros y columnas, en color requerido por diseño o especificación del proyecto; de acuerdo a especificación técnica del fabricante, en preparación de superficie, preparación del producto y aplicación en tres manos para obtener una superficie pareja y homogénea. Incluye andamiaje y todos los elementos necesarios para su correcta aplicación. Trabajos en altura hasta 3.0 m. Incluye personal y andamios certificados para trabajos en alturas.</v>
      </c>
      <c r="B339" s="954"/>
      <c r="C339" s="954"/>
      <c r="D339" s="954"/>
      <c r="E339" s="955"/>
      <c r="F339" s="273" t="s">
        <v>392</v>
      </c>
      <c r="G339" s="45" t="s">
        <v>15</v>
      </c>
    </row>
    <row r="340" spans="1:7" ht="24.75" customHeight="1" thickBot="1">
      <c r="A340" s="956"/>
      <c r="B340" s="957"/>
      <c r="C340" s="957"/>
      <c r="D340" s="957"/>
      <c r="E340" s="958"/>
      <c r="F340" s="273" t="s">
        <v>393</v>
      </c>
      <c r="G340" s="46">
        <v>1</v>
      </c>
    </row>
    <row r="341" spans="1:7" ht="24.75" customHeight="1" thickBot="1">
      <c r="A341" s="959"/>
      <c r="B341" s="960"/>
      <c r="C341" s="960"/>
      <c r="D341" s="960"/>
      <c r="E341" s="961"/>
      <c r="F341" s="274" t="s">
        <v>394</v>
      </c>
      <c r="G341" s="48" t="s">
        <v>45</v>
      </c>
    </row>
    <row r="342" spans="1:7" ht="15" thickBot="1">
      <c r="A342" s="1008" t="s">
        <v>1</v>
      </c>
      <c r="B342" s="1009" t="s">
        <v>395</v>
      </c>
      <c r="C342" s="1009"/>
      <c r="D342" s="1009"/>
      <c r="E342" s="1009"/>
      <c r="F342" s="1009"/>
      <c r="G342" s="1010"/>
    </row>
    <row r="343" spans="1:7" ht="15" thickBot="1">
      <c r="A343" s="982"/>
      <c r="B343" s="913" t="s">
        <v>396</v>
      </c>
      <c r="C343" s="914"/>
      <c r="D343" s="95" t="s">
        <v>3</v>
      </c>
      <c r="E343" s="242" t="s">
        <v>398</v>
      </c>
      <c r="F343" s="286" t="s">
        <v>4</v>
      </c>
      <c r="G343" s="97" t="s">
        <v>399</v>
      </c>
    </row>
    <row r="344" spans="1:7">
      <c r="A344" s="87"/>
      <c r="B344" s="930" t="s">
        <v>427</v>
      </c>
      <c r="C344" s="931"/>
      <c r="D344" s="88" t="s">
        <v>428</v>
      </c>
      <c r="E344" s="251">
        <f>+G363</f>
        <v>27564.679999999997</v>
      </c>
      <c r="F344" s="284">
        <v>0.05</v>
      </c>
      <c r="G344" s="90">
        <f t="shared" ref="G344:G346" si="23">ROUND((E344*F344),0)</f>
        <v>1378</v>
      </c>
    </row>
    <row r="345" spans="1:7">
      <c r="A345" s="91"/>
      <c r="B345" s="968" t="s">
        <v>462</v>
      </c>
      <c r="C345" s="969"/>
      <c r="D345" s="92" t="s">
        <v>430</v>
      </c>
      <c r="E345" s="252">
        <v>36500</v>
      </c>
      <c r="F345" s="285">
        <v>1.5630000000000002E-2</v>
      </c>
      <c r="G345" s="94">
        <f t="shared" si="23"/>
        <v>570</v>
      </c>
    </row>
    <row r="346" spans="1:7">
      <c r="A346" s="91"/>
      <c r="B346" s="968"/>
      <c r="C346" s="969"/>
      <c r="D346" s="92"/>
      <c r="E346" s="252"/>
      <c r="F346" s="285"/>
      <c r="G346" s="94">
        <f t="shared" si="23"/>
        <v>0</v>
      </c>
    </row>
    <row r="347" spans="1:7" ht="15" thickBot="1">
      <c r="A347" s="994"/>
      <c r="B347" s="995"/>
      <c r="C347" s="995"/>
      <c r="D347" s="981" t="s">
        <v>403</v>
      </c>
      <c r="E347" s="981"/>
      <c r="F347" s="981"/>
      <c r="G347" s="13">
        <f>SUM(G344:G346)</f>
        <v>1948</v>
      </c>
    </row>
    <row r="348" spans="1:7" ht="15" thickBot="1">
      <c r="A348" s="982" t="s">
        <v>1</v>
      </c>
      <c r="B348" s="983" t="s">
        <v>404</v>
      </c>
      <c r="C348" s="983"/>
      <c r="D348" s="983"/>
      <c r="E348" s="983"/>
      <c r="F348" s="983"/>
      <c r="G348" s="984"/>
    </row>
    <row r="349" spans="1:7" ht="15" thickBot="1">
      <c r="A349" s="982"/>
      <c r="B349" s="913" t="s">
        <v>396</v>
      </c>
      <c r="C349" s="914"/>
      <c r="D349" s="95" t="s">
        <v>3</v>
      </c>
      <c r="E349" s="242" t="s">
        <v>398</v>
      </c>
      <c r="F349" s="286" t="s">
        <v>397</v>
      </c>
      <c r="G349" s="97" t="s">
        <v>399</v>
      </c>
    </row>
    <row r="350" spans="1:7">
      <c r="A350" s="98"/>
      <c r="B350" s="928" t="s">
        <v>468</v>
      </c>
      <c r="C350" s="929"/>
      <c r="D350" s="99" t="s">
        <v>55</v>
      </c>
      <c r="E350" s="253">
        <v>1510</v>
      </c>
      <c r="F350" s="287">
        <v>0.6</v>
      </c>
      <c r="G350" s="102">
        <f t="shared" ref="G350:G354" si="24">ROUND(E350*F350,)</f>
        <v>906</v>
      </c>
    </row>
    <row r="351" spans="1:7">
      <c r="A351" s="98"/>
      <c r="B351" s="928" t="s">
        <v>469</v>
      </c>
      <c r="C351" s="929"/>
      <c r="D351" s="92" t="s">
        <v>411</v>
      </c>
      <c r="E351" s="252">
        <v>15900</v>
      </c>
      <c r="F351" s="287">
        <v>0.2</v>
      </c>
      <c r="G351" s="102">
        <f t="shared" si="24"/>
        <v>3180</v>
      </c>
    </row>
    <row r="352" spans="1:7">
      <c r="A352" s="98"/>
      <c r="B352" s="928" t="s">
        <v>472</v>
      </c>
      <c r="C352" s="929"/>
      <c r="D352" s="99" t="s">
        <v>473</v>
      </c>
      <c r="E352" s="253">
        <v>1461</v>
      </c>
      <c r="F352" s="287">
        <v>0.3</v>
      </c>
      <c r="G352" s="102">
        <f t="shared" si="24"/>
        <v>438</v>
      </c>
    </row>
    <row r="353" spans="1:7">
      <c r="A353" s="98"/>
      <c r="B353" s="928" t="s">
        <v>475</v>
      </c>
      <c r="C353" s="929"/>
      <c r="D353" s="99" t="s">
        <v>473</v>
      </c>
      <c r="E353" s="253">
        <v>115900</v>
      </c>
      <c r="F353" s="287">
        <v>0.05</v>
      </c>
      <c r="G353" s="102">
        <f t="shared" si="24"/>
        <v>5795</v>
      </c>
    </row>
    <row r="354" spans="1:7">
      <c r="A354" s="98"/>
      <c r="B354" s="928" t="s">
        <v>476</v>
      </c>
      <c r="C354" s="929"/>
      <c r="D354" s="99" t="s">
        <v>473</v>
      </c>
      <c r="E354" s="253">
        <f>100800*1.03</f>
        <v>103824</v>
      </c>
      <c r="F354" s="287">
        <v>0.05</v>
      </c>
      <c r="G354" s="102">
        <f t="shared" si="24"/>
        <v>5191</v>
      </c>
    </row>
    <row r="355" spans="1:7" ht="15" thickBot="1">
      <c r="A355" s="996"/>
      <c r="B355" s="997"/>
      <c r="C355" s="998"/>
      <c r="D355" s="981" t="s">
        <v>415</v>
      </c>
      <c r="E355" s="981"/>
      <c r="F355" s="981"/>
      <c r="G355" s="13">
        <f>SUM(G350:G354)</f>
        <v>15510</v>
      </c>
    </row>
    <row r="356" spans="1:7" ht="15" thickBot="1">
      <c r="A356" s="982" t="s">
        <v>1</v>
      </c>
      <c r="B356" s="983" t="s">
        <v>416</v>
      </c>
      <c r="C356" s="983"/>
      <c r="D356" s="983"/>
      <c r="E356" s="983"/>
      <c r="F356" s="983"/>
      <c r="G356" s="984"/>
    </row>
    <row r="357" spans="1:7" ht="15" thickBot="1">
      <c r="A357" s="982"/>
      <c r="B357" s="913" t="s">
        <v>396</v>
      </c>
      <c r="C357" s="914"/>
      <c r="D357" s="95" t="s">
        <v>3</v>
      </c>
      <c r="E357" s="242" t="s">
        <v>398</v>
      </c>
      <c r="F357" s="286" t="s">
        <v>397</v>
      </c>
      <c r="G357" s="97" t="s">
        <v>399</v>
      </c>
    </row>
    <row r="358" spans="1:7" ht="15" thickBot="1">
      <c r="A358" s="103"/>
      <c r="B358" s="942"/>
      <c r="C358" s="943"/>
      <c r="D358" s="104"/>
      <c r="E358" s="247"/>
      <c r="F358" s="288"/>
      <c r="G358" s="106">
        <f>ROUND(F358*E358,)</f>
        <v>0</v>
      </c>
    </row>
    <row r="359" spans="1:7" ht="15" thickBot="1">
      <c r="A359" s="978"/>
      <c r="B359" s="979"/>
      <c r="C359" s="980"/>
      <c r="D359" s="981" t="s">
        <v>418</v>
      </c>
      <c r="E359" s="981"/>
      <c r="F359" s="981"/>
      <c r="G359" s="13">
        <f>SUM(G358:G358)</f>
        <v>0</v>
      </c>
    </row>
    <row r="360" spans="1:7" ht="15" thickBot="1">
      <c r="A360" s="982" t="s">
        <v>1</v>
      </c>
      <c r="B360" s="983" t="s">
        <v>419</v>
      </c>
      <c r="C360" s="983"/>
      <c r="D360" s="983"/>
      <c r="E360" s="983"/>
      <c r="F360" s="983"/>
      <c r="G360" s="984"/>
    </row>
    <row r="361" spans="1:7" ht="15" thickBot="1">
      <c r="A361" s="982"/>
      <c r="B361" s="913" t="s">
        <v>396</v>
      </c>
      <c r="C361" s="914"/>
      <c r="D361" s="95" t="s">
        <v>3</v>
      </c>
      <c r="E361" s="242" t="s">
        <v>4</v>
      </c>
      <c r="F361" s="289" t="s">
        <v>420</v>
      </c>
      <c r="G361" s="97" t="s">
        <v>399</v>
      </c>
    </row>
    <row r="362" spans="1:7">
      <c r="A362" s="108"/>
      <c r="B362" s="985" t="s">
        <v>421</v>
      </c>
      <c r="C362" s="986"/>
      <c r="D362" s="109" t="s">
        <v>467</v>
      </c>
      <c r="E362" s="254">
        <v>9.1499999999999998E-2</v>
      </c>
      <c r="F362" s="281">
        <f>_xlfn.IFNA(VLOOKUP(B362,'sub M. DE OBRA'!$B$4:$E$19997,4,FALSE),0)</f>
        <v>301253.33333333331</v>
      </c>
      <c r="G362" s="111">
        <f>+E362*F362</f>
        <v>27564.679999999997</v>
      </c>
    </row>
    <row r="363" spans="1:7" ht="15" thickBot="1">
      <c r="A363" s="987" t="s">
        <v>424</v>
      </c>
      <c r="B363" s="988"/>
      <c r="C363" s="989"/>
      <c r="D363" s="990" t="s">
        <v>425</v>
      </c>
      <c r="E363" s="990"/>
      <c r="F363" s="990"/>
      <c r="G363" s="14">
        <f>SUM(G362:G362)</f>
        <v>27564.679999999997</v>
      </c>
    </row>
    <row r="364" spans="1:7" ht="15" thickBot="1">
      <c r="A364" s="991"/>
      <c r="B364" s="991"/>
      <c r="C364" s="991"/>
      <c r="D364" s="992" t="s">
        <v>426</v>
      </c>
      <c r="E364" s="993"/>
      <c r="F364" s="993"/>
      <c r="G364" s="112">
        <f>ROUND(+G347+G355+G359+G363,)</f>
        <v>45023</v>
      </c>
    </row>
    <row r="365" spans="1:7">
      <c r="A365" s="49"/>
      <c r="B365" s="49"/>
      <c r="C365" s="49"/>
      <c r="D365" s="49"/>
      <c r="F365" s="307"/>
      <c r="G365" s="49"/>
    </row>
    <row r="366" spans="1:7" ht="15" thickBot="1">
      <c r="A366" s="1036" t="s">
        <v>389</v>
      </c>
      <c r="B366" s="1037"/>
      <c r="C366" s="1037"/>
      <c r="D366" s="1037"/>
      <c r="E366" s="1037"/>
      <c r="F366" s="1037"/>
      <c r="G366" s="1038"/>
    </row>
    <row r="367" spans="1:7" ht="15" thickBot="1">
      <c r="A367" s="1006" t="s">
        <v>390</v>
      </c>
      <c r="B367" s="1007"/>
      <c r="C367" s="1007"/>
      <c r="D367" s="1007"/>
      <c r="E367" s="1007"/>
      <c r="F367" s="272" t="s">
        <v>391</v>
      </c>
      <c r="G367" s="43">
        <f ca="1">TODAY()</f>
        <v>46071</v>
      </c>
    </row>
    <row r="368" spans="1:7" ht="15" thickBot="1">
      <c r="A368" s="953" t="str">
        <f>+'OFERTA ECONOMICA'!B25</f>
        <v>Resane de grietas con sellador elástico pintable para fisuras. Tipo Sika Sello Pintores Sika Flex o similar.</v>
      </c>
      <c r="B368" s="954"/>
      <c r="C368" s="954"/>
      <c r="D368" s="954"/>
      <c r="E368" s="955"/>
      <c r="F368" s="273" t="s">
        <v>392</v>
      </c>
      <c r="G368" s="45" t="s">
        <v>12</v>
      </c>
    </row>
    <row r="369" spans="1:7" s="7" customFormat="1" ht="13.5" thickBot="1">
      <c r="A369" s="956"/>
      <c r="B369" s="957"/>
      <c r="C369" s="957"/>
      <c r="D369" s="957"/>
      <c r="E369" s="958"/>
      <c r="F369" s="273" t="s">
        <v>393</v>
      </c>
      <c r="G369" s="46">
        <v>1</v>
      </c>
    </row>
    <row r="370" spans="1:7" ht="15" thickBot="1">
      <c r="A370" s="959"/>
      <c r="B370" s="960"/>
      <c r="C370" s="960"/>
      <c r="D370" s="960"/>
      <c r="E370" s="961"/>
      <c r="F370" s="274" t="s">
        <v>394</v>
      </c>
      <c r="G370" s="48" t="s">
        <v>47</v>
      </c>
    </row>
    <row r="371" spans="1:7" ht="15" thickBot="1">
      <c r="A371" s="1008" t="s">
        <v>1</v>
      </c>
      <c r="B371" s="1009" t="s">
        <v>395</v>
      </c>
      <c r="C371" s="1009"/>
      <c r="D371" s="1009"/>
      <c r="E371" s="1009"/>
      <c r="F371" s="1009"/>
      <c r="G371" s="1010"/>
    </row>
    <row r="372" spans="1:7" ht="15" thickBot="1">
      <c r="A372" s="982"/>
      <c r="B372" s="913" t="s">
        <v>396</v>
      </c>
      <c r="C372" s="914"/>
      <c r="D372" s="95" t="s">
        <v>3</v>
      </c>
      <c r="E372" s="242" t="s">
        <v>398</v>
      </c>
      <c r="F372" s="286" t="s">
        <v>4</v>
      </c>
      <c r="G372" s="97" t="s">
        <v>399</v>
      </c>
    </row>
    <row r="373" spans="1:7">
      <c r="A373" s="87"/>
      <c r="B373" s="930" t="s">
        <v>427</v>
      </c>
      <c r="C373" s="931"/>
      <c r="D373" s="88" t="s">
        <v>428</v>
      </c>
      <c r="E373" s="251">
        <f>+G388</f>
        <v>25606.533333333333</v>
      </c>
      <c r="F373" s="284">
        <v>0.05</v>
      </c>
      <c r="G373" s="90">
        <f t="shared" ref="G373:G375" si="25">ROUND((E373*F373),0)</f>
        <v>1280</v>
      </c>
    </row>
    <row r="374" spans="1:7">
      <c r="A374" s="91"/>
      <c r="B374" s="968" t="s">
        <v>462</v>
      </c>
      <c r="C374" s="969"/>
      <c r="D374" s="92" t="s">
        <v>430</v>
      </c>
      <c r="E374" s="252">
        <v>36500</v>
      </c>
      <c r="F374" s="285">
        <v>0.03</v>
      </c>
      <c r="G374" s="94">
        <f t="shared" si="25"/>
        <v>1095</v>
      </c>
    </row>
    <row r="375" spans="1:7">
      <c r="A375" s="91"/>
      <c r="B375" s="968"/>
      <c r="C375" s="969"/>
      <c r="D375" s="92"/>
      <c r="E375" s="252"/>
      <c r="F375" s="285"/>
      <c r="G375" s="94">
        <f t="shared" si="25"/>
        <v>0</v>
      </c>
    </row>
    <row r="376" spans="1:7" ht="15" thickBot="1">
      <c r="A376" s="994"/>
      <c r="B376" s="995"/>
      <c r="C376" s="995"/>
      <c r="D376" s="981" t="s">
        <v>403</v>
      </c>
      <c r="E376" s="981"/>
      <c r="F376" s="981"/>
      <c r="G376" s="13">
        <f>SUM(G373:G375)</f>
        <v>2375</v>
      </c>
    </row>
    <row r="377" spans="1:7" ht="15" thickBot="1">
      <c r="A377" s="982" t="s">
        <v>1</v>
      </c>
      <c r="B377" s="983" t="s">
        <v>404</v>
      </c>
      <c r="C377" s="983"/>
      <c r="D377" s="983"/>
      <c r="E377" s="983"/>
      <c r="F377" s="983"/>
      <c r="G377" s="984"/>
    </row>
    <row r="378" spans="1:7" ht="15" thickBot="1">
      <c r="A378" s="982"/>
      <c r="B378" s="913" t="s">
        <v>396</v>
      </c>
      <c r="C378" s="914"/>
      <c r="D378" s="95" t="s">
        <v>3</v>
      </c>
      <c r="E378" s="242" t="s">
        <v>398</v>
      </c>
      <c r="F378" s="286" t="s">
        <v>397</v>
      </c>
      <c r="G378" s="97" t="s">
        <v>399</v>
      </c>
    </row>
    <row r="379" spans="1:7">
      <c r="A379" s="98"/>
      <c r="B379" s="928" t="s">
        <v>477</v>
      </c>
      <c r="C379" s="929"/>
      <c r="D379" s="99" t="s">
        <v>473</v>
      </c>
      <c r="E379" s="253">
        <v>92980</v>
      </c>
      <c r="F379" s="287">
        <v>0.2</v>
      </c>
      <c r="G379" s="102">
        <f t="shared" ref="G379" si="26">ROUND(E379*F379,)</f>
        <v>18596</v>
      </c>
    </row>
    <row r="380" spans="1:7" ht="15" thickBot="1">
      <c r="A380" s="996"/>
      <c r="B380" s="997"/>
      <c r="C380" s="998"/>
      <c r="D380" s="981" t="s">
        <v>415</v>
      </c>
      <c r="E380" s="981"/>
      <c r="F380" s="981"/>
      <c r="G380" s="13">
        <f>SUM(G379:G379)</f>
        <v>18596</v>
      </c>
    </row>
    <row r="381" spans="1:7" ht="15" thickBot="1">
      <c r="A381" s="982" t="s">
        <v>1</v>
      </c>
      <c r="B381" s="983" t="s">
        <v>416</v>
      </c>
      <c r="C381" s="983"/>
      <c r="D381" s="983"/>
      <c r="E381" s="983"/>
      <c r="F381" s="983"/>
      <c r="G381" s="984"/>
    </row>
    <row r="382" spans="1:7" ht="15" thickBot="1">
      <c r="A382" s="982"/>
      <c r="B382" s="913" t="s">
        <v>396</v>
      </c>
      <c r="C382" s="914"/>
      <c r="D382" s="95" t="s">
        <v>3</v>
      </c>
      <c r="E382" s="242" t="s">
        <v>398</v>
      </c>
      <c r="F382" s="286" t="s">
        <v>397</v>
      </c>
      <c r="G382" s="97" t="s">
        <v>399</v>
      </c>
    </row>
    <row r="383" spans="1:7" ht="15" thickBot="1">
      <c r="A383" s="103"/>
      <c r="B383" s="942"/>
      <c r="C383" s="943"/>
      <c r="D383" s="104"/>
      <c r="E383" s="247"/>
      <c r="F383" s="288"/>
      <c r="G383" s="106">
        <f>ROUND(F383*E383,)</f>
        <v>0</v>
      </c>
    </row>
    <row r="384" spans="1:7" ht="15" thickBot="1">
      <c r="A384" s="978"/>
      <c r="B384" s="979"/>
      <c r="C384" s="980"/>
      <c r="D384" s="981" t="s">
        <v>418</v>
      </c>
      <c r="E384" s="981"/>
      <c r="F384" s="981"/>
      <c r="G384" s="13">
        <f>SUM(G383:G383)</f>
        <v>0</v>
      </c>
    </row>
    <row r="385" spans="1:7" ht="15" thickBot="1">
      <c r="A385" s="982" t="s">
        <v>1</v>
      </c>
      <c r="B385" s="983" t="s">
        <v>419</v>
      </c>
      <c r="C385" s="983"/>
      <c r="D385" s="983"/>
      <c r="E385" s="983"/>
      <c r="F385" s="983"/>
      <c r="G385" s="984"/>
    </row>
    <row r="386" spans="1:7" ht="15" thickBot="1">
      <c r="A386" s="982"/>
      <c r="B386" s="913" t="s">
        <v>396</v>
      </c>
      <c r="C386" s="914"/>
      <c r="D386" s="95" t="s">
        <v>3</v>
      </c>
      <c r="E386" s="242" t="s">
        <v>4</v>
      </c>
      <c r="F386" s="289" t="s">
        <v>420</v>
      </c>
      <c r="G386" s="97" t="s">
        <v>399</v>
      </c>
    </row>
    <row r="387" spans="1:7">
      <c r="A387" s="108"/>
      <c r="B387" s="985" t="s">
        <v>421</v>
      </c>
      <c r="C387" s="986"/>
      <c r="D387" s="109" t="s">
        <v>467</v>
      </c>
      <c r="E387" s="254">
        <v>8.5000000000000006E-2</v>
      </c>
      <c r="F387" s="281">
        <f>_xlfn.IFNA(VLOOKUP(B387,'sub M. DE OBRA'!$B$4:$E$19997,4,FALSE),0)</f>
        <v>301253.33333333331</v>
      </c>
      <c r="G387" s="111">
        <f>+E387*F387</f>
        <v>25606.533333333333</v>
      </c>
    </row>
    <row r="388" spans="1:7" ht="15" thickBot="1">
      <c r="A388" s="987" t="s">
        <v>424</v>
      </c>
      <c r="B388" s="988"/>
      <c r="C388" s="989"/>
      <c r="D388" s="990" t="s">
        <v>425</v>
      </c>
      <c r="E388" s="990"/>
      <c r="F388" s="990"/>
      <c r="G388" s="14">
        <f>SUM(G387:G387)</f>
        <v>25606.533333333333</v>
      </c>
    </row>
    <row r="389" spans="1:7" ht="15" thickBot="1">
      <c r="A389" s="991"/>
      <c r="B389" s="991"/>
      <c r="C389" s="991"/>
      <c r="D389" s="992" t="s">
        <v>426</v>
      </c>
      <c r="E389" s="993"/>
      <c r="F389" s="993"/>
      <c r="G389" s="112">
        <f>ROUND(+G376+G380+G384+G388,)</f>
        <v>46578</v>
      </c>
    </row>
    <row r="390" spans="1:7">
      <c r="A390" s="49"/>
      <c r="B390" s="49"/>
      <c r="C390" s="49"/>
      <c r="D390" s="49"/>
      <c r="F390" s="307"/>
      <c r="G390" s="49"/>
    </row>
    <row r="391" spans="1:7" ht="15" thickBot="1">
      <c r="A391" s="1036" t="s">
        <v>389</v>
      </c>
      <c r="B391" s="1037"/>
      <c r="C391" s="1037"/>
      <c r="D391" s="1037"/>
      <c r="E391" s="1037"/>
      <c r="F391" s="1037"/>
      <c r="G391" s="1038"/>
    </row>
    <row r="392" spans="1:7" ht="15" thickBot="1">
      <c r="A392" s="1006" t="s">
        <v>390</v>
      </c>
      <c r="B392" s="1007"/>
      <c r="C392" s="1007"/>
      <c r="D392" s="1007"/>
      <c r="E392" s="1007"/>
      <c r="F392" s="272" t="s">
        <v>391</v>
      </c>
      <c r="G392" s="43">
        <f ca="1">TODAY()</f>
        <v>46071</v>
      </c>
    </row>
    <row r="393" spans="1:7" ht="15" thickBot="1">
      <c r="A393" s="953" t="str">
        <f>+'OFERTA ECONOMICA'!B26</f>
        <v>Rasqueteado sobre muros. Incluye botada de material, personal y andamios certificados para trabajos en alturas.</v>
      </c>
      <c r="B393" s="954"/>
      <c r="C393" s="954"/>
      <c r="D393" s="954"/>
      <c r="E393" s="955"/>
      <c r="F393" s="273" t="s">
        <v>392</v>
      </c>
      <c r="G393" s="45" t="s">
        <v>15</v>
      </c>
    </row>
    <row r="394" spans="1:7" ht="15" thickBot="1">
      <c r="A394" s="956"/>
      <c r="B394" s="957"/>
      <c r="C394" s="957"/>
      <c r="D394" s="957"/>
      <c r="E394" s="958"/>
      <c r="F394" s="273" t="s">
        <v>393</v>
      </c>
      <c r="G394" s="46">
        <v>1</v>
      </c>
    </row>
    <row r="395" spans="1:7" ht="15" thickBot="1">
      <c r="A395" s="959"/>
      <c r="B395" s="960"/>
      <c r="C395" s="960"/>
      <c r="D395" s="960"/>
      <c r="E395" s="961"/>
      <c r="F395" s="274" t="s">
        <v>394</v>
      </c>
      <c r="G395" s="48" t="s">
        <v>49</v>
      </c>
    </row>
    <row r="396" spans="1:7" ht="15" thickBot="1">
      <c r="A396" s="1008" t="s">
        <v>1</v>
      </c>
      <c r="B396" s="1009" t="s">
        <v>395</v>
      </c>
      <c r="C396" s="1009"/>
      <c r="D396" s="1009"/>
      <c r="E396" s="1009"/>
      <c r="F396" s="1009"/>
      <c r="G396" s="1010"/>
    </row>
    <row r="397" spans="1:7" ht="15" thickBot="1">
      <c r="A397" s="982"/>
      <c r="B397" s="913" t="s">
        <v>396</v>
      </c>
      <c r="C397" s="914"/>
      <c r="D397" s="95" t="s">
        <v>3</v>
      </c>
      <c r="E397" s="242" t="s">
        <v>398</v>
      </c>
      <c r="F397" s="286" t="s">
        <v>4</v>
      </c>
      <c r="G397" s="97" t="s">
        <v>399</v>
      </c>
    </row>
    <row r="398" spans="1:7">
      <c r="A398" s="87"/>
      <c r="B398" s="930" t="s">
        <v>427</v>
      </c>
      <c r="C398" s="931"/>
      <c r="D398" s="88" t="s">
        <v>428</v>
      </c>
      <c r="E398" s="251">
        <f>+G413</f>
        <v>18075.199999999997</v>
      </c>
      <c r="F398" s="284">
        <v>0.05</v>
      </c>
      <c r="G398" s="90">
        <f t="shared" ref="G398:G400" si="27">ROUND((E398*F398),0)</f>
        <v>904</v>
      </c>
    </row>
    <row r="399" spans="1:7">
      <c r="A399" s="91"/>
      <c r="B399" s="968" t="s">
        <v>462</v>
      </c>
      <c r="C399" s="969"/>
      <c r="D399" s="92" t="s">
        <v>430</v>
      </c>
      <c r="E399" s="252">
        <v>36500</v>
      </c>
      <c r="F399" s="285">
        <f>+E412</f>
        <v>0.06</v>
      </c>
      <c r="G399" s="94">
        <f t="shared" si="27"/>
        <v>2190</v>
      </c>
    </row>
    <row r="400" spans="1:7">
      <c r="A400" s="91"/>
      <c r="B400" s="968"/>
      <c r="C400" s="969"/>
      <c r="D400" s="92"/>
      <c r="E400" s="252"/>
      <c r="F400" s="285"/>
      <c r="G400" s="94">
        <f t="shared" si="27"/>
        <v>0</v>
      </c>
    </row>
    <row r="401" spans="1:7" ht="15" thickBot="1">
      <c r="A401" s="994"/>
      <c r="B401" s="995"/>
      <c r="C401" s="995"/>
      <c r="D401" s="981" t="s">
        <v>403</v>
      </c>
      <c r="E401" s="981"/>
      <c r="F401" s="981"/>
      <c r="G401" s="13">
        <f>SUM(G398:G400)</f>
        <v>3094</v>
      </c>
    </row>
    <row r="402" spans="1:7" ht="15" thickBot="1">
      <c r="A402" s="982" t="s">
        <v>1</v>
      </c>
      <c r="B402" s="983" t="s">
        <v>404</v>
      </c>
      <c r="C402" s="983"/>
      <c r="D402" s="983"/>
      <c r="E402" s="983"/>
      <c r="F402" s="983"/>
      <c r="G402" s="984"/>
    </row>
    <row r="403" spans="1:7" ht="15" thickBot="1">
      <c r="A403" s="982"/>
      <c r="B403" s="913" t="s">
        <v>396</v>
      </c>
      <c r="C403" s="914"/>
      <c r="D403" s="95" t="s">
        <v>3</v>
      </c>
      <c r="E403" s="242" t="s">
        <v>398</v>
      </c>
      <c r="F403" s="286" t="s">
        <v>397</v>
      </c>
      <c r="G403" s="97" t="s">
        <v>399</v>
      </c>
    </row>
    <row r="404" spans="1:7">
      <c r="A404" s="98"/>
      <c r="B404" s="928" t="s">
        <v>468</v>
      </c>
      <c r="C404" s="929"/>
      <c r="D404" s="99" t="s">
        <v>55</v>
      </c>
      <c r="E404" s="253">
        <v>1510</v>
      </c>
      <c r="F404" s="287">
        <v>0.5</v>
      </c>
      <c r="G404" s="102">
        <f t="shared" ref="G404" si="28">ROUND(E404*F404,)</f>
        <v>755</v>
      </c>
    </row>
    <row r="405" spans="1:7" ht="15" thickBot="1">
      <c r="A405" s="996"/>
      <c r="B405" s="997"/>
      <c r="C405" s="998"/>
      <c r="D405" s="981" t="s">
        <v>415</v>
      </c>
      <c r="E405" s="981"/>
      <c r="F405" s="981"/>
      <c r="G405" s="13">
        <f>SUM(G404:G404)</f>
        <v>755</v>
      </c>
    </row>
    <row r="406" spans="1:7" ht="15" thickBot="1">
      <c r="A406" s="982" t="s">
        <v>1</v>
      </c>
      <c r="B406" s="983" t="s">
        <v>416</v>
      </c>
      <c r="C406" s="983"/>
      <c r="D406" s="983"/>
      <c r="E406" s="983"/>
      <c r="F406" s="983"/>
      <c r="G406" s="984"/>
    </row>
    <row r="407" spans="1:7" ht="15" thickBot="1">
      <c r="A407" s="982"/>
      <c r="B407" s="913" t="s">
        <v>396</v>
      </c>
      <c r="C407" s="914"/>
      <c r="D407" s="95" t="s">
        <v>3</v>
      </c>
      <c r="E407" s="242" t="s">
        <v>398</v>
      </c>
      <c r="F407" s="286" t="s">
        <v>397</v>
      </c>
      <c r="G407" s="97" t="s">
        <v>399</v>
      </c>
    </row>
    <row r="408" spans="1:7" s="7" customFormat="1" ht="13.5" thickBot="1">
      <c r="A408" s="103"/>
      <c r="B408" s="942"/>
      <c r="C408" s="943"/>
      <c r="D408" s="104"/>
      <c r="E408" s="247"/>
      <c r="F408" s="288"/>
      <c r="G408" s="106">
        <f>ROUND(F408*E408,)</f>
        <v>0</v>
      </c>
    </row>
    <row r="409" spans="1:7" ht="15" thickBot="1">
      <c r="A409" s="978"/>
      <c r="B409" s="979"/>
      <c r="C409" s="980"/>
      <c r="D409" s="981" t="s">
        <v>418</v>
      </c>
      <c r="E409" s="981"/>
      <c r="F409" s="981"/>
      <c r="G409" s="13">
        <f>SUM(G408:G408)</f>
        <v>0</v>
      </c>
    </row>
    <row r="410" spans="1:7" ht="15" thickBot="1">
      <c r="A410" s="982" t="s">
        <v>1</v>
      </c>
      <c r="B410" s="983" t="s">
        <v>419</v>
      </c>
      <c r="C410" s="983"/>
      <c r="D410" s="983"/>
      <c r="E410" s="983"/>
      <c r="F410" s="983"/>
      <c r="G410" s="984"/>
    </row>
    <row r="411" spans="1:7" ht="15" thickBot="1">
      <c r="A411" s="982"/>
      <c r="B411" s="913" t="s">
        <v>396</v>
      </c>
      <c r="C411" s="914"/>
      <c r="D411" s="95" t="s">
        <v>3</v>
      </c>
      <c r="E411" s="242" t="s">
        <v>4</v>
      </c>
      <c r="F411" s="289" t="s">
        <v>420</v>
      </c>
      <c r="G411" s="97" t="s">
        <v>399</v>
      </c>
    </row>
    <row r="412" spans="1:7">
      <c r="A412" s="108"/>
      <c r="B412" s="985" t="s">
        <v>421</v>
      </c>
      <c r="C412" s="986"/>
      <c r="D412" s="109" t="s">
        <v>467</v>
      </c>
      <c r="E412" s="254">
        <v>0.06</v>
      </c>
      <c r="F412" s="281">
        <f>_xlfn.IFNA(VLOOKUP(B412,'sub M. DE OBRA'!$B$4:$E$19997,4,FALSE),0)</f>
        <v>301253.33333333331</v>
      </c>
      <c r="G412" s="111">
        <f>+E412*F412</f>
        <v>18075.199999999997</v>
      </c>
    </row>
    <row r="413" spans="1:7" ht="15" thickBot="1">
      <c r="A413" s="987" t="s">
        <v>424</v>
      </c>
      <c r="B413" s="988"/>
      <c r="C413" s="989"/>
      <c r="D413" s="990" t="s">
        <v>425</v>
      </c>
      <c r="E413" s="990"/>
      <c r="F413" s="990"/>
      <c r="G413" s="14">
        <f>SUM(G412:G412)</f>
        <v>18075.199999999997</v>
      </c>
    </row>
    <row r="414" spans="1:7" ht="15" thickBot="1">
      <c r="A414" s="991"/>
      <c r="B414" s="991"/>
      <c r="C414" s="991"/>
      <c r="D414" s="992" t="s">
        <v>426</v>
      </c>
      <c r="E414" s="993"/>
      <c r="F414" s="993"/>
      <c r="G414" s="112">
        <f>ROUND(+G401+G405+G409+G413,)</f>
        <v>21924</v>
      </c>
    </row>
    <row r="415" spans="1:7" ht="15" thickBot="1">
      <c r="A415" s="49"/>
      <c r="B415" s="49"/>
      <c r="C415" s="49"/>
      <c r="D415" s="49"/>
      <c r="F415" s="307"/>
      <c r="G415" s="49"/>
    </row>
    <row r="416" spans="1:7" ht="15" thickBot="1">
      <c r="A416" s="1101" t="s">
        <v>389</v>
      </c>
      <c r="B416" s="1102"/>
      <c r="C416" s="1102"/>
      <c r="D416" s="1102"/>
      <c r="E416" s="1102"/>
      <c r="F416" s="1102"/>
      <c r="G416" s="1103"/>
    </row>
    <row r="417" spans="1:7" ht="15" thickBot="1">
      <c r="A417" s="1104" t="s">
        <v>390</v>
      </c>
      <c r="B417" s="1105"/>
      <c r="C417" s="1105"/>
      <c r="D417" s="1105"/>
      <c r="E417" s="1105"/>
      <c r="F417" s="313" t="s">
        <v>391</v>
      </c>
      <c r="G417" s="191">
        <f ca="1">TODAY()</f>
        <v>46071</v>
      </c>
    </row>
    <row r="418" spans="1:7" ht="15" thickBot="1">
      <c r="A418" s="953" t="str">
        <f>+'OFERTA ECONOMICA'!B28</f>
        <v>Suministro, transporte e instalación de abrazaderas de diàmetros 2", 3" y 4" para fijación de tuberías. Incluye retiro de la existente, chazos , tornillos y todos los elementos necesarios para su correcta instalación.</v>
      </c>
      <c r="B418" s="954"/>
      <c r="C418" s="954"/>
      <c r="D418" s="954"/>
      <c r="E418" s="955"/>
      <c r="F418" s="273" t="s">
        <v>392</v>
      </c>
      <c r="G418" s="45" t="s">
        <v>55</v>
      </c>
    </row>
    <row r="419" spans="1:7" ht="15" thickBot="1">
      <c r="A419" s="956"/>
      <c r="B419" s="957"/>
      <c r="C419" s="957"/>
      <c r="D419" s="957"/>
      <c r="E419" s="958"/>
      <c r="F419" s="273" t="s">
        <v>393</v>
      </c>
      <c r="G419" s="46">
        <v>1</v>
      </c>
    </row>
    <row r="420" spans="1:7" ht="15" thickBot="1">
      <c r="A420" s="959"/>
      <c r="B420" s="960"/>
      <c r="C420" s="960"/>
      <c r="D420" s="960"/>
      <c r="E420" s="961"/>
      <c r="F420" s="274" t="s">
        <v>394</v>
      </c>
      <c r="G420" s="48" t="s">
        <v>53</v>
      </c>
    </row>
    <row r="421" spans="1:7" ht="15" thickBot="1">
      <c r="A421" s="1063" t="s">
        <v>1</v>
      </c>
      <c r="B421" s="1064" t="s">
        <v>395</v>
      </c>
      <c r="C421" s="1064"/>
      <c r="D421" s="1064"/>
      <c r="E421" s="1064"/>
      <c r="F421" s="1064"/>
      <c r="G421" s="1065"/>
    </row>
    <row r="422" spans="1:7" ht="15" thickBot="1">
      <c r="A422" s="1042"/>
      <c r="B422" s="1045" t="s">
        <v>396</v>
      </c>
      <c r="C422" s="1046"/>
      <c r="D422" s="50" t="s">
        <v>3</v>
      </c>
      <c r="E422" s="242" t="s">
        <v>439</v>
      </c>
      <c r="F422" s="314" t="s">
        <v>478</v>
      </c>
      <c r="G422" s="52" t="s">
        <v>399</v>
      </c>
    </row>
    <row r="423" spans="1:7" ht="15" thickBot="1">
      <c r="A423" s="53"/>
      <c r="B423" s="1066" t="s">
        <v>427</v>
      </c>
      <c r="C423" s="1067"/>
      <c r="D423" s="54" t="s">
        <v>428</v>
      </c>
      <c r="E423" s="243">
        <v>0.05</v>
      </c>
      <c r="F423" s="276">
        <f>+G441</f>
        <v>15062.666666666666</v>
      </c>
      <c r="G423" s="57">
        <f>ROUND((E423*F423),0)</f>
        <v>753</v>
      </c>
    </row>
    <row r="424" spans="1:7" ht="15" thickBot="1">
      <c r="A424" s="58"/>
      <c r="B424" s="1066"/>
      <c r="C424" s="1067"/>
      <c r="D424" s="54"/>
      <c r="E424" s="243"/>
      <c r="F424" s="276"/>
      <c r="G424" s="57">
        <f>ROUND((E424*F424),0)</f>
        <v>0</v>
      </c>
    </row>
    <row r="425" spans="1:7">
      <c r="A425" s="58"/>
      <c r="B425" s="1083"/>
      <c r="C425" s="1084"/>
      <c r="D425" s="59"/>
      <c r="E425" s="243"/>
      <c r="F425" s="276"/>
      <c r="G425" s="57">
        <f>ROUND((E425*F425),0)</f>
        <v>0</v>
      </c>
    </row>
    <row r="426" spans="1:7" ht="15" thickBot="1">
      <c r="A426" s="61"/>
      <c r="B426" s="1068"/>
      <c r="C426" s="1069"/>
      <c r="D426" s="62"/>
      <c r="E426" s="244"/>
      <c r="F426" s="277"/>
      <c r="G426" s="63"/>
    </row>
    <row r="427" spans="1:7" ht="15" thickBot="1">
      <c r="A427" s="1070"/>
      <c r="B427" s="1071"/>
      <c r="C427" s="1071"/>
      <c r="D427" s="1052" t="s">
        <v>403</v>
      </c>
      <c r="E427" s="1052"/>
      <c r="F427" s="1052"/>
      <c r="G427" s="35">
        <f>SUM(G423:G426)</f>
        <v>753</v>
      </c>
    </row>
    <row r="428" spans="1:7" ht="15" thickBot="1">
      <c r="A428" s="1042" t="s">
        <v>1</v>
      </c>
      <c r="B428" s="1043" t="s">
        <v>404</v>
      </c>
      <c r="C428" s="1043"/>
      <c r="D428" s="1043"/>
      <c r="E428" s="1043"/>
      <c r="F428" s="1043"/>
      <c r="G428" s="1044"/>
    </row>
    <row r="429" spans="1:7" ht="15" thickBot="1">
      <c r="A429" s="1042"/>
      <c r="B429" s="1045" t="s">
        <v>396</v>
      </c>
      <c r="C429" s="1046"/>
      <c r="D429" s="50" t="s">
        <v>3</v>
      </c>
      <c r="E429" s="242" t="s">
        <v>439</v>
      </c>
      <c r="F429" s="314" t="s">
        <v>478</v>
      </c>
      <c r="G429" s="52" t="s">
        <v>399</v>
      </c>
    </row>
    <row r="430" spans="1:7">
      <c r="A430" s="64"/>
      <c r="B430" s="1066" t="s">
        <v>479</v>
      </c>
      <c r="C430" s="1067"/>
      <c r="D430" s="54" t="s">
        <v>55</v>
      </c>
      <c r="E430" s="243">
        <v>1</v>
      </c>
      <c r="F430" s="276">
        <v>6347</v>
      </c>
      <c r="G430" s="65">
        <f t="shared" ref="G430" si="29">ROUND(E430*F430,)</f>
        <v>6347</v>
      </c>
    </row>
    <row r="431" spans="1:7" ht="15" thickBot="1">
      <c r="A431" s="1072"/>
      <c r="B431" s="1073"/>
      <c r="C431" s="1074"/>
      <c r="D431" s="1052" t="s">
        <v>415</v>
      </c>
      <c r="E431" s="1052"/>
      <c r="F431" s="1052"/>
      <c r="G431" s="35">
        <f>SUM(G430:G430)</f>
        <v>6347</v>
      </c>
    </row>
    <row r="432" spans="1:7" ht="15" thickBot="1">
      <c r="A432" s="1042" t="s">
        <v>1</v>
      </c>
      <c r="B432" s="1043" t="s">
        <v>416</v>
      </c>
      <c r="C432" s="1043"/>
      <c r="D432" s="1043"/>
      <c r="E432" s="1043"/>
      <c r="F432" s="1043"/>
      <c r="G432" s="1044"/>
    </row>
    <row r="433" spans="1:7" ht="15" thickBot="1">
      <c r="A433" s="1042"/>
      <c r="B433" s="1045" t="s">
        <v>396</v>
      </c>
      <c r="C433" s="1046"/>
      <c r="D433" s="50" t="s">
        <v>3</v>
      </c>
      <c r="E433" s="242" t="s">
        <v>398</v>
      </c>
      <c r="F433" s="314" t="s">
        <v>397</v>
      </c>
      <c r="G433" s="52" t="s">
        <v>399</v>
      </c>
    </row>
    <row r="434" spans="1:7">
      <c r="A434" s="69"/>
      <c r="B434" s="938"/>
      <c r="C434" s="939"/>
      <c r="D434" s="70"/>
      <c r="E434" s="246"/>
      <c r="F434" s="281"/>
      <c r="G434" s="71">
        <f>ROUND(F434*E434,)</f>
        <v>0</v>
      </c>
    </row>
    <row r="435" spans="1:7" ht="15" thickBot="1">
      <c r="A435" s="72"/>
      <c r="B435" s="1047"/>
      <c r="C435" s="1048"/>
      <c r="D435" s="73"/>
      <c r="E435" s="247"/>
      <c r="F435" s="279"/>
      <c r="G435" s="74">
        <f>ROUND(F435*E435,)</f>
        <v>0</v>
      </c>
    </row>
    <row r="436" spans="1:7" ht="15" thickBot="1">
      <c r="A436" s="1049"/>
      <c r="B436" s="1050"/>
      <c r="C436" s="1051"/>
      <c r="D436" s="1052" t="s">
        <v>418</v>
      </c>
      <c r="E436" s="1052"/>
      <c r="F436" s="1052"/>
      <c r="G436" s="35">
        <f>SUM(G434:G435)</f>
        <v>0</v>
      </c>
    </row>
    <row r="437" spans="1:7" ht="15" thickBot="1">
      <c r="A437" s="1042" t="s">
        <v>1</v>
      </c>
      <c r="B437" s="1043" t="s">
        <v>419</v>
      </c>
      <c r="C437" s="1043"/>
      <c r="D437" s="1043"/>
      <c r="E437" s="1043"/>
      <c r="F437" s="1043"/>
      <c r="G437" s="1044"/>
    </row>
    <row r="438" spans="1:7" ht="15" thickBot="1">
      <c r="A438" s="1042"/>
      <c r="B438" s="1045" t="s">
        <v>396</v>
      </c>
      <c r="C438" s="1046"/>
      <c r="D438" s="50" t="s">
        <v>3</v>
      </c>
      <c r="E438" s="242" t="s">
        <v>4</v>
      </c>
      <c r="F438" s="280" t="s">
        <v>420</v>
      </c>
      <c r="G438" s="52" t="s">
        <v>399</v>
      </c>
    </row>
    <row r="439" spans="1:7" s="7" customFormat="1" ht="13.5" thickBot="1">
      <c r="A439" s="69"/>
      <c r="B439" s="1053" t="s">
        <v>480</v>
      </c>
      <c r="C439" s="1054"/>
      <c r="D439" s="70" t="s">
        <v>422</v>
      </c>
      <c r="E439" s="243">
        <v>0.05</v>
      </c>
      <c r="F439" s="281">
        <f>_xlfn.IFNA(VLOOKUP(B439,'sub M. DE OBRA'!$B$4:$E$19997,4,FALSE),0)</f>
        <v>301253.33333333331</v>
      </c>
      <c r="G439" s="71">
        <f>+E439*F439</f>
        <v>15062.666666666666</v>
      </c>
    </row>
    <row r="440" spans="1:7" s="7" customFormat="1" ht="12.75">
      <c r="A440" s="76"/>
      <c r="B440" s="187"/>
      <c r="C440" s="188"/>
      <c r="D440" s="189"/>
      <c r="E440" s="248"/>
      <c r="F440" s="282"/>
      <c r="G440" s="190"/>
    </row>
    <row r="441" spans="1:7" s="7" customFormat="1" ht="13.5" thickBot="1">
      <c r="A441" s="1055" t="s">
        <v>424</v>
      </c>
      <c r="B441" s="1056"/>
      <c r="C441" s="1057"/>
      <c r="D441" s="1058" t="s">
        <v>425</v>
      </c>
      <c r="E441" s="1058"/>
      <c r="F441" s="1058"/>
      <c r="G441" s="36">
        <f>SUM(G439:G440)</f>
        <v>15062.666666666666</v>
      </c>
    </row>
    <row r="442" spans="1:7" s="7" customFormat="1" ht="13.5" thickBot="1">
      <c r="A442" s="1059"/>
      <c r="B442" s="1059"/>
      <c r="C442" s="1060"/>
      <c r="D442" s="1061" t="s">
        <v>426</v>
      </c>
      <c r="E442" s="1062"/>
      <c r="F442" s="1062"/>
      <c r="G442" s="78">
        <f>ROUND(G427+G431+G436+G441,0)</f>
        <v>22163</v>
      </c>
    </row>
    <row r="443" spans="1:7" ht="15.75" thickBot="1">
      <c r="A443" s="162"/>
      <c r="B443" s="162"/>
      <c r="C443" s="162"/>
      <c r="D443" s="162"/>
      <c r="E443" s="258"/>
      <c r="F443" s="301"/>
      <c r="G443" s="162"/>
    </row>
    <row r="444" spans="1:7" ht="15" thickBot="1">
      <c r="A444" s="1027" t="s">
        <v>389</v>
      </c>
      <c r="B444" s="1028"/>
      <c r="C444" s="1028"/>
      <c r="D444" s="1028"/>
      <c r="E444" s="1028"/>
      <c r="F444" s="1028"/>
      <c r="G444" s="1029"/>
    </row>
    <row r="445" spans="1:7" ht="15" thickBot="1">
      <c r="A445" s="950" t="s">
        <v>390</v>
      </c>
      <c r="B445" s="951"/>
      <c r="C445" s="951"/>
      <c r="D445" s="951"/>
      <c r="E445" s="952"/>
      <c r="F445" s="272" t="s">
        <v>391</v>
      </c>
      <c r="G445" s="43">
        <f ca="1">TODAY()</f>
        <v>46071</v>
      </c>
    </row>
    <row r="446" spans="1:7" ht="15" thickBot="1">
      <c r="A446" s="1018" t="str">
        <f>+'OFERTA ECONOMICA'!B29</f>
        <v>Suministro y colocación de tubería PVC Ø =  4" para bajantes de aguas lluvias . Incluye: accesorios, abrazaderas con empaque de caucho y fijación mecánica, limpiador y soldadura, y pintura abase de aceite (de uso esxterior) para acabado final , color a definir por la interventoria.</v>
      </c>
      <c r="B446" s="1019"/>
      <c r="C446" s="1019"/>
      <c r="D446" s="1019"/>
      <c r="E446" s="1020"/>
      <c r="F446" s="273" t="s">
        <v>392</v>
      </c>
      <c r="G446" s="45" t="s">
        <v>12</v>
      </c>
    </row>
    <row r="447" spans="1:7" ht="15" thickBot="1">
      <c r="A447" s="1021"/>
      <c r="B447" s="1022"/>
      <c r="C447" s="1022"/>
      <c r="D447" s="1022"/>
      <c r="E447" s="1023"/>
      <c r="F447" s="273" t="s">
        <v>393</v>
      </c>
      <c r="G447" s="46">
        <v>1</v>
      </c>
    </row>
    <row r="448" spans="1:7" ht="15" thickBot="1">
      <c r="A448" s="1024"/>
      <c r="B448" s="1025"/>
      <c r="C448" s="1025"/>
      <c r="D448" s="1025"/>
      <c r="E448" s="1026"/>
      <c r="F448" s="274" t="s">
        <v>394</v>
      </c>
      <c r="G448" s="48" t="s">
        <v>56</v>
      </c>
    </row>
    <row r="449" spans="1:7" ht="15" thickBot="1">
      <c r="A449" s="962" t="s">
        <v>1</v>
      </c>
      <c r="B449" s="963" t="s">
        <v>395</v>
      </c>
      <c r="C449" s="964"/>
      <c r="D449" s="964"/>
      <c r="E449" s="964"/>
      <c r="F449" s="964"/>
      <c r="G449" s="965"/>
    </row>
    <row r="450" spans="1:7" ht="15" thickBot="1">
      <c r="A450" s="909"/>
      <c r="B450" s="913" t="s">
        <v>396</v>
      </c>
      <c r="C450" s="914"/>
      <c r="D450" s="95" t="s">
        <v>3</v>
      </c>
      <c r="E450" s="242" t="s">
        <v>398</v>
      </c>
      <c r="F450" s="286" t="s">
        <v>439</v>
      </c>
      <c r="G450" s="113" t="s">
        <v>399</v>
      </c>
    </row>
    <row r="451" spans="1:7" ht="15" thickBot="1">
      <c r="A451" s="114"/>
      <c r="B451" s="966" t="s">
        <v>427</v>
      </c>
      <c r="C451" s="967"/>
      <c r="D451" s="88" t="s">
        <v>428</v>
      </c>
      <c r="E451" s="251">
        <f>+G482</f>
        <v>45188</v>
      </c>
      <c r="F451" s="284">
        <v>0.05</v>
      </c>
      <c r="G451" s="117">
        <f>ROUND((E451*F451),0)</f>
        <v>2259</v>
      </c>
    </row>
    <row r="452" spans="1:7" ht="15" thickBot="1">
      <c r="A452" s="114"/>
      <c r="B452" s="966" t="s">
        <v>481</v>
      </c>
      <c r="C452" s="967"/>
      <c r="D452" s="88" t="s">
        <v>430</v>
      </c>
      <c r="E452" s="251">
        <v>3482</v>
      </c>
      <c r="F452" s="284">
        <v>0.3</v>
      </c>
      <c r="G452" s="117">
        <f>ROUND((E452*F452),0)</f>
        <v>1045</v>
      </c>
    </row>
    <row r="453" spans="1:7">
      <c r="A453" s="154"/>
      <c r="B453" s="968"/>
      <c r="C453" s="969"/>
      <c r="D453" s="171"/>
      <c r="E453" s="260"/>
      <c r="F453" s="285"/>
      <c r="G453" s="149">
        <f>ROUND((E453*F453),0)</f>
        <v>0</v>
      </c>
    </row>
    <row r="454" spans="1:7" ht="15" thickBot="1">
      <c r="A454" s="970"/>
      <c r="B454" s="971"/>
      <c r="C454" s="972"/>
      <c r="D454" s="973" t="s">
        <v>403</v>
      </c>
      <c r="E454" s="974"/>
      <c r="F454" s="975"/>
      <c r="G454" s="11">
        <f>SUM(G451:G453)</f>
        <v>3304</v>
      </c>
    </row>
    <row r="455" spans="1:7" ht="15" thickBot="1">
      <c r="A455" s="908" t="s">
        <v>1</v>
      </c>
      <c r="B455" s="910" t="s">
        <v>404</v>
      </c>
      <c r="C455" s="911"/>
      <c r="D455" s="911"/>
      <c r="E455" s="911"/>
      <c r="F455" s="911"/>
      <c r="G455" s="912"/>
    </row>
    <row r="456" spans="1:7" ht="15" thickBot="1">
      <c r="A456" s="909"/>
      <c r="B456" s="913" t="s">
        <v>396</v>
      </c>
      <c r="C456" s="914"/>
      <c r="D456" s="95" t="s">
        <v>3</v>
      </c>
      <c r="E456" s="242" t="s">
        <v>398</v>
      </c>
      <c r="F456" s="286" t="s">
        <v>397</v>
      </c>
      <c r="G456" s="113" t="s">
        <v>399</v>
      </c>
    </row>
    <row r="457" spans="1:7" ht="15" thickBot="1">
      <c r="A457" s="122"/>
      <c r="B457" s="976" t="s">
        <v>482</v>
      </c>
      <c r="C457" s="977"/>
      <c r="D457" s="88" t="s">
        <v>12</v>
      </c>
      <c r="E457" s="251">
        <v>37396.5</v>
      </c>
      <c r="F457" s="284">
        <v>1.05</v>
      </c>
      <c r="G457" s="149">
        <f>ROUND((E457*F457),0)</f>
        <v>39266</v>
      </c>
    </row>
    <row r="458" spans="1:7" ht="15" thickBot="1">
      <c r="A458" s="122"/>
      <c r="B458" s="976" t="s">
        <v>483</v>
      </c>
      <c r="C458" s="977"/>
      <c r="D458" s="88" t="s">
        <v>55</v>
      </c>
      <c r="E458" s="251">
        <v>11133.735199999999</v>
      </c>
      <c r="F458" s="284">
        <v>0.16667000000000001</v>
      </c>
      <c r="G458" s="149">
        <f>ROUND((E458*F458),0)</f>
        <v>1856</v>
      </c>
    </row>
    <row r="459" spans="1:7" ht="15" thickBot="1">
      <c r="A459" s="122"/>
      <c r="B459" s="976" t="s">
        <v>484</v>
      </c>
      <c r="C459" s="977"/>
      <c r="D459" s="88" t="s">
        <v>55</v>
      </c>
      <c r="E459" s="251">
        <v>21498.397199999999</v>
      </c>
      <c r="F459" s="284">
        <v>0.1</v>
      </c>
      <c r="G459" s="149">
        <f>ROUND((E459*F459),0)</f>
        <v>2150</v>
      </c>
    </row>
    <row r="460" spans="1:7" ht="15" thickBot="1">
      <c r="A460" s="155"/>
      <c r="B460" s="930" t="s">
        <v>485</v>
      </c>
      <c r="C460" s="931"/>
      <c r="D460" s="88" t="s">
        <v>55</v>
      </c>
      <c r="E460" s="251">
        <v>23558.596599999997</v>
      </c>
      <c r="F460" s="284">
        <v>0.1</v>
      </c>
      <c r="G460" s="149">
        <f>ROUND((E460*F460),0)</f>
        <v>2356</v>
      </c>
    </row>
    <row r="461" spans="1:7" ht="15" thickBot="1">
      <c r="A461" s="155"/>
      <c r="B461" s="930" t="s">
        <v>486</v>
      </c>
      <c r="C461" s="931"/>
      <c r="D461" s="88" t="s">
        <v>55</v>
      </c>
      <c r="E461" s="251">
        <v>38903.134900000005</v>
      </c>
      <c r="F461" s="284">
        <v>0.1</v>
      </c>
      <c r="G461" s="149">
        <f>ROUND((E461*F461),0)</f>
        <v>3890</v>
      </c>
    </row>
    <row r="462" spans="1:7" ht="15" thickBot="1">
      <c r="A462" s="178"/>
      <c r="B462" s="926" t="s">
        <v>487</v>
      </c>
      <c r="C462" s="927"/>
      <c r="D462" s="88" t="s">
        <v>55</v>
      </c>
      <c r="E462" s="261">
        <v>33393.565800000004</v>
      </c>
      <c r="F462" s="284">
        <v>0.1</v>
      </c>
      <c r="G462" s="181">
        <f>ROUND(E462*F462,)</f>
        <v>3339</v>
      </c>
    </row>
    <row r="463" spans="1:7" ht="15" thickBot="1">
      <c r="A463" s="122"/>
      <c r="B463" s="976" t="s">
        <v>488</v>
      </c>
      <c r="C463" s="977"/>
      <c r="D463" s="88" t="s">
        <v>55</v>
      </c>
      <c r="E463" s="261">
        <v>33393.565800000004</v>
      </c>
      <c r="F463" s="284">
        <v>0.1</v>
      </c>
      <c r="G463" s="149">
        <f t="shared" ref="G463:G469" si="30">ROUND((E463*F463),0)</f>
        <v>3339</v>
      </c>
    </row>
    <row r="464" spans="1:7" ht="15" thickBot="1">
      <c r="A464" s="122"/>
      <c r="B464" s="976" t="s">
        <v>489</v>
      </c>
      <c r="C464" s="977"/>
      <c r="D464" s="88" t="s">
        <v>55</v>
      </c>
      <c r="E464" s="251">
        <v>23558.596599999997</v>
      </c>
      <c r="F464" s="284">
        <v>0.1</v>
      </c>
      <c r="G464" s="149">
        <f t="shared" si="30"/>
        <v>2356</v>
      </c>
    </row>
    <row r="465" spans="1:7" ht="15" thickBot="1">
      <c r="A465" s="122"/>
      <c r="B465" s="976" t="s">
        <v>490</v>
      </c>
      <c r="C465" s="977"/>
      <c r="D465" s="88" t="s">
        <v>55</v>
      </c>
      <c r="E465" s="251">
        <v>33393.565800000004</v>
      </c>
      <c r="F465" s="284">
        <v>0.1</v>
      </c>
      <c r="G465" s="149">
        <f t="shared" si="30"/>
        <v>3339</v>
      </c>
    </row>
    <row r="466" spans="1:7" ht="15" thickBot="1">
      <c r="A466" s="155"/>
      <c r="B466" s="930" t="s">
        <v>491</v>
      </c>
      <c r="C466" s="931"/>
      <c r="D466" s="88" t="s">
        <v>55</v>
      </c>
      <c r="E466" s="251">
        <v>6334</v>
      </c>
      <c r="F466" s="284">
        <v>0.5</v>
      </c>
      <c r="G466" s="149">
        <f t="shared" si="30"/>
        <v>3167</v>
      </c>
    </row>
    <row r="467" spans="1:7" ht="15" thickBot="1">
      <c r="A467" s="155"/>
      <c r="B467" s="930" t="s">
        <v>492</v>
      </c>
      <c r="C467" s="931"/>
      <c r="D467" s="88" t="s">
        <v>55</v>
      </c>
      <c r="E467" s="251">
        <v>45900</v>
      </c>
      <c r="F467" s="284">
        <v>8.9372027809322435E-2</v>
      </c>
      <c r="G467" s="149">
        <f t="shared" si="30"/>
        <v>4102</v>
      </c>
    </row>
    <row r="468" spans="1:7" ht="15" thickBot="1">
      <c r="A468" s="155"/>
      <c r="B468" s="930" t="s">
        <v>493</v>
      </c>
      <c r="C468" s="931"/>
      <c r="D468" s="88" t="s">
        <v>473</v>
      </c>
      <c r="E468" s="251">
        <v>148900</v>
      </c>
      <c r="F468" s="284">
        <v>6.7029020856991833E-2</v>
      </c>
      <c r="G468" s="149">
        <f t="shared" si="30"/>
        <v>9981</v>
      </c>
    </row>
    <row r="469" spans="1:7" ht="15" thickBot="1">
      <c r="A469" s="155"/>
      <c r="B469" s="930" t="s">
        <v>494</v>
      </c>
      <c r="C469" s="931"/>
      <c r="D469" s="88" t="s">
        <v>55</v>
      </c>
      <c r="E469" s="251">
        <v>65912.91</v>
      </c>
      <c r="F469" s="284">
        <v>2.1999999999999999E-2</v>
      </c>
      <c r="G469" s="149">
        <f t="shared" si="30"/>
        <v>1450</v>
      </c>
    </row>
    <row r="470" spans="1:7" ht="15" thickBot="1">
      <c r="A470" s="178"/>
      <c r="B470" s="926" t="s">
        <v>495</v>
      </c>
      <c r="C470" s="927"/>
      <c r="D470" s="88" t="s">
        <v>55</v>
      </c>
      <c r="E470" s="261">
        <v>136698.87</v>
      </c>
      <c r="F470" s="284">
        <v>2.1999999999999999E-2</v>
      </c>
      <c r="G470" s="181">
        <f>ROUND(E470*F470,)</f>
        <v>3007</v>
      </c>
    </row>
    <row r="471" spans="1:7" ht="15" thickBot="1">
      <c r="A471" s="932"/>
      <c r="B471" s="933"/>
      <c r="C471" s="934"/>
      <c r="D471" s="935" t="s">
        <v>415</v>
      </c>
      <c r="E471" s="936"/>
      <c r="F471" s="937"/>
      <c r="G471" s="18">
        <f>SUM(G457:G470)</f>
        <v>83598</v>
      </c>
    </row>
    <row r="472" spans="1:7" ht="15" thickBot="1">
      <c r="A472" s="908" t="s">
        <v>1</v>
      </c>
      <c r="B472" s="910" t="s">
        <v>416</v>
      </c>
      <c r="C472" s="911"/>
      <c r="D472" s="911"/>
      <c r="E472" s="911"/>
      <c r="F472" s="911"/>
      <c r="G472" s="912"/>
    </row>
    <row r="473" spans="1:7" ht="15" thickBot="1">
      <c r="A473" s="909"/>
      <c r="B473" s="913" t="s">
        <v>396</v>
      </c>
      <c r="C473" s="914"/>
      <c r="D473" s="95" t="s">
        <v>3</v>
      </c>
      <c r="E473" s="242" t="s">
        <v>398</v>
      </c>
      <c r="F473" s="286" t="s">
        <v>397</v>
      </c>
      <c r="G473" s="113" t="s">
        <v>399</v>
      </c>
    </row>
    <row r="474" spans="1:7" ht="15" thickBot="1">
      <c r="A474" s="127"/>
      <c r="B474" s="942" t="s">
        <v>436</v>
      </c>
      <c r="C474" s="943"/>
      <c r="D474" s="104" t="s">
        <v>28</v>
      </c>
      <c r="E474" s="247">
        <v>22500</v>
      </c>
      <c r="F474" s="284">
        <v>0.15</v>
      </c>
      <c r="G474" s="159">
        <f>ROUND(F474*E474,)</f>
        <v>3375</v>
      </c>
    </row>
    <row r="475" spans="1:7">
      <c r="A475" s="156"/>
      <c r="B475" s="940" t="s">
        <v>402</v>
      </c>
      <c r="C475" s="941"/>
      <c r="D475" s="157" t="s">
        <v>402</v>
      </c>
      <c r="E475" s="259"/>
      <c r="F475" s="303"/>
      <c r="G475" s="159">
        <f>ROUND(F475*E475,)</f>
        <v>0</v>
      </c>
    </row>
    <row r="476" spans="1:7" ht="15" thickBot="1">
      <c r="A476" s="130"/>
      <c r="B476" s="942" t="s">
        <v>402</v>
      </c>
      <c r="C476" s="943"/>
      <c r="D476" s="104" t="s">
        <v>402</v>
      </c>
      <c r="E476" s="247"/>
      <c r="F476" s="288"/>
      <c r="G476" s="131">
        <f>ROUND(F476*E476,)</f>
        <v>0</v>
      </c>
    </row>
    <row r="477" spans="1:7" ht="15" thickBot="1">
      <c r="A477" s="944"/>
      <c r="B477" s="945"/>
      <c r="C477" s="946"/>
      <c r="D477" s="947" t="s">
        <v>418</v>
      </c>
      <c r="E477" s="948"/>
      <c r="F477" s="949"/>
      <c r="G477" s="11">
        <f>SUM(G474:G476)</f>
        <v>3375</v>
      </c>
    </row>
    <row r="478" spans="1:7" ht="15" thickBot="1">
      <c r="A478" s="908" t="s">
        <v>1</v>
      </c>
      <c r="B478" s="910" t="s">
        <v>419</v>
      </c>
      <c r="C478" s="911"/>
      <c r="D478" s="911"/>
      <c r="E478" s="911"/>
      <c r="F478" s="911"/>
      <c r="G478" s="912"/>
    </row>
    <row r="479" spans="1:7" ht="15" thickBot="1">
      <c r="A479" s="909"/>
      <c r="B479" s="913" t="s">
        <v>396</v>
      </c>
      <c r="C479" s="914"/>
      <c r="D479" s="95" t="s">
        <v>3</v>
      </c>
      <c r="E479" s="242" t="s">
        <v>398</v>
      </c>
      <c r="F479" s="286" t="s">
        <v>397</v>
      </c>
      <c r="G479" s="113" t="s">
        <v>399</v>
      </c>
    </row>
    <row r="480" spans="1:7" ht="15" thickBot="1">
      <c r="A480" s="122"/>
      <c r="B480" s="985" t="s">
        <v>480</v>
      </c>
      <c r="C480" s="986"/>
      <c r="D480" s="109" t="s">
        <v>422</v>
      </c>
      <c r="E480" s="281">
        <f>_xlfn.IFNA(VLOOKUP(B480,'sub M. DE OBRA'!$B$4:$E$19997,4,FALSE),0)</f>
        <v>301253.33333333331</v>
      </c>
      <c r="F480" s="304">
        <v>0.15</v>
      </c>
      <c r="G480" s="129">
        <f>ROUND(F480*E480,)</f>
        <v>45188</v>
      </c>
    </row>
    <row r="481" spans="1:7" s="7" customFormat="1" ht="13.5" thickBot="1">
      <c r="A481" s="165"/>
      <c r="B481" s="985"/>
      <c r="C481" s="986"/>
      <c r="D481" s="168"/>
      <c r="E481" s="262"/>
      <c r="F481" s="306"/>
      <c r="G481" s="170">
        <f>ROUND(E481*F481*C481,0)</f>
        <v>0</v>
      </c>
    </row>
    <row r="482" spans="1:7" ht="15" thickBot="1">
      <c r="A482" s="915" t="s">
        <v>424</v>
      </c>
      <c r="B482" s="916"/>
      <c r="C482" s="917"/>
      <c r="D482" s="918" t="s">
        <v>425</v>
      </c>
      <c r="E482" s="919"/>
      <c r="F482" s="920"/>
      <c r="G482" s="12">
        <f>SUM(G480:G481)</f>
        <v>45188</v>
      </c>
    </row>
    <row r="483" spans="1:7" ht="15" thickBot="1">
      <c r="A483" s="921"/>
      <c r="B483" s="922"/>
      <c r="C483" s="922"/>
      <c r="D483" s="923" t="s">
        <v>426</v>
      </c>
      <c r="E483" s="924"/>
      <c r="F483" s="925"/>
      <c r="G483" s="112">
        <f>+G454+G471+G477+G482</f>
        <v>135465</v>
      </c>
    </row>
    <row r="484" spans="1:7" ht="15.75" thickBot="1">
      <c r="A484" s="162"/>
      <c r="B484" s="162"/>
      <c r="C484" s="162"/>
      <c r="D484" s="162"/>
      <c r="E484" s="258"/>
      <c r="F484" s="301"/>
      <c r="G484" s="162"/>
    </row>
    <row r="485" spans="1:7" ht="15" thickBot="1">
      <c r="A485" s="1027" t="s">
        <v>389</v>
      </c>
      <c r="B485" s="1028"/>
      <c r="C485" s="1028"/>
      <c r="D485" s="1028"/>
      <c r="E485" s="1028"/>
      <c r="F485" s="1028"/>
      <c r="G485" s="1029"/>
    </row>
    <row r="486" spans="1:7" ht="15" thickBot="1">
      <c r="A486" s="950" t="s">
        <v>390</v>
      </c>
      <c r="B486" s="951"/>
      <c r="C486" s="951"/>
      <c r="D486" s="951"/>
      <c r="E486" s="952"/>
      <c r="F486" s="272" t="s">
        <v>391</v>
      </c>
      <c r="G486" s="43">
        <f ca="1">TODAY()</f>
        <v>46071</v>
      </c>
    </row>
    <row r="487" spans="1:7" ht="20.25" customHeight="1" thickBot="1">
      <c r="A487" s="1018" t="str">
        <f>+'OFERTA ECONOMICA'!B30</f>
        <v>Limpieza, lavado y desobstrucción de cárcamo y tuberías de desagües de aguas lluvias existentes, con equipo mecánico o manual, incluye mangueras, sondas flexibles y herramienta menor, el retiro y reinstalación de tapas y rejillas, la recolección y botada del material extraído. (desobstrucción de cajas, redes ALL y AR , tuberias y lavado de estructura metalica cancha y graderias)</v>
      </c>
      <c r="B487" s="1019"/>
      <c r="C487" s="1019"/>
      <c r="D487" s="1019"/>
      <c r="E487" s="1020"/>
      <c r="F487" s="273" t="s">
        <v>392</v>
      </c>
      <c r="G487" s="45" t="s">
        <v>430</v>
      </c>
    </row>
    <row r="488" spans="1:7" ht="20.25" customHeight="1" thickBot="1">
      <c r="A488" s="1021"/>
      <c r="B488" s="1022"/>
      <c r="C488" s="1022"/>
      <c r="D488" s="1022"/>
      <c r="E488" s="1023"/>
      <c r="F488" s="273" t="s">
        <v>393</v>
      </c>
      <c r="G488" s="46">
        <v>1</v>
      </c>
    </row>
    <row r="489" spans="1:7" ht="20.25" customHeight="1" thickBot="1">
      <c r="A489" s="1024"/>
      <c r="B489" s="1025"/>
      <c r="C489" s="1025"/>
      <c r="D489" s="1025"/>
      <c r="E489" s="1026"/>
      <c r="F489" s="274" t="s">
        <v>394</v>
      </c>
      <c r="G489" s="48" t="s">
        <v>58</v>
      </c>
    </row>
    <row r="490" spans="1:7" ht="15" thickBot="1">
      <c r="A490" s="962" t="s">
        <v>1</v>
      </c>
      <c r="B490" s="963" t="s">
        <v>395</v>
      </c>
      <c r="C490" s="964"/>
      <c r="D490" s="964"/>
      <c r="E490" s="964"/>
      <c r="F490" s="964"/>
      <c r="G490" s="965"/>
    </row>
    <row r="491" spans="1:7" ht="15" thickBot="1">
      <c r="A491" s="909"/>
      <c r="B491" s="913" t="s">
        <v>396</v>
      </c>
      <c r="C491" s="914"/>
      <c r="D491" s="95" t="s">
        <v>3</v>
      </c>
      <c r="E491" s="242" t="s">
        <v>398</v>
      </c>
      <c r="F491" s="286" t="s">
        <v>439</v>
      </c>
      <c r="G491" s="113" t="s">
        <v>399</v>
      </c>
    </row>
    <row r="492" spans="1:7" ht="15" thickBot="1">
      <c r="A492" s="114"/>
      <c r="B492" s="966"/>
      <c r="C492" s="967"/>
      <c r="D492" s="88"/>
      <c r="E492" s="251"/>
      <c r="F492" s="284"/>
      <c r="G492" s="117">
        <f t="shared" ref="G492:G494" si="31">ROUND((E492*F492),0)</f>
        <v>0</v>
      </c>
    </row>
    <row r="493" spans="1:7" ht="15" thickBot="1">
      <c r="A493" s="114"/>
      <c r="B493" s="966"/>
      <c r="C493" s="967"/>
      <c r="D493" s="88"/>
      <c r="E493" s="251"/>
      <c r="F493" s="284"/>
      <c r="G493" s="117">
        <f t="shared" si="31"/>
        <v>0</v>
      </c>
    </row>
    <row r="494" spans="1:7">
      <c r="A494" s="154"/>
      <c r="B494" s="968"/>
      <c r="C494" s="969"/>
      <c r="D494" s="171"/>
      <c r="E494" s="260"/>
      <c r="F494" s="285"/>
      <c r="G494" s="149">
        <f t="shared" si="31"/>
        <v>0</v>
      </c>
    </row>
    <row r="495" spans="1:7" ht="15" thickBot="1">
      <c r="A495" s="970"/>
      <c r="B495" s="971"/>
      <c r="C495" s="972"/>
      <c r="D495" s="973" t="s">
        <v>403</v>
      </c>
      <c r="E495" s="974"/>
      <c r="F495" s="975"/>
      <c r="G495" s="11">
        <f>SUM(G492:G494)</f>
        <v>0</v>
      </c>
    </row>
    <row r="496" spans="1:7" ht="15" thickBot="1">
      <c r="A496" s="908" t="s">
        <v>1</v>
      </c>
      <c r="B496" s="910" t="s">
        <v>404</v>
      </c>
      <c r="C496" s="911"/>
      <c r="D496" s="911"/>
      <c r="E496" s="911"/>
      <c r="F496" s="911"/>
      <c r="G496" s="912"/>
    </row>
    <row r="497" spans="1:7" ht="15" thickBot="1">
      <c r="A497" s="909"/>
      <c r="B497" s="913" t="s">
        <v>396</v>
      </c>
      <c r="C497" s="914"/>
      <c r="D497" s="95" t="s">
        <v>3</v>
      </c>
      <c r="E497" s="242" t="s">
        <v>398</v>
      </c>
      <c r="F497" s="286" t="s">
        <v>397</v>
      </c>
      <c r="G497" s="113" t="s">
        <v>399</v>
      </c>
    </row>
    <row r="498" spans="1:7" ht="51.6" customHeight="1" thickBot="1">
      <c r="A498" s="122"/>
      <c r="B498" s="976" t="str">
        <f>+A487</f>
        <v>Limpieza, lavado y desobstrucción de cárcamo y tuberías de desagües de aguas lluvias existentes, con equipo mecánico o manual, incluye mangueras, sondas flexibles y herramienta menor, el retiro y reinstalación de tapas y rejillas, la recolección y botada del material extraído. (desobstrucción de cajas, redes ALL y AR , tuberias y lavado de estructura metalica cancha y graderias)</v>
      </c>
      <c r="C498" s="977"/>
      <c r="D498" s="88" t="s">
        <v>496</v>
      </c>
      <c r="E498" s="465">
        <f>680513*1.051</f>
        <v>715219.16299999994</v>
      </c>
      <c r="F498" s="284">
        <v>1</v>
      </c>
      <c r="G498" s="149">
        <f t="shared" ref="G498:G499" si="32">ROUND((E498*F498),0)</f>
        <v>715219</v>
      </c>
    </row>
    <row r="499" spans="1:7" ht="15" thickBot="1">
      <c r="A499" s="122"/>
      <c r="B499" s="976"/>
      <c r="C499" s="977"/>
      <c r="D499" s="88"/>
      <c r="E499" s="251"/>
      <c r="F499" s="284"/>
      <c r="G499" s="149">
        <f t="shared" si="32"/>
        <v>0</v>
      </c>
    </row>
    <row r="500" spans="1:7" ht="15" thickBot="1">
      <c r="A500" s="932"/>
      <c r="B500" s="933"/>
      <c r="C500" s="934"/>
      <c r="D500" s="935" t="s">
        <v>415</v>
      </c>
      <c r="E500" s="936"/>
      <c r="F500" s="937"/>
      <c r="G500" s="18">
        <f>SUM(G498:G499)</f>
        <v>715219</v>
      </c>
    </row>
    <row r="501" spans="1:7" ht="15" thickBot="1">
      <c r="A501" s="908" t="s">
        <v>1</v>
      </c>
      <c r="B501" s="910" t="s">
        <v>416</v>
      </c>
      <c r="C501" s="911"/>
      <c r="D501" s="911"/>
      <c r="E501" s="911"/>
      <c r="F501" s="911"/>
      <c r="G501" s="912"/>
    </row>
    <row r="502" spans="1:7" ht="15" thickBot="1">
      <c r="A502" s="909"/>
      <c r="B502" s="913" t="s">
        <v>396</v>
      </c>
      <c r="C502" s="914"/>
      <c r="D502" s="95" t="s">
        <v>3</v>
      </c>
      <c r="E502" s="242" t="s">
        <v>398</v>
      </c>
      <c r="F502" s="286" t="s">
        <v>397</v>
      </c>
      <c r="G502" s="113" t="s">
        <v>399</v>
      </c>
    </row>
    <row r="503" spans="1:7">
      <c r="A503" s="127"/>
      <c r="B503" s="930"/>
      <c r="C503" s="931"/>
      <c r="D503" s="88"/>
      <c r="E503" s="251"/>
      <c r="F503" s="284"/>
      <c r="G503" s="159">
        <f>ROUND(F503*E503,)</f>
        <v>0</v>
      </c>
    </row>
    <row r="504" spans="1:7">
      <c r="A504" s="156"/>
      <c r="B504" s="940"/>
      <c r="C504" s="941"/>
      <c r="D504" s="157"/>
      <c r="E504" s="259"/>
      <c r="F504" s="303"/>
      <c r="G504" s="159">
        <f>ROUND(F504*E504,)</f>
        <v>0</v>
      </c>
    </row>
    <row r="505" spans="1:7" ht="15" thickBot="1">
      <c r="A505" s="130"/>
      <c r="B505" s="942" t="s">
        <v>402</v>
      </c>
      <c r="C505" s="943"/>
      <c r="D505" s="104" t="s">
        <v>402</v>
      </c>
      <c r="E505" s="247"/>
      <c r="F505" s="288"/>
      <c r="G505" s="131">
        <f>ROUND(F505*E505,)</f>
        <v>0</v>
      </c>
    </row>
    <row r="506" spans="1:7" ht="15" thickBot="1">
      <c r="A506" s="944"/>
      <c r="B506" s="945"/>
      <c r="C506" s="946"/>
      <c r="D506" s="947" t="s">
        <v>418</v>
      </c>
      <c r="E506" s="948"/>
      <c r="F506" s="949"/>
      <c r="G506" s="11">
        <f>SUM(G503:G505)</f>
        <v>0</v>
      </c>
    </row>
    <row r="507" spans="1:7" ht="15" thickBot="1">
      <c r="A507" s="908" t="s">
        <v>1</v>
      </c>
      <c r="B507" s="910" t="s">
        <v>419</v>
      </c>
      <c r="C507" s="911"/>
      <c r="D507" s="911"/>
      <c r="E507" s="911"/>
      <c r="F507" s="911"/>
      <c r="G507" s="912"/>
    </row>
    <row r="508" spans="1:7" ht="15" thickBot="1">
      <c r="A508" s="909"/>
      <c r="B508" s="913" t="s">
        <v>396</v>
      </c>
      <c r="C508" s="914"/>
      <c r="D508" s="95" t="s">
        <v>3</v>
      </c>
      <c r="E508" s="242" t="s">
        <v>398</v>
      </c>
      <c r="F508" s="286" t="s">
        <v>397</v>
      </c>
      <c r="G508" s="113" t="s">
        <v>399</v>
      </c>
    </row>
    <row r="509" spans="1:7" ht="15" thickBot="1">
      <c r="A509" s="122"/>
      <c r="B509" s="985"/>
      <c r="C509" s="986"/>
      <c r="D509" s="109"/>
      <c r="E509" s="254"/>
      <c r="F509" s="304"/>
      <c r="G509" s="129">
        <f>ROUND(F509*E509,)</f>
        <v>0</v>
      </c>
    </row>
    <row r="510" spans="1:7" s="7" customFormat="1" ht="13.5" thickBot="1">
      <c r="A510" s="165"/>
      <c r="B510" s="985"/>
      <c r="C510" s="986"/>
      <c r="D510" s="168"/>
      <c r="E510" s="262"/>
      <c r="F510" s="306"/>
      <c r="G510" s="170">
        <f>ROUND(E510*F510*C510,0)</f>
        <v>0</v>
      </c>
    </row>
    <row r="511" spans="1:7" ht="15" thickBot="1">
      <c r="A511" s="915" t="s">
        <v>424</v>
      </c>
      <c r="B511" s="916"/>
      <c r="C511" s="917"/>
      <c r="D511" s="918" t="s">
        <v>425</v>
      </c>
      <c r="E511" s="919"/>
      <c r="F511" s="920"/>
      <c r="G511" s="12">
        <f>SUM(G509:G510)</f>
        <v>0</v>
      </c>
    </row>
    <row r="512" spans="1:7" ht="15" thickBot="1">
      <c r="A512" s="921"/>
      <c r="B512" s="922"/>
      <c r="C512" s="922"/>
      <c r="D512" s="923" t="s">
        <v>426</v>
      </c>
      <c r="E512" s="924"/>
      <c r="F512" s="925"/>
      <c r="G512" s="112">
        <f>+G495+G500+G506+G511</f>
        <v>715219</v>
      </c>
    </row>
    <row r="513" spans="1:7">
      <c r="A513" s="49"/>
      <c r="B513" s="49"/>
      <c r="C513" s="49"/>
      <c r="D513" s="49"/>
      <c r="F513" s="307"/>
      <c r="G513" s="49"/>
    </row>
    <row r="514" spans="1:7" ht="15" thickBot="1">
      <c r="A514" s="1036" t="s">
        <v>389</v>
      </c>
      <c r="B514" s="1037"/>
      <c r="C514" s="1037"/>
      <c r="D514" s="1037"/>
      <c r="E514" s="1037"/>
      <c r="F514" s="1037"/>
      <c r="G514" s="1038"/>
    </row>
    <row r="515" spans="1:7" ht="15" thickBot="1">
      <c r="A515" s="1006" t="s">
        <v>390</v>
      </c>
      <c r="B515" s="1007"/>
      <c r="C515" s="1007"/>
      <c r="D515" s="1007"/>
      <c r="E515" s="1007"/>
      <c r="F515" s="272" t="s">
        <v>391</v>
      </c>
      <c r="G515" s="43">
        <f ca="1">TODAY()</f>
        <v>46071</v>
      </c>
    </row>
    <row r="516" spans="1:7" ht="21" customHeight="1" thickBot="1">
      <c r="A516" s="953" t="str">
        <f>+'OFERTA ECONOMICA'!B32</f>
        <v>Suministro, transporte y colocación de cubierta en teja sin traslapo en acero galvanizado tipo Standing Seam de Acesco o equivalente, de 11/2" (38.1 mm.), calibre 26, sistema sencillo.  Incluye Clips de fijación, tornillos y todo lo necesario para su correcta instalación y funcionamiento.  Según diseño de cubierta. Incluye personal y andamios certificados para trabajos en alturas.</v>
      </c>
      <c r="B516" s="954"/>
      <c r="C516" s="954"/>
      <c r="D516" s="954"/>
      <c r="E516" s="955"/>
      <c r="F516" s="273" t="s">
        <v>392</v>
      </c>
      <c r="G516" s="45" t="s">
        <v>15</v>
      </c>
    </row>
    <row r="517" spans="1:7" ht="21" customHeight="1" thickBot="1">
      <c r="A517" s="956"/>
      <c r="B517" s="957"/>
      <c r="C517" s="957"/>
      <c r="D517" s="957"/>
      <c r="E517" s="958"/>
      <c r="F517" s="273" t="s">
        <v>393</v>
      </c>
      <c r="G517" s="46">
        <v>1</v>
      </c>
    </row>
    <row r="518" spans="1:7" ht="21" customHeight="1" thickBot="1">
      <c r="A518" s="959"/>
      <c r="B518" s="960"/>
      <c r="C518" s="960"/>
      <c r="D518" s="960"/>
      <c r="E518" s="961"/>
      <c r="F518" s="274" t="s">
        <v>394</v>
      </c>
      <c r="G518" s="48" t="s">
        <v>62</v>
      </c>
    </row>
    <row r="519" spans="1:7" ht="15" thickBot="1">
      <c r="A519" s="1008" t="s">
        <v>1</v>
      </c>
      <c r="B519" s="1009" t="s">
        <v>395</v>
      </c>
      <c r="C519" s="1009"/>
      <c r="D519" s="1009"/>
      <c r="E519" s="1009"/>
      <c r="F519" s="1009"/>
      <c r="G519" s="1010"/>
    </row>
    <row r="520" spans="1:7" ht="15" thickBot="1">
      <c r="A520" s="982"/>
      <c r="B520" s="913" t="s">
        <v>396</v>
      </c>
      <c r="C520" s="914"/>
      <c r="D520" s="95" t="s">
        <v>3</v>
      </c>
      <c r="E520" s="242" t="s">
        <v>398</v>
      </c>
      <c r="F520" s="286" t="s">
        <v>4</v>
      </c>
      <c r="G520" s="97" t="s">
        <v>399</v>
      </c>
    </row>
    <row r="521" spans="1:7">
      <c r="A521" s="87"/>
      <c r="B521" s="930" t="s">
        <v>427</v>
      </c>
      <c r="C521" s="931"/>
      <c r="D521" s="88" t="s">
        <v>428</v>
      </c>
      <c r="E521" s="251">
        <f>+G547</f>
        <v>36150.399999999994</v>
      </c>
      <c r="F521" s="284">
        <v>0.05</v>
      </c>
      <c r="G521" s="90">
        <f t="shared" ref="G521:G523" si="33">ROUND((E521*F521),0)</f>
        <v>1808</v>
      </c>
    </row>
    <row r="522" spans="1:7">
      <c r="A522" s="91"/>
      <c r="B522" s="968" t="s">
        <v>462</v>
      </c>
      <c r="C522" s="969"/>
      <c r="D522" s="92" t="s">
        <v>430</v>
      </c>
      <c r="E522" s="252">
        <v>36500</v>
      </c>
      <c r="F522" s="285">
        <v>0.12</v>
      </c>
      <c r="G522" s="94">
        <f t="shared" si="33"/>
        <v>4380</v>
      </c>
    </row>
    <row r="523" spans="1:7">
      <c r="A523" s="91"/>
      <c r="B523" s="968"/>
      <c r="C523" s="969"/>
      <c r="D523" s="92"/>
      <c r="E523" s="252"/>
      <c r="F523" s="285"/>
      <c r="G523" s="94">
        <f t="shared" si="33"/>
        <v>0</v>
      </c>
    </row>
    <row r="524" spans="1:7" ht="15" thickBot="1">
      <c r="A524" s="994"/>
      <c r="B524" s="995"/>
      <c r="C524" s="995"/>
      <c r="D524" s="981" t="s">
        <v>403</v>
      </c>
      <c r="E524" s="981"/>
      <c r="F524" s="981"/>
      <c r="G524" s="13">
        <f>SUM(G521:G523)</f>
        <v>6188</v>
      </c>
    </row>
    <row r="525" spans="1:7" ht="15" thickBot="1">
      <c r="A525" s="982" t="s">
        <v>1</v>
      </c>
      <c r="B525" s="983" t="s">
        <v>404</v>
      </c>
      <c r="C525" s="983"/>
      <c r="D525" s="983"/>
      <c r="E525" s="983"/>
      <c r="F525" s="983"/>
      <c r="G525" s="984"/>
    </row>
    <row r="526" spans="1:7" ht="15" thickBot="1">
      <c r="A526" s="982"/>
      <c r="B526" s="913" t="s">
        <v>396</v>
      </c>
      <c r="C526" s="914"/>
      <c r="D526" s="95" t="s">
        <v>3</v>
      </c>
      <c r="E526" s="242" t="s">
        <v>398</v>
      </c>
      <c r="F526" s="286" t="s">
        <v>397</v>
      </c>
      <c r="G526" s="97" t="s">
        <v>399</v>
      </c>
    </row>
    <row r="527" spans="1:7" ht="15" thickBot="1">
      <c r="A527" s="98"/>
      <c r="B527" s="985" t="s">
        <v>497</v>
      </c>
      <c r="C527" s="986"/>
      <c r="D527" s="109" t="s">
        <v>15</v>
      </c>
      <c r="E527" s="217">
        <v>60420</v>
      </c>
      <c r="F527" s="414">
        <v>1.05</v>
      </c>
      <c r="G527" s="102">
        <f t="shared" ref="G527:G538" si="34">ROUND(E527*F527,)</f>
        <v>63441</v>
      </c>
    </row>
    <row r="528" spans="1:7" ht="15" thickBot="1">
      <c r="A528" s="98"/>
      <c r="B528" s="985" t="s">
        <v>498</v>
      </c>
      <c r="C528" s="986"/>
      <c r="D528" s="109" t="s">
        <v>55</v>
      </c>
      <c r="E528" s="217">
        <v>650</v>
      </c>
      <c r="F528" s="414">
        <v>2.0499999999999998</v>
      </c>
      <c r="G528" s="102">
        <f t="shared" si="34"/>
        <v>1333</v>
      </c>
    </row>
    <row r="529" spans="1:7" ht="15" thickBot="1">
      <c r="A529" s="98"/>
      <c r="B529" s="985" t="s">
        <v>499</v>
      </c>
      <c r="C529" s="986"/>
      <c r="D529" s="109" t="s">
        <v>55</v>
      </c>
      <c r="E529" s="217">
        <v>650</v>
      </c>
      <c r="F529" s="414">
        <v>2.0499999999999998</v>
      </c>
      <c r="G529" s="102">
        <f t="shared" si="34"/>
        <v>1333</v>
      </c>
    </row>
    <row r="530" spans="1:7" ht="15" thickBot="1">
      <c r="A530" s="98"/>
      <c r="B530" s="985" t="s">
        <v>500</v>
      </c>
      <c r="C530" s="986"/>
      <c r="D530" s="109" t="s">
        <v>496</v>
      </c>
      <c r="E530" s="217">
        <v>1000</v>
      </c>
      <c r="F530" s="414">
        <v>0.24</v>
      </c>
      <c r="G530" s="102">
        <f t="shared" si="34"/>
        <v>240</v>
      </c>
    </row>
    <row r="531" spans="1:7" ht="15" thickBot="1">
      <c r="A531" s="98"/>
      <c r="B531" s="985" t="s">
        <v>501</v>
      </c>
      <c r="C531" s="986"/>
      <c r="D531" s="109" t="s">
        <v>502</v>
      </c>
      <c r="E531" s="217">
        <v>20300</v>
      </c>
      <c r="F531" s="414">
        <v>0.5</v>
      </c>
      <c r="G531" s="102">
        <f t="shared" si="34"/>
        <v>10150</v>
      </c>
    </row>
    <row r="532" spans="1:7" ht="15" thickBot="1">
      <c r="A532" s="98"/>
      <c r="B532" s="985" t="s">
        <v>503</v>
      </c>
      <c r="C532" s="986"/>
      <c r="D532" s="109" t="s">
        <v>504</v>
      </c>
      <c r="E532" s="217">
        <v>168861</v>
      </c>
      <c r="F532" s="414">
        <v>0.06</v>
      </c>
      <c r="G532" s="102">
        <f t="shared" si="34"/>
        <v>10132</v>
      </c>
    </row>
    <row r="533" spans="1:7" ht="15" thickBot="1">
      <c r="A533" s="98"/>
      <c r="B533" s="985" t="s">
        <v>505</v>
      </c>
      <c r="C533" s="986"/>
      <c r="D533" s="109" t="s">
        <v>504</v>
      </c>
      <c r="E533" s="217">
        <v>134351</v>
      </c>
      <c r="F533" s="414">
        <v>0.06</v>
      </c>
      <c r="G533" s="102">
        <f t="shared" si="34"/>
        <v>8061</v>
      </c>
    </row>
    <row r="534" spans="1:7" ht="15" thickBot="1">
      <c r="A534" s="98"/>
      <c r="B534" s="985" t="s">
        <v>506</v>
      </c>
      <c r="C534" s="986"/>
      <c r="D534" s="109" t="s">
        <v>504</v>
      </c>
      <c r="E534" s="217">
        <v>44100</v>
      </c>
      <c r="F534" s="414">
        <v>0.03</v>
      </c>
      <c r="G534" s="102">
        <f t="shared" si="34"/>
        <v>1323</v>
      </c>
    </row>
    <row r="535" spans="1:7" ht="15" thickBot="1">
      <c r="A535" s="98"/>
      <c r="B535" s="985" t="s">
        <v>469</v>
      </c>
      <c r="C535" s="986"/>
      <c r="D535" s="109" t="s">
        <v>507</v>
      </c>
      <c r="E535" s="217">
        <v>24000</v>
      </c>
      <c r="F535" s="414">
        <v>0.01</v>
      </c>
      <c r="G535" s="102">
        <f t="shared" si="34"/>
        <v>240</v>
      </c>
    </row>
    <row r="536" spans="1:7" ht="15" thickBot="1">
      <c r="A536" s="98"/>
      <c r="B536" s="985" t="s">
        <v>508</v>
      </c>
      <c r="C536" s="986"/>
      <c r="D536" s="109" t="s">
        <v>502</v>
      </c>
      <c r="E536" s="217">
        <v>33320</v>
      </c>
      <c r="F536" s="414">
        <v>0.18</v>
      </c>
      <c r="G536" s="102">
        <f t="shared" si="34"/>
        <v>5998</v>
      </c>
    </row>
    <row r="537" spans="1:7" ht="15" thickBot="1">
      <c r="A537" s="98"/>
      <c r="B537" s="985" t="s">
        <v>509</v>
      </c>
      <c r="C537" s="986"/>
      <c r="D537" s="109" t="s">
        <v>496</v>
      </c>
      <c r="E537" s="217">
        <v>16000</v>
      </c>
      <c r="F537" s="414">
        <v>0.08</v>
      </c>
      <c r="G537" s="102">
        <f t="shared" si="34"/>
        <v>1280</v>
      </c>
    </row>
    <row r="538" spans="1:7">
      <c r="A538" s="98"/>
      <c r="B538" s="985" t="s">
        <v>510</v>
      </c>
      <c r="C538" s="986"/>
      <c r="D538" s="109" t="s">
        <v>511</v>
      </c>
      <c r="E538" s="217">
        <v>8800</v>
      </c>
      <c r="F538" s="414">
        <v>0.01</v>
      </c>
      <c r="G538" s="102">
        <f t="shared" si="34"/>
        <v>88</v>
      </c>
    </row>
    <row r="539" spans="1:7" ht="15" thickBot="1">
      <c r="A539" s="996"/>
      <c r="B539" s="997"/>
      <c r="C539" s="998"/>
      <c r="D539" s="981" t="s">
        <v>415</v>
      </c>
      <c r="E539" s="981"/>
      <c r="F539" s="981"/>
      <c r="G539" s="13">
        <f>SUM(G527:G538)</f>
        <v>103619</v>
      </c>
    </row>
    <row r="540" spans="1:7" ht="15" thickBot="1">
      <c r="A540" s="982" t="s">
        <v>1</v>
      </c>
      <c r="B540" s="983" t="s">
        <v>416</v>
      </c>
      <c r="C540" s="983"/>
      <c r="D540" s="983"/>
      <c r="E540" s="983"/>
      <c r="F540" s="983"/>
      <c r="G540" s="984"/>
    </row>
    <row r="541" spans="1:7" ht="15" thickBot="1">
      <c r="A541" s="982"/>
      <c r="B541" s="913" t="s">
        <v>396</v>
      </c>
      <c r="C541" s="914"/>
      <c r="D541" s="95" t="s">
        <v>3</v>
      </c>
      <c r="E541" s="242" t="s">
        <v>398</v>
      </c>
      <c r="F541" s="286" t="s">
        <v>397</v>
      </c>
      <c r="G541" s="97" t="s">
        <v>399</v>
      </c>
    </row>
    <row r="542" spans="1:7" ht="15" thickBot="1">
      <c r="A542" s="103"/>
      <c r="B542" s="942"/>
      <c r="C542" s="943"/>
      <c r="D542" s="104"/>
      <c r="E542" s="247"/>
      <c r="F542" s="288"/>
      <c r="G542" s="106">
        <f>ROUND(F542*E542,)</f>
        <v>0</v>
      </c>
    </row>
    <row r="543" spans="1:7" ht="15" thickBot="1">
      <c r="A543" s="978"/>
      <c r="B543" s="979"/>
      <c r="C543" s="980"/>
      <c r="D543" s="981" t="s">
        <v>418</v>
      </c>
      <c r="E543" s="981"/>
      <c r="F543" s="981"/>
      <c r="G543" s="13">
        <f>SUM(G542:G542)</f>
        <v>0</v>
      </c>
    </row>
    <row r="544" spans="1:7" ht="15" thickBot="1">
      <c r="A544" s="982" t="s">
        <v>1</v>
      </c>
      <c r="B544" s="983" t="s">
        <v>419</v>
      </c>
      <c r="C544" s="983"/>
      <c r="D544" s="983"/>
      <c r="E544" s="983"/>
      <c r="F544" s="983"/>
      <c r="G544" s="984"/>
    </row>
    <row r="545" spans="1:7" ht="15" thickBot="1">
      <c r="A545" s="982"/>
      <c r="B545" s="913" t="s">
        <v>396</v>
      </c>
      <c r="C545" s="914"/>
      <c r="D545" s="95" t="s">
        <v>3</v>
      </c>
      <c r="E545" s="242" t="s">
        <v>4</v>
      </c>
      <c r="F545" s="289" t="s">
        <v>420</v>
      </c>
      <c r="G545" s="97" t="s">
        <v>399</v>
      </c>
    </row>
    <row r="546" spans="1:7">
      <c r="A546" s="108"/>
      <c r="B546" s="985" t="s">
        <v>512</v>
      </c>
      <c r="C546" s="986"/>
      <c r="D546" s="109" t="s">
        <v>467</v>
      </c>
      <c r="E546" s="254">
        <v>0.12</v>
      </c>
      <c r="F546" s="281">
        <f>_xlfn.IFNA(VLOOKUP(B546,'sub M. DE OBRA'!$B$4:$E$19997,4,FALSE),0)</f>
        <v>301253.33333333331</v>
      </c>
      <c r="G546" s="111">
        <f>+E546*F546</f>
        <v>36150.399999999994</v>
      </c>
    </row>
    <row r="547" spans="1:7" ht="15" thickBot="1">
      <c r="A547" s="987" t="s">
        <v>424</v>
      </c>
      <c r="B547" s="988"/>
      <c r="C547" s="989"/>
      <c r="D547" s="990" t="s">
        <v>425</v>
      </c>
      <c r="E547" s="990"/>
      <c r="F547" s="990"/>
      <c r="G547" s="14">
        <f>SUM(G546:G546)</f>
        <v>36150.399999999994</v>
      </c>
    </row>
    <row r="548" spans="1:7" ht="15" thickBot="1">
      <c r="A548" s="991"/>
      <c r="B548" s="991"/>
      <c r="C548" s="991"/>
      <c r="D548" s="992" t="s">
        <v>426</v>
      </c>
      <c r="E548" s="993"/>
      <c r="F548" s="993"/>
      <c r="G548" s="112">
        <f>ROUND(+G524+G539+G543+G547,)</f>
        <v>145957</v>
      </c>
    </row>
    <row r="549" spans="1:7" ht="15" thickBot="1">
      <c r="E549" s="41"/>
      <c r="F549" s="41"/>
    </row>
    <row r="550" spans="1:7" ht="15" thickBot="1">
      <c r="A550" s="1006" t="s">
        <v>390</v>
      </c>
      <c r="B550" s="1007"/>
      <c r="C550" s="1007"/>
      <c r="D550" s="1007"/>
      <c r="E550" s="1007"/>
      <c r="F550" s="42" t="s">
        <v>391</v>
      </c>
      <c r="G550" s="43">
        <f ca="1">TODAY()</f>
        <v>46071</v>
      </c>
    </row>
    <row r="551" spans="1:7" ht="19.5" customHeight="1" thickBot="1">
      <c r="A551" s="1018" t="str">
        <f>+'OFERTA ECONOMICA'!B33</f>
        <v>Mantenimiento de techo en teja de barro, incluye:  retiro de tejas en un 100 %, retiro de impermeabilización en un 100 %, retiro de tablilla en un 100 %, retiro de alfardas en un  27 %; suministro y colocación de alfardas de 2" x 5", suministro y colocación de tablilla de pino en un 100 %, suministro y colocación de impermeabilización con fieltro Permofit en un 100 %, suministro y reemplazo de tejas de barro hasta un máximo de 20% donde sea necesario y cargue y botada de escombros</v>
      </c>
      <c r="B551" s="1019"/>
      <c r="C551" s="1019"/>
      <c r="D551" s="1019"/>
      <c r="E551" s="1020"/>
      <c r="F551" s="44" t="s">
        <v>392</v>
      </c>
      <c r="G551" s="45" t="s">
        <v>15</v>
      </c>
    </row>
    <row r="552" spans="1:7" ht="19.5" customHeight="1" thickBot="1">
      <c r="A552" s="1021"/>
      <c r="B552" s="1022"/>
      <c r="C552" s="1022"/>
      <c r="D552" s="1022"/>
      <c r="E552" s="1023"/>
      <c r="F552" s="44" t="s">
        <v>393</v>
      </c>
      <c r="G552" s="46">
        <v>1</v>
      </c>
    </row>
    <row r="553" spans="1:7" ht="19.5" customHeight="1" thickBot="1">
      <c r="A553" s="1024"/>
      <c r="B553" s="1025"/>
      <c r="C553" s="1025"/>
      <c r="D553" s="1025"/>
      <c r="E553" s="1026"/>
      <c r="F553" s="47" t="s">
        <v>394</v>
      </c>
      <c r="G553" s="48" t="s">
        <v>64</v>
      </c>
    </row>
    <row r="554" spans="1:7" ht="15" thickBot="1">
      <c r="A554" s="1008" t="s">
        <v>1</v>
      </c>
      <c r="B554" s="1009" t="s">
        <v>395</v>
      </c>
      <c r="C554" s="1009"/>
      <c r="D554" s="1009"/>
      <c r="E554" s="1009"/>
      <c r="F554" s="1009"/>
      <c r="G554" s="1010"/>
    </row>
    <row r="555" spans="1:7" ht="15" thickBot="1">
      <c r="A555" s="982"/>
      <c r="B555" s="913" t="s">
        <v>396</v>
      </c>
      <c r="C555" s="914"/>
      <c r="D555" s="95" t="s">
        <v>3</v>
      </c>
      <c r="E555" s="207" t="s">
        <v>398</v>
      </c>
      <c r="F555" s="95" t="s">
        <v>4</v>
      </c>
      <c r="G555" s="97" t="s">
        <v>399</v>
      </c>
    </row>
    <row r="556" spans="1:7">
      <c r="A556" s="91"/>
      <c r="B556" s="968"/>
      <c r="C556" s="969"/>
      <c r="D556" s="92"/>
      <c r="E556" s="215"/>
      <c r="F556" s="93"/>
      <c r="G556" s="94">
        <f>ROUND((E556*F556),0)</f>
        <v>0</v>
      </c>
    </row>
    <row r="557" spans="1:7" ht="15" thickBot="1">
      <c r="A557" s="994"/>
      <c r="B557" s="995"/>
      <c r="C557" s="995"/>
      <c r="D557" s="981" t="s">
        <v>403</v>
      </c>
      <c r="E557" s="981"/>
      <c r="F557" s="981"/>
      <c r="G557" s="13">
        <f>SUM(G556:G556)</f>
        <v>0</v>
      </c>
    </row>
    <row r="558" spans="1:7" ht="15" thickBot="1">
      <c r="A558" s="982" t="s">
        <v>1</v>
      </c>
      <c r="B558" s="983" t="s">
        <v>404</v>
      </c>
      <c r="C558" s="983"/>
      <c r="D558" s="983"/>
      <c r="E558" s="983"/>
      <c r="F558" s="983"/>
      <c r="G558" s="984"/>
    </row>
    <row r="559" spans="1:7" ht="15" thickBot="1">
      <c r="A559" s="982"/>
      <c r="B559" s="913" t="s">
        <v>396</v>
      </c>
      <c r="C559" s="914"/>
      <c r="D559" s="95" t="s">
        <v>3</v>
      </c>
      <c r="E559" s="207" t="s">
        <v>398</v>
      </c>
      <c r="F559" s="95" t="s">
        <v>397</v>
      </c>
      <c r="G559" s="97" t="s">
        <v>399</v>
      </c>
    </row>
    <row r="560" spans="1:7">
      <c r="A560" s="98"/>
      <c r="B560" s="928"/>
      <c r="C560" s="929"/>
      <c r="D560" s="99"/>
      <c r="E560" s="216"/>
      <c r="F560" s="101"/>
      <c r="G560" s="102">
        <f>ROUND(E560*F560,)</f>
        <v>0</v>
      </c>
    </row>
    <row r="561" spans="1:8" ht="15" thickBot="1">
      <c r="A561" s="996"/>
      <c r="B561" s="997"/>
      <c r="C561" s="998"/>
      <c r="D561" s="981" t="s">
        <v>415</v>
      </c>
      <c r="E561" s="981"/>
      <c r="F561" s="981"/>
      <c r="G561" s="13">
        <f>SUM(G560:G560)</f>
        <v>0</v>
      </c>
    </row>
    <row r="562" spans="1:8" ht="15" thickBot="1">
      <c r="A562" s="982" t="s">
        <v>1</v>
      </c>
      <c r="B562" s="983" t="s">
        <v>416</v>
      </c>
      <c r="C562" s="983"/>
      <c r="D562" s="983"/>
      <c r="E562" s="983"/>
      <c r="F562" s="983"/>
      <c r="G562" s="984"/>
    </row>
    <row r="563" spans="1:8" ht="15" thickBot="1">
      <c r="A563" s="982"/>
      <c r="B563" s="913" t="s">
        <v>396</v>
      </c>
      <c r="C563" s="914"/>
      <c r="D563" s="95" t="s">
        <v>3</v>
      </c>
      <c r="E563" s="207" t="s">
        <v>398</v>
      </c>
      <c r="F563" s="95" t="s">
        <v>397</v>
      </c>
      <c r="G563" s="97" t="s">
        <v>399</v>
      </c>
    </row>
    <row r="564" spans="1:8" ht="15" thickBot="1">
      <c r="A564" s="103"/>
      <c r="B564" s="942"/>
      <c r="C564" s="943"/>
      <c r="D564" s="104"/>
      <c r="E564" s="212"/>
      <c r="F564" s="105"/>
      <c r="G564" s="106">
        <f>ROUND(F564*E564,)</f>
        <v>0</v>
      </c>
    </row>
    <row r="565" spans="1:8" ht="15" thickBot="1">
      <c r="A565" s="978"/>
      <c r="B565" s="979"/>
      <c r="C565" s="980"/>
      <c r="D565" s="981" t="s">
        <v>418</v>
      </c>
      <c r="E565" s="981"/>
      <c r="F565" s="981"/>
      <c r="G565" s="13">
        <f>SUM(G564:G564)</f>
        <v>0</v>
      </c>
    </row>
    <row r="566" spans="1:8" ht="15" thickBot="1">
      <c r="A566" s="982" t="s">
        <v>1</v>
      </c>
      <c r="B566" s="983" t="s">
        <v>419</v>
      </c>
      <c r="C566" s="983"/>
      <c r="D566" s="983"/>
      <c r="E566" s="983"/>
      <c r="F566" s="983"/>
      <c r="G566" s="984"/>
    </row>
    <row r="567" spans="1:8" ht="15" thickBot="1">
      <c r="A567" s="982"/>
      <c r="B567" s="913" t="s">
        <v>396</v>
      </c>
      <c r="C567" s="914"/>
      <c r="D567" s="95" t="s">
        <v>3</v>
      </c>
      <c r="E567" s="207" t="s">
        <v>4</v>
      </c>
      <c r="F567" s="107" t="s">
        <v>420</v>
      </c>
      <c r="G567" s="97" t="s">
        <v>399</v>
      </c>
    </row>
    <row r="568" spans="1:8">
      <c r="A568" s="108"/>
      <c r="B568" s="985" t="str">
        <f>+A551</f>
        <v>Mantenimiento de techo en teja de barro, incluye:  retiro de tejas en un 100 %, retiro de impermeabilización en un 100 %, retiro de tablilla en un 100 %, retiro de alfardas en un  27 %; suministro y colocación de alfardas de 2" x 5", suministro y colocación de tablilla de pino en un 100 %, suministro y colocación de impermeabilización con fieltro Permofit en un 100 %, suministro y reemplazo de tejas de barro hasta un máximo de 20% donde sea necesario y cargue y botada de escombros</v>
      </c>
      <c r="C568" s="986"/>
      <c r="D568" s="109" t="s">
        <v>15</v>
      </c>
      <c r="E568" s="321">
        <v>1</v>
      </c>
      <c r="F568" s="100">
        <f>273250*1.051</f>
        <v>287185.75</v>
      </c>
      <c r="G568" s="111">
        <f>+E568*F568</f>
        <v>287185.75</v>
      </c>
      <c r="H568" s="320"/>
    </row>
    <row r="569" spans="1:8" ht="15" thickBot="1">
      <c r="A569" s="987" t="s">
        <v>424</v>
      </c>
      <c r="B569" s="988"/>
      <c r="C569" s="989"/>
      <c r="D569" s="990" t="s">
        <v>425</v>
      </c>
      <c r="E569" s="990"/>
      <c r="F569" s="990"/>
      <c r="G569" s="14">
        <f>SUM(G568:G568)</f>
        <v>287185.75</v>
      </c>
    </row>
    <row r="570" spans="1:8" ht="15" thickBot="1">
      <c r="A570" s="991"/>
      <c r="B570" s="991"/>
      <c r="C570" s="991"/>
      <c r="D570" s="992" t="s">
        <v>426</v>
      </c>
      <c r="E570" s="993"/>
      <c r="F570" s="993"/>
      <c r="G570" s="112">
        <f>ROUND(+G557+G561+G565+G569,)</f>
        <v>287186</v>
      </c>
    </row>
    <row r="571" spans="1:8" ht="15" thickBot="1">
      <c r="E571" s="41"/>
      <c r="F571" s="41"/>
    </row>
    <row r="572" spans="1:8" ht="15" thickBot="1">
      <c r="A572" s="950" t="s">
        <v>390</v>
      </c>
      <c r="B572" s="951"/>
      <c r="C572" s="951"/>
      <c r="D572" s="951"/>
      <c r="E572" s="952"/>
      <c r="F572" s="42" t="s">
        <v>391</v>
      </c>
      <c r="G572" s="43">
        <f ca="1">TODAY()</f>
        <v>46071</v>
      </c>
    </row>
    <row r="573" spans="1:8" ht="17.25" customHeight="1" thickBot="1">
      <c r="A573" s="1018" t="str">
        <f>+'OFERTA ECONOMICA'!B34</f>
        <v>Suministro, transporte y colocación de canoa en lámina galvanizada calibre 24, moldurada desarrollo 0,70 m.  incluye embudo galvanizado calibre 16 y codo galvanizado calibre 26 aproximadamente cada 5 m., pintura anticorrosiva, esmalte base aceite y todos los elementos necesarios para su correcta instalación. Incluye personal y andamios certificados para trabajos en alturas.</v>
      </c>
      <c r="B573" s="1019"/>
      <c r="C573" s="1019"/>
      <c r="D573" s="1019"/>
      <c r="E573" s="1020"/>
      <c r="F573" s="44" t="s">
        <v>392</v>
      </c>
      <c r="G573" s="45" t="s">
        <v>12</v>
      </c>
    </row>
    <row r="574" spans="1:8" ht="17.25" customHeight="1" thickBot="1">
      <c r="A574" s="1021"/>
      <c r="B574" s="1022"/>
      <c r="C574" s="1022"/>
      <c r="D574" s="1022"/>
      <c r="E574" s="1023"/>
      <c r="F574" s="44" t="s">
        <v>393</v>
      </c>
      <c r="G574" s="46">
        <v>1</v>
      </c>
    </row>
    <row r="575" spans="1:8" ht="17.25" customHeight="1" thickBot="1">
      <c r="A575" s="1024"/>
      <c r="B575" s="1025"/>
      <c r="C575" s="1025"/>
      <c r="D575" s="1025"/>
      <c r="E575" s="1026"/>
      <c r="F575" s="47" t="s">
        <v>394</v>
      </c>
      <c r="G575" s="48" t="s">
        <v>66</v>
      </c>
    </row>
    <row r="576" spans="1:8" ht="15" thickBot="1">
      <c r="A576" s="1032" t="s">
        <v>1</v>
      </c>
      <c r="B576" s="1033" t="s">
        <v>395</v>
      </c>
      <c r="C576" s="1034"/>
      <c r="D576" s="1034"/>
      <c r="E576" s="1034"/>
      <c r="F576" s="1034"/>
      <c r="G576" s="1035"/>
    </row>
    <row r="577" spans="1:7" ht="15" thickBot="1">
      <c r="A577" s="909"/>
      <c r="B577" s="913" t="s">
        <v>396</v>
      </c>
      <c r="C577" s="914"/>
      <c r="D577" s="95" t="s">
        <v>3</v>
      </c>
      <c r="E577" s="207" t="s">
        <v>398</v>
      </c>
      <c r="F577" s="95" t="s">
        <v>439</v>
      </c>
      <c r="G577" s="113" t="s">
        <v>399</v>
      </c>
    </row>
    <row r="578" spans="1:7" ht="15" thickBot="1">
      <c r="A578" s="114"/>
      <c r="B578" s="966" t="s">
        <v>427</v>
      </c>
      <c r="C578" s="967"/>
      <c r="D578" s="88" t="s">
        <v>428</v>
      </c>
      <c r="E578" s="214">
        <f>+G603</f>
        <v>45188</v>
      </c>
      <c r="F578" s="89">
        <v>0.05</v>
      </c>
      <c r="G578" s="117">
        <f>ROUND((E578*F578),0)</f>
        <v>2259</v>
      </c>
    </row>
    <row r="579" spans="1:7" ht="15" thickBot="1">
      <c r="A579" s="114"/>
      <c r="B579" s="966" t="s">
        <v>481</v>
      </c>
      <c r="C579" s="967"/>
      <c r="D579" s="88" t="s">
        <v>430</v>
      </c>
      <c r="E579" s="214">
        <v>3482</v>
      </c>
      <c r="F579" s="89">
        <v>0.3</v>
      </c>
      <c r="G579" s="117">
        <f>ROUND((E579*F579),0)</f>
        <v>1045</v>
      </c>
    </row>
    <row r="580" spans="1:7">
      <c r="A580" s="154"/>
      <c r="B580" s="930" t="s">
        <v>513</v>
      </c>
      <c r="C580" s="931"/>
      <c r="D580" s="171" t="s">
        <v>430</v>
      </c>
      <c r="E580" s="220">
        <v>23072</v>
      </c>
      <c r="F580" s="93">
        <v>0.1</v>
      </c>
      <c r="G580" s="149">
        <f>ROUND((E580*F580),0)</f>
        <v>2307</v>
      </c>
    </row>
    <row r="581" spans="1:7" ht="15" thickBot="1">
      <c r="A581" s="970"/>
      <c r="B581" s="971"/>
      <c r="C581" s="972"/>
      <c r="D581" s="973" t="s">
        <v>403</v>
      </c>
      <c r="E581" s="974"/>
      <c r="F581" s="975"/>
      <c r="G581" s="11">
        <f>SUM(G578:G580)</f>
        <v>5611</v>
      </c>
    </row>
    <row r="582" spans="1:7" ht="15" thickBot="1">
      <c r="A582" s="908" t="s">
        <v>1</v>
      </c>
      <c r="B582" s="910" t="s">
        <v>404</v>
      </c>
      <c r="C582" s="911"/>
      <c r="D582" s="911"/>
      <c r="E582" s="911"/>
      <c r="F582" s="911"/>
      <c r="G582" s="912"/>
    </row>
    <row r="583" spans="1:7" ht="15" thickBot="1">
      <c r="A583" s="909"/>
      <c r="B583" s="913" t="s">
        <v>396</v>
      </c>
      <c r="C583" s="914"/>
      <c r="D583" s="95" t="s">
        <v>3</v>
      </c>
      <c r="E583" s="207" t="s">
        <v>398</v>
      </c>
      <c r="F583" s="95" t="s">
        <v>397</v>
      </c>
      <c r="G583" s="113" t="s">
        <v>399</v>
      </c>
    </row>
    <row r="584" spans="1:7" ht="15" thickBot="1">
      <c r="A584" s="122"/>
      <c r="B584" s="1030" t="s">
        <v>514</v>
      </c>
      <c r="C584" s="1031"/>
      <c r="D584" s="88" t="s">
        <v>12</v>
      </c>
      <c r="E584" s="214">
        <v>77642</v>
      </c>
      <c r="F584" s="89">
        <v>1.05</v>
      </c>
      <c r="G584" s="149">
        <f t="shared" ref="G584:G589" si="35">ROUND((E584*F584),0)</f>
        <v>81524</v>
      </c>
    </row>
    <row r="585" spans="1:7" ht="15" thickBot="1">
      <c r="A585" s="122"/>
      <c r="B585" s="976" t="s">
        <v>515</v>
      </c>
      <c r="C585" s="977"/>
      <c r="D585" s="88" t="s">
        <v>473</v>
      </c>
      <c r="E585" s="214">
        <v>54000</v>
      </c>
      <c r="F585" s="89">
        <v>1.05</v>
      </c>
      <c r="G585" s="149">
        <f t="shared" si="35"/>
        <v>56700</v>
      </c>
    </row>
    <row r="586" spans="1:7" ht="15" thickBot="1">
      <c r="A586" s="122"/>
      <c r="B586" s="976" t="s">
        <v>516</v>
      </c>
      <c r="C586" s="977"/>
      <c r="D586" s="88" t="s">
        <v>473</v>
      </c>
      <c r="E586" s="214">
        <v>39900</v>
      </c>
      <c r="F586" s="89">
        <v>0.08</v>
      </c>
      <c r="G586" s="149">
        <f t="shared" si="35"/>
        <v>3192</v>
      </c>
    </row>
    <row r="587" spans="1:7" ht="15" thickBot="1">
      <c r="A587" s="155"/>
      <c r="B587" s="930" t="s">
        <v>493</v>
      </c>
      <c r="C587" s="931"/>
      <c r="D587" s="88" t="s">
        <v>473</v>
      </c>
      <c r="E587" s="214">
        <v>72563</v>
      </c>
      <c r="F587" s="89">
        <v>0.1</v>
      </c>
      <c r="G587" s="149">
        <f t="shared" si="35"/>
        <v>7256</v>
      </c>
    </row>
    <row r="588" spans="1:7" ht="15" thickBot="1">
      <c r="A588" s="155"/>
      <c r="B588" s="930" t="s">
        <v>517</v>
      </c>
      <c r="C588" s="931"/>
      <c r="D588" s="88" t="s">
        <v>55</v>
      </c>
      <c r="E588" s="214">
        <v>25200</v>
      </c>
      <c r="F588" s="89">
        <v>0.38</v>
      </c>
      <c r="G588" s="149">
        <f t="shared" si="35"/>
        <v>9576</v>
      </c>
    </row>
    <row r="589" spans="1:7" ht="15" thickBot="1">
      <c r="A589" s="155"/>
      <c r="B589" s="930" t="s">
        <v>518</v>
      </c>
      <c r="C589" s="931"/>
      <c r="D589" s="88" t="s">
        <v>55</v>
      </c>
      <c r="E589" s="214">
        <v>6950</v>
      </c>
      <c r="F589" s="89">
        <v>0.5</v>
      </c>
      <c r="G589" s="149">
        <f t="shared" si="35"/>
        <v>3475</v>
      </c>
    </row>
    <row r="590" spans="1:7" ht="15" thickBot="1">
      <c r="A590" s="178"/>
      <c r="B590" s="926" t="s">
        <v>519</v>
      </c>
      <c r="C590" s="927"/>
      <c r="D590" s="179" t="s">
        <v>55</v>
      </c>
      <c r="E590" s="221">
        <v>240</v>
      </c>
      <c r="F590" s="89">
        <v>3</v>
      </c>
      <c r="G590" s="181">
        <f>ROUND(E590*F590,)</f>
        <v>720</v>
      </c>
    </row>
    <row r="591" spans="1:7" ht="15" thickBot="1">
      <c r="A591" s="932"/>
      <c r="B591" s="933"/>
      <c r="C591" s="934"/>
      <c r="D591" s="935" t="s">
        <v>415</v>
      </c>
      <c r="E591" s="936"/>
      <c r="F591" s="937"/>
      <c r="G591" s="18">
        <f>SUM(G584:G590)</f>
        <v>162443</v>
      </c>
    </row>
    <row r="592" spans="1:7" ht="15" thickBot="1">
      <c r="A592" s="908" t="s">
        <v>1</v>
      </c>
      <c r="B592" s="910" t="s">
        <v>416</v>
      </c>
      <c r="C592" s="911"/>
      <c r="D592" s="911"/>
      <c r="E592" s="911"/>
      <c r="F592" s="911"/>
      <c r="G592" s="912"/>
    </row>
    <row r="593" spans="1:7" ht="15" thickBot="1">
      <c r="A593" s="909"/>
      <c r="B593" s="913" t="s">
        <v>396</v>
      </c>
      <c r="C593" s="914"/>
      <c r="D593" s="95" t="s">
        <v>3</v>
      </c>
      <c r="E593" s="207" t="s">
        <v>398</v>
      </c>
      <c r="F593" s="95" t="s">
        <v>397</v>
      </c>
      <c r="G593" s="113" t="s">
        <v>399</v>
      </c>
    </row>
    <row r="594" spans="1:7" ht="15" thickBot="1">
      <c r="A594" s="127"/>
      <c r="B594" s="942" t="s">
        <v>436</v>
      </c>
      <c r="C594" s="943"/>
      <c r="D594" s="104" t="s">
        <v>28</v>
      </c>
      <c r="E594" s="212">
        <v>22500</v>
      </c>
      <c r="F594" s="89">
        <v>0.15</v>
      </c>
      <c r="G594" s="159">
        <f>ROUND(F594*E594,)</f>
        <v>3375</v>
      </c>
    </row>
    <row r="595" spans="1:7">
      <c r="A595" s="156"/>
      <c r="B595" s="940" t="s">
        <v>402</v>
      </c>
      <c r="C595" s="941"/>
      <c r="D595" s="157" t="s">
        <v>402</v>
      </c>
      <c r="E595" s="219"/>
      <c r="F595" s="158"/>
      <c r="G595" s="159">
        <f>ROUND(F595*E595,)</f>
        <v>0</v>
      </c>
    </row>
    <row r="596" spans="1:7" ht="15" thickBot="1">
      <c r="A596" s="130"/>
      <c r="B596" s="942" t="s">
        <v>402</v>
      </c>
      <c r="C596" s="943"/>
      <c r="D596" s="104" t="s">
        <v>402</v>
      </c>
      <c r="E596" s="212"/>
      <c r="F596" s="105"/>
      <c r="G596" s="131">
        <f>ROUND(F596*E596,)</f>
        <v>0</v>
      </c>
    </row>
    <row r="597" spans="1:7" ht="15" thickBot="1">
      <c r="A597" s="944"/>
      <c r="B597" s="945"/>
      <c r="C597" s="946"/>
      <c r="D597" s="947" t="s">
        <v>418</v>
      </c>
      <c r="E597" s="948"/>
      <c r="F597" s="949"/>
      <c r="G597" s="11">
        <f>SUM(G594:G596)</f>
        <v>3375</v>
      </c>
    </row>
    <row r="598" spans="1:7" ht="15" thickBot="1">
      <c r="A598" s="908" t="s">
        <v>1</v>
      </c>
      <c r="B598" s="910" t="s">
        <v>419</v>
      </c>
      <c r="C598" s="911"/>
      <c r="D598" s="911"/>
      <c r="E598" s="911"/>
      <c r="F598" s="911"/>
      <c r="G598" s="912"/>
    </row>
    <row r="599" spans="1:7" ht="15" thickBot="1">
      <c r="A599" s="909"/>
      <c r="B599" s="913" t="s">
        <v>396</v>
      </c>
      <c r="C599" s="914"/>
      <c r="D599" s="95" t="s">
        <v>3</v>
      </c>
      <c r="E599" s="207" t="s">
        <v>398</v>
      </c>
      <c r="F599" s="95" t="s">
        <v>397</v>
      </c>
      <c r="G599" s="113" t="s">
        <v>399</v>
      </c>
    </row>
    <row r="600" spans="1:7" ht="15" thickBot="1">
      <c r="A600" s="122"/>
      <c r="B600" s="985" t="s">
        <v>480</v>
      </c>
      <c r="C600" s="986"/>
      <c r="D600" s="109" t="s">
        <v>422</v>
      </c>
      <c r="E600" s="281">
        <f>_xlfn.IFNA(VLOOKUP(B600,'sub M. DE OBRA'!$B$4:$E$19997,4,FALSE),0)</f>
        <v>301253.33333333331</v>
      </c>
      <c r="F600" s="110">
        <v>0.1</v>
      </c>
      <c r="G600" s="129">
        <f>ROUND(F600*E600,)</f>
        <v>30125</v>
      </c>
    </row>
    <row r="601" spans="1:7" ht="15" thickBot="1">
      <c r="A601" s="155"/>
      <c r="B601" s="985" t="s">
        <v>520</v>
      </c>
      <c r="C601" s="986"/>
      <c r="D601" s="92" t="s">
        <v>422</v>
      </c>
      <c r="E601" s="281">
        <f>_xlfn.IFNA(VLOOKUP(B601,'sub M. DE OBRA'!$B$4:$E$19997,4,FALSE),0)</f>
        <v>301253.33333333331</v>
      </c>
      <c r="F601" s="101">
        <v>0.05</v>
      </c>
      <c r="G601" s="129">
        <f>ROUND(F601*E601,)</f>
        <v>15063</v>
      </c>
    </row>
    <row r="602" spans="1:7" s="7" customFormat="1" ht="13.5" thickBot="1">
      <c r="A602" s="165"/>
      <c r="B602" s="985"/>
      <c r="C602" s="986"/>
      <c r="D602" s="168"/>
      <c r="E602" s="222"/>
      <c r="F602" s="169"/>
      <c r="G602" s="170">
        <f>ROUND(E602*F602*C602,0)</f>
        <v>0</v>
      </c>
    </row>
    <row r="603" spans="1:7" ht="15" thickBot="1">
      <c r="A603" s="915" t="s">
        <v>424</v>
      </c>
      <c r="B603" s="916"/>
      <c r="C603" s="917"/>
      <c r="D603" s="918" t="s">
        <v>425</v>
      </c>
      <c r="E603" s="919"/>
      <c r="F603" s="920"/>
      <c r="G603" s="12">
        <f>SUM(G600:G602)</f>
        <v>45188</v>
      </c>
    </row>
    <row r="604" spans="1:7" ht="15" thickBot="1">
      <c r="A604" s="921"/>
      <c r="B604" s="922"/>
      <c r="C604" s="922"/>
      <c r="D604" s="923" t="s">
        <v>426</v>
      </c>
      <c r="E604" s="924"/>
      <c r="F604" s="925"/>
      <c r="G604" s="153">
        <f>+G581+G591+G597+G603</f>
        <v>216617</v>
      </c>
    </row>
    <row r="605" spans="1:7">
      <c r="E605" s="41"/>
      <c r="F605" s="41"/>
    </row>
    <row r="606" spans="1:7" ht="15" thickBot="1">
      <c r="A606" s="1036" t="s">
        <v>389</v>
      </c>
      <c r="B606" s="1037"/>
      <c r="C606" s="1037"/>
      <c r="D606" s="1037"/>
      <c r="E606" s="1037"/>
      <c r="F606" s="1037"/>
      <c r="G606" s="1038"/>
    </row>
    <row r="607" spans="1:7" ht="15" thickBot="1">
      <c r="A607" s="1006" t="s">
        <v>390</v>
      </c>
      <c r="B607" s="1007"/>
      <c r="C607" s="1007"/>
      <c r="D607" s="1007"/>
      <c r="E607" s="1007"/>
      <c r="F607" s="272" t="s">
        <v>391</v>
      </c>
      <c r="G607" s="43">
        <f ca="1">TODAY()</f>
        <v>46071</v>
      </c>
    </row>
    <row r="608" spans="1:7" ht="15" thickBot="1">
      <c r="A608" s="1018" t="str">
        <f>+'OFERTA ECONOMICA'!B35</f>
        <v>Mantenimiento de canoas: Incluye: limpeza, cargue y botada de escombros ,pintura anticorrosivo y pintura base de aceite y soldaduras donde se necesario.</v>
      </c>
      <c r="B608" s="1019"/>
      <c r="C608" s="1019"/>
      <c r="D608" s="1019"/>
      <c r="E608" s="1020"/>
      <c r="F608" s="273" t="s">
        <v>392</v>
      </c>
      <c r="G608" s="45" t="s">
        <v>12</v>
      </c>
    </row>
    <row r="609" spans="1:7" ht="15" thickBot="1">
      <c r="A609" s="1021"/>
      <c r="B609" s="1022"/>
      <c r="C609" s="1022"/>
      <c r="D609" s="1022"/>
      <c r="E609" s="1023"/>
      <c r="F609" s="273" t="s">
        <v>393</v>
      </c>
      <c r="G609" s="46">
        <v>1</v>
      </c>
    </row>
    <row r="610" spans="1:7" ht="15" thickBot="1">
      <c r="A610" s="1024"/>
      <c r="B610" s="1025"/>
      <c r="C610" s="1025"/>
      <c r="D610" s="1025"/>
      <c r="E610" s="1026"/>
      <c r="F610" s="274" t="s">
        <v>394</v>
      </c>
      <c r="G610" s="48" t="s">
        <v>68</v>
      </c>
    </row>
    <row r="611" spans="1:7" ht="15" thickBot="1">
      <c r="A611" s="1008" t="s">
        <v>1</v>
      </c>
      <c r="B611" s="1009" t="s">
        <v>395</v>
      </c>
      <c r="C611" s="1009"/>
      <c r="D611" s="1009"/>
      <c r="E611" s="1009"/>
      <c r="F611" s="1009"/>
      <c r="G611" s="1010"/>
    </row>
    <row r="612" spans="1:7" ht="15" thickBot="1">
      <c r="A612" s="982"/>
      <c r="B612" s="913" t="s">
        <v>396</v>
      </c>
      <c r="C612" s="914"/>
      <c r="D612" s="95" t="s">
        <v>3</v>
      </c>
      <c r="E612" s="242" t="s">
        <v>398</v>
      </c>
      <c r="F612" s="286" t="s">
        <v>4</v>
      </c>
      <c r="G612" s="97" t="s">
        <v>399</v>
      </c>
    </row>
    <row r="613" spans="1:7">
      <c r="A613" s="87"/>
      <c r="B613" s="930" t="s">
        <v>427</v>
      </c>
      <c r="C613" s="931"/>
      <c r="D613" s="88" t="s">
        <v>428</v>
      </c>
      <c r="E613" s="251">
        <f>+G632</f>
        <v>37656.666666666664</v>
      </c>
      <c r="F613" s="284">
        <v>0.05</v>
      </c>
      <c r="G613" s="90">
        <f t="shared" ref="G613:G615" si="36">ROUND((E613*F613),0)</f>
        <v>1883</v>
      </c>
    </row>
    <row r="614" spans="1:7">
      <c r="A614" s="91"/>
      <c r="B614" s="968" t="s">
        <v>462</v>
      </c>
      <c r="C614" s="969"/>
      <c r="D614" s="92" t="s">
        <v>430</v>
      </c>
      <c r="E614" s="252">
        <v>36500</v>
      </c>
      <c r="F614" s="285">
        <v>0.125</v>
      </c>
      <c r="G614" s="94">
        <f t="shared" si="36"/>
        <v>4563</v>
      </c>
    </row>
    <row r="615" spans="1:7">
      <c r="A615" s="91"/>
      <c r="B615" s="968"/>
      <c r="C615" s="969"/>
      <c r="D615" s="92"/>
      <c r="E615" s="252"/>
      <c r="F615" s="285"/>
      <c r="G615" s="94">
        <f t="shared" si="36"/>
        <v>0</v>
      </c>
    </row>
    <row r="616" spans="1:7" ht="15" thickBot="1">
      <c r="A616" s="994"/>
      <c r="B616" s="995"/>
      <c r="C616" s="995"/>
      <c r="D616" s="981" t="s">
        <v>403</v>
      </c>
      <c r="E616" s="981"/>
      <c r="F616" s="981"/>
      <c r="G616" s="13">
        <f>SUM(G613:G615)</f>
        <v>6446</v>
      </c>
    </row>
    <row r="617" spans="1:7" ht="15" thickBot="1">
      <c r="A617" s="982" t="s">
        <v>1</v>
      </c>
      <c r="B617" s="983" t="s">
        <v>404</v>
      </c>
      <c r="C617" s="983"/>
      <c r="D617" s="983"/>
      <c r="E617" s="983"/>
      <c r="F617" s="983"/>
      <c r="G617" s="984"/>
    </row>
    <row r="618" spans="1:7" ht="15" thickBot="1">
      <c r="A618" s="982"/>
      <c r="B618" s="913" t="s">
        <v>396</v>
      </c>
      <c r="C618" s="914"/>
      <c r="D618" s="95" t="s">
        <v>3</v>
      </c>
      <c r="E618" s="242" t="s">
        <v>398</v>
      </c>
      <c r="F618" s="286" t="s">
        <v>397</v>
      </c>
      <c r="G618" s="97" t="s">
        <v>399</v>
      </c>
    </row>
    <row r="619" spans="1:7">
      <c r="A619" s="108"/>
      <c r="B619" s="985" t="s">
        <v>493</v>
      </c>
      <c r="C619" s="986"/>
      <c r="D619" s="109" t="s">
        <v>473</v>
      </c>
      <c r="E619" s="214">
        <v>77563</v>
      </c>
      <c r="F619" s="414">
        <v>0.11</v>
      </c>
      <c r="G619" s="111">
        <f t="shared" ref="G619:G623" si="37">ROUND(E619*F619,)</f>
        <v>8532</v>
      </c>
    </row>
    <row r="620" spans="1:7">
      <c r="A620" s="98"/>
      <c r="B620" s="928" t="s">
        <v>521</v>
      </c>
      <c r="C620" s="929"/>
      <c r="D620" s="92" t="s">
        <v>473</v>
      </c>
      <c r="E620" s="215">
        <v>75899</v>
      </c>
      <c r="F620" s="412">
        <v>0.08</v>
      </c>
      <c r="G620" s="102">
        <f t="shared" si="37"/>
        <v>6072</v>
      </c>
    </row>
    <row r="621" spans="1:7">
      <c r="A621" s="98"/>
      <c r="B621" s="928" t="s">
        <v>516</v>
      </c>
      <c r="C621" s="929"/>
      <c r="D621" s="99" t="s">
        <v>473</v>
      </c>
      <c r="E621" s="216">
        <v>70528</v>
      </c>
      <c r="F621" s="412">
        <v>0.08</v>
      </c>
      <c r="G621" s="102">
        <f t="shared" si="37"/>
        <v>5642</v>
      </c>
    </row>
    <row r="622" spans="1:7">
      <c r="A622" s="98"/>
      <c r="B622" s="928"/>
      <c r="C622" s="929"/>
      <c r="D622" s="92"/>
      <c r="E622" s="252"/>
      <c r="F622" s="287"/>
      <c r="G622" s="102">
        <f t="shared" si="37"/>
        <v>0</v>
      </c>
    </row>
    <row r="623" spans="1:7">
      <c r="A623" s="98"/>
      <c r="B623" s="928"/>
      <c r="C623" s="929"/>
      <c r="D623" s="99"/>
      <c r="E623" s="253"/>
      <c r="F623" s="287"/>
      <c r="G623" s="102">
        <f t="shared" si="37"/>
        <v>0</v>
      </c>
    </row>
    <row r="624" spans="1:7" ht="15" thickBot="1">
      <c r="A624" s="996"/>
      <c r="B624" s="997"/>
      <c r="C624" s="998"/>
      <c r="D624" s="981" t="s">
        <v>415</v>
      </c>
      <c r="E624" s="981"/>
      <c r="F624" s="981"/>
      <c r="G624" s="13">
        <f>SUM(G619:G623)</f>
        <v>20246</v>
      </c>
    </row>
    <row r="625" spans="1:7" ht="15" thickBot="1">
      <c r="A625" s="982" t="s">
        <v>1</v>
      </c>
      <c r="B625" s="983" t="s">
        <v>416</v>
      </c>
      <c r="C625" s="983"/>
      <c r="D625" s="983"/>
      <c r="E625" s="983"/>
      <c r="F625" s="983"/>
      <c r="G625" s="984"/>
    </row>
    <row r="626" spans="1:7" ht="15" thickBot="1">
      <c r="A626" s="982"/>
      <c r="B626" s="913" t="s">
        <v>396</v>
      </c>
      <c r="C626" s="914"/>
      <c r="D626" s="95" t="s">
        <v>3</v>
      </c>
      <c r="E626" s="242" t="s">
        <v>398</v>
      </c>
      <c r="F626" s="286" t="s">
        <v>397</v>
      </c>
      <c r="G626" s="97" t="s">
        <v>399</v>
      </c>
    </row>
    <row r="627" spans="1:7" ht="15" thickBot="1">
      <c r="A627" s="103"/>
      <c r="B627" s="942" t="s">
        <v>522</v>
      </c>
      <c r="C627" s="943"/>
      <c r="D627" s="104" t="s">
        <v>28</v>
      </c>
      <c r="E627" s="247">
        <v>54140</v>
      </c>
      <c r="F627" s="288">
        <v>0.06</v>
      </c>
      <c r="G627" s="106">
        <f>ROUND(F627*E627,)</f>
        <v>3248</v>
      </c>
    </row>
    <row r="628" spans="1:7" ht="15" thickBot="1">
      <c r="A628" s="978"/>
      <c r="B628" s="979"/>
      <c r="C628" s="980"/>
      <c r="D628" s="981" t="s">
        <v>418</v>
      </c>
      <c r="E628" s="981"/>
      <c r="F628" s="981"/>
      <c r="G628" s="13">
        <f>SUM(G627:G627)</f>
        <v>3248</v>
      </c>
    </row>
    <row r="629" spans="1:7" ht="15" thickBot="1">
      <c r="A629" s="982" t="s">
        <v>1</v>
      </c>
      <c r="B629" s="983" t="s">
        <v>419</v>
      </c>
      <c r="C629" s="983"/>
      <c r="D629" s="983"/>
      <c r="E629" s="983"/>
      <c r="F629" s="983"/>
      <c r="G629" s="984"/>
    </row>
    <row r="630" spans="1:7" ht="15" thickBot="1">
      <c r="A630" s="982"/>
      <c r="B630" s="913" t="s">
        <v>396</v>
      </c>
      <c r="C630" s="914"/>
      <c r="D630" s="95" t="s">
        <v>3</v>
      </c>
      <c r="E630" s="242" t="s">
        <v>4</v>
      </c>
      <c r="F630" s="289" t="s">
        <v>420</v>
      </c>
      <c r="G630" s="97" t="s">
        <v>399</v>
      </c>
    </row>
    <row r="631" spans="1:7">
      <c r="A631" s="108"/>
      <c r="B631" s="985" t="s">
        <v>512</v>
      </c>
      <c r="C631" s="986"/>
      <c r="D631" s="109" t="s">
        <v>467</v>
      </c>
      <c r="E631" s="254">
        <v>0.125</v>
      </c>
      <c r="F631" s="281">
        <f>_xlfn.IFNA(VLOOKUP(B631,'sub M. DE OBRA'!$B$4:$E$19997,4,FALSE),0)</f>
        <v>301253.33333333331</v>
      </c>
      <c r="G631" s="111">
        <f>+E631*F631</f>
        <v>37656.666666666664</v>
      </c>
    </row>
    <row r="632" spans="1:7" ht="15" thickBot="1">
      <c r="A632" s="987" t="s">
        <v>424</v>
      </c>
      <c r="B632" s="988"/>
      <c r="C632" s="989"/>
      <c r="D632" s="990" t="s">
        <v>425</v>
      </c>
      <c r="E632" s="990"/>
      <c r="F632" s="990"/>
      <c r="G632" s="14">
        <f>SUM(G631:G631)</f>
        <v>37656.666666666664</v>
      </c>
    </row>
    <row r="633" spans="1:7" ht="15" thickBot="1">
      <c r="A633" s="991"/>
      <c r="B633" s="991"/>
      <c r="C633" s="991"/>
      <c r="D633" s="992" t="s">
        <v>426</v>
      </c>
      <c r="E633" s="993"/>
      <c r="F633" s="993"/>
      <c r="G633" s="112">
        <f>ROUND(+G616+G624+G628+G632,)</f>
        <v>67597</v>
      </c>
    </row>
    <row r="634" spans="1:7">
      <c r="E634" s="41"/>
      <c r="F634" s="41"/>
    </row>
    <row r="635" spans="1:7" ht="15" thickBot="1">
      <c r="A635" s="1036" t="s">
        <v>389</v>
      </c>
      <c r="B635" s="1037"/>
      <c r="C635" s="1037"/>
      <c r="D635" s="1037"/>
      <c r="E635" s="1037"/>
      <c r="F635" s="1037"/>
      <c r="G635" s="1038"/>
    </row>
    <row r="636" spans="1:7" ht="15" thickBot="1">
      <c r="A636" s="1006" t="s">
        <v>390</v>
      </c>
      <c r="B636" s="1007"/>
      <c r="C636" s="1007"/>
      <c r="D636" s="1007"/>
      <c r="E636" s="1007"/>
      <c r="F636" s="272" t="s">
        <v>391</v>
      </c>
      <c r="G636" s="43">
        <f ca="1">TODAY()</f>
        <v>46071</v>
      </c>
    </row>
    <row r="637" spans="1:7" ht="15" thickBot="1">
      <c r="A637" s="953" t="str">
        <f>+'OFERTA ECONOMICA'!B36</f>
        <v>Suministro, transporte y colocación de ruana en lámina galvanizada calibre 24, desarrollo 55 cm. Incluye  pintura anticorrosiva y a base de aceite, pestaña de 5 cm, y todos los elementos necesarios para su correcta construcción. Según diseño de cubierta. Incluye personal y andamios certificados para trabajos en alturas.</v>
      </c>
      <c r="B637" s="954"/>
      <c r="C637" s="954"/>
      <c r="D637" s="954"/>
      <c r="E637" s="955"/>
      <c r="F637" s="273" t="s">
        <v>392</v>
      </c>
      <c r="G637" s="45" t="s">
        <v>12</v>
      </c>
    </row>
    <row r="638" spans="1:7" ht="15" thickBot="1">
      <c r="A638" s="956"/>
      <c r="B638" s="957"/>
      <c r="C638" s="957"/>
      <c r="D638" s="957"/>
      <c r="E638" s="958"/>
      <c r="F638" s="273" t="s">
        <v>393</v>
      </c>
      <c r="G638" s="46">
        <v>1</v>
      </c>
    </row>
    <row r="639" spans="1:7" ht="15" thickBot="1">
      <c r="A639" s="959"/>
      <c r="B639" s="960"/>
      <c r="C639" s="960"/>
      <c r="D639" s="960"/>
      <c r="E639" s="961"/>
      <c r="F639" s="274" t="s">
        <v>394</v>
      </c>
      <c r="G639" s="48" t="s">
        <v>523</v>
      </c>
    </row>
    <row r="640" spans="1:7" ht="15" thickBot="1">
      <c r="A640" s="1008" t="s">
        <v>1</v>
      </c>
      <c r="B640" s="1009" t="s">
        <v>395</v>
      </c>
      <c r="C640" s="1009"/>
      <c r="D640" s="1009"/>
      <c r="E640" s="1009"/>
      <c r="F640" s="1009"/>
      <c r="G640" s="1010"/>
    </row>
    <row r="641" spans="1:7" ht="15" thickBot="1">
      <c r="A641" s="982"/>
      <c r="B641" s="913" t="s">
        <v>396</v>
      </c>
      <c r="C641" s="914"/>
      <c r="D641" s="95" t="s">
        <v>3</v>
      </c>
      <c r="E641" s="242" t="s">
        <v>398</v>
      </c>
      <c r="F641" s="286" t="s">
        <v>4</v>
      </c>
      <c r="G641" s="97" t="s">
        <v>399</v>
      </c>
    </row>
    <row r="642" spans="1:7">
      <c r="A642" s="87"/>
      <c r="B642" s="930" t="s">
        <v>427</v>
      </c>
      <c r="C642" s="931"/>
      <c r="D642" s="88" t="s">
        <v>428</v>
      </c>
      <c r="E642" s="251">
        <f>+G663</f>
        <v>23347.133333333331</v>
      </c>
      <c r="F642" s="284">
        <v>0.05</v>
      </c>
      <c r="G642" s="90">
        <f t="shared" ref="G642:G644" si="38">ROUND((E642*F642),0)</f>
        <v>1167</v>
      </c>
    </row>
    <row r="643" spans="1:7">
      <c r="A643" s="91"/>
      <c r="B643" s="968" t="s">
        <v>462</v>
      </c>
      <c r="C643" s="969"/>
      <c r="D643" s="92" t="s">
        <v>430</v>
      </c>
      <c r="E643" s="252">
        <v>36500</v>
      </c>
      <c r="F643" s="285">
        <v>0.11429</v>
      </c>
      <c r="G643" s="94">
        <f t="shared" si="38"/>
        <v>4172</v>
      </c>
    </row>
    <row r="644" spans="1:7">
      <c r="A644" s="91"/>
      <c r="B644" s="968"/>
      <c r="C644" s="969"/>
      <c r="D644" s="92"/>
      <c r="E644" s="252"/>
      <c r="F644" s="285"/>
      <c r="G644" s="94">
        <f t="shared" si="38"/>
        <v>0</v>
      </c>
    </row>
    <row r="645" spans="1:7" ht="15" thickBot="1">
      <c r="A645" s="994"/>
      <c r="B645" s="995"/>
      <c r="C645" s="995"/>
      <c r="D645" s="981" t="s">
        <v>403</v>
      </c>
      <c r="E645" s="981"/>
      <c r="F645" s="981"/>
      <c r="G645" s="13">
        <f>SUM(G642:G644)</f>
        <v>5339</v>
      </c>
    </row>
    <row r="646" spans="1:7" ht="15" thickBot="1">
      <c r="A646" s="982" t="s">
        <v>1</v>
      </c>
      <c r="B646" s="983" t="s">
        <v>404</v>
      </c>
      <c r="C646" s="983"/>
      <c r="D646" s="983"/>
      <c r="E646" s="983"/>
      <c r="F646" s="983"/>
      <c r="G646" s="984"/>
    </row>
    <row r="647" spans="1:7" ht="15" thickBot="1">
      <c r="A647" s="982"/>
      <c r="B647" s="913" t="s">
        <v>396</v>
      </c>
      <c r="C647" s="914"/>
      <c r="D647" s="95" t="s">
        <v>3</v>
      </c>
      <c r="E647" s="242" t="s">
        <v>398</v>
      </c>
      <c r="F647" s="286" t="s">
        <v>397</v>
      </c>
      <c r="G647" s="97" t="s">
        <v>399</v>
      </c>
    </row>
    <row r="648" spans="1:7">
      <c r="A648" s="108"/>
      <c r="B648" s="985" t="s">
        <v>524</v>
      </c>
      <c r="C648" s="986"/>
      <c r="D648" s="109" t="s">
        <v>12</v>
      </c>
      <c r="E648" s="254">
        <v>36689</v>
      </c>
      <c r="F648" s="304">
        <v>1.05</v>
      </c>
      <c r="G648" s="111">
        <f t="shared" ref="G648:G654" si="39">ROUND(E648*F648,)</f>
        <v>38523</v>
      </c>
    </row>
    <row r="649" spans="1:7" ht="15" thickBot="1">
      <c r="A649" s="178"/>
      <c r="B649" s="926" t="s">
        <v>525</v>
      </c>
      <c r="C649" s="927"/>
      <c r="D649" s="179" t="s">
        <v>55</v>
      </c>
      <c r="E649" s="261">
        <v>257</v>
      </c>
      <c r="F649" s="305">
        <v>4</v>
      </c>
      <c r="G649" s="181">
        <f t="shared" si="39"/>
        <v>1028</v>
      </c>
    </row>
    <row r="650" spans="1:7" ht="15" thickBot="1">
      <c r="A650" s="122"/>
      <c r="B650" s="930" t="s">
        <v>526</v>
      </c>
      <c r="C650" s="931"/>
      <c r="D650" s="88" t="s">
        <v>473</v>
      </c>
      <c r="E650" s="251">
        <v>40500</v>
      </c>
      <c r="F650" s="284">
        <v>0.1</v>
      </c>
      <c r="G650" s="149">
        <f t="shared" ref="G650:G651" si="40">ROUND((E650*F650),0)</f>
        <v>4050</v>
      </c>
    </row>
    <row r="651" spans="1:7">
      <c r="A651" s="155"/>
      <c r="B651" s="930" t="s">
        <v>527</v>
      </c>
      <c r="C651" s="931"/>
      <c r="D651" s="88" t="s">
        <v>473</v>
      </c>
      <c r="E651" s="251">
        <v>72000</v>
      </c>
      <c r="F651" s="284">
        <v>0.1</v>
      </c>
      <c r="G651" s="149">
        <f t="shared" si="40"/>
        <v>7200</v>
      </c>
    </row>
    <row r="652" spans="1:7" ht="15" thickBot="1">
      <c r="A652" s="178"/>
      <c r="B652" s="926" t="s">
        <v>528</v>
      </c>
      <c r="C652" s="927"/>
      <c r="D652" s="179" t="s">
        <v>473</v>
      </c>
      <c r="E652" s="261">
        <v>31900</v>
      </c>
      <c r="F652" s="305">
        <v>2.5000000000000001E-2</v>
      </c>
      <c r="G652" s="181">
        <f t="shared" ref="G652" si="41">ROUND(E652*F652,)</f>
        <v>798</v>
      </c>
    </row>
    <row r="653" spans="1:7" ht="15" thickBot="1">
      <c r="A653" s="98"/>
      <c r="B653" s="928" t="s">
        <v>529</v>
      </c>
      <c r="C653" s="929"/>
      <c r="D653" s="92" t="s">
        <v>28</v>
      </c>
      <c r="E653" s="251">
        <v>482316</v>
      </c>
      <c r="F653" s="287">
        <v>4.0000000000000001E-3</v>
      </c>
      <c r="G653" s="102">
        <f t="shared" si="39"/>
        <v>1929</v>
      </c>
    </row>
    <row r="654" spans="1:7">
      <c r="A654" s="98"/>
      <c r="B654" s="985" t="s">
        <v>530</v>
      </c>
      <c r="C654" s="986"/>
      <c r="D654" s="109" t="s">
        <v>411</v>
      </c>
      <c r="E654" s="254">
        <v>12438</v>
      </c>
      <c r="F654" s="304">
        <v>5.5E-2</v>
      </c>
      <c r="G654" s="102">
        <f t="shared" si="39"/>
        <v>684</v>
      </c>
    </row>
    <row r="655" spans="1:7" ht="15" thickBot="1">
      <c r="A655" s="996"/>
      <c r="B655" s="997"/>
      <c r="C655" s="998"/>
      <c r="D655" s="981" t="s">
        <v>415</v>
      </c>
      <c r="E655" s="981"/>
      <c r="F655" s="981"/>
      <c r="G655" s="13">
        <f>SUM(G648:G654)</f>
        <v>54212</v>
      </c>
    </row>
    <row r="656" spans="1:7" ht="15" thickBot="1">
      <c r="A656" s="982" t="s">
        <v>1</v>
      </c>
      <c r="B656" s="983" t="s">
        <v>416</v>
      </c>
      <c r="C656" s="983"/>
      <c r="D656" s="983"/>
      <c r="E656" s="983"/>
      <c r="F656" s="983"/>
      <c r="G656" s="984"/>
    </row>
    <row r="657" spans="1:7" ht="15" thickBot="1">
      <c r="A657" s="982"/>
      <c r="B657" s="913" t="s">
        <v>396</v>
      </c>
      <c r="C657" s="914"/>
      <c r="D657" s="95" t="s">
        <v>3</v>
      </c>
      <c r="E657" s="242" t="s">
        <v>398</v>
      </c>
      <c r="F657" s="286" t="s">
        <v>397</v>
      </c>
      <c r="G657" s="97" t="s">
        <v>399</v>
      </c>
    </row>
    <row r="658" spans="1:7" ht="15" thickBot="1">
      <c r="A658" s="103"/>
      <c r="B658" s="942"/>
      <c r="C658" s="943"/>
      <c r="D658" s="104"/>
      <c r="E658" s="247"/>
      <c r="F658" s="288"/>
      <c r="G658" s="106">
        <f>ROUND(F658*E658,)</f>
        <v>0</v>
      </c>
    </row>
    <row r="659" spans="1:7" ht="15" thickBot="1">
      <c r="A659" s="978"/>
      <c r="B659" s="979"/>
      <c r="C659" s="980"/>
      <c r="D659" s="981" t="s">
        <v>418</v>
      </c>
      <c r="E659" s="981"/>
      <c r="F659" s="981"/>
      <c r="G659" s="13">
        <f>SUM(G658:G658)</f>
        <v>0</v>
      </c>
    </row>
    <row r="660" spans="1:7" ht="15" thickBot="1">
      <c r="A660" s="982" t="s">
        <v>1</v>
      </c>
      <c r="B660" s="983" t="s">
        <v>419</v>
      </c>
      <c r="C660" s="983"/>
      <c r="D660" s="983"/>
      <c r="E660" s="983"/>
      <c r="F660" s="983"/>
      <c r="G660" s="984"/>
    </row>
    <row r="661" spans="1:7" ht="15" thickBot="1">
      <c r="A661" s="982"/>
      <c r="B661" s="913" t="s">
        <v>396</v>
      </c>
      <c r="C661" s="914"/>
      <c r="D661" s="95" t="s">
        <v>3</v>
      </c>
      <c r="E661" s="242" t="s">
        <v>4</v>
      </c>
      <c r="F661" s="289" t="s">
        <v>420</v>
      </c>
      <c r="G661" s="97" t="s">
        <v>399</v>
      </c>
    </row>
    <row r="662" spans="1:7">
      <c r="A662" s="108"/>
      <c r="B662" s="985" t="s">
        <v>512</v>
      </c>
      <c r="C662" s="986"/>
      <c r="D662" s="109" t="s">
        <v>467</v>
      </c>
      <c r="E662" s="254">
        <v>7.7499999999999999E-2</v>
      </c>
      <c r="F662" s="281">
        <f>_xlfn.IFNA(VLOOKUP(B662,'sub M. DE OBRA'!$B$4:$E$19997,4,FALSE),0)</f>
        <v>301253.33333333331</v>
      </c>
      <c r="G662" s="111">
        <f>+E662*F662</f>
        <v>23347.133333333331</v>
      </c>
    </row>
    <row r="663" spans="1:7" ht="15" thickBot="1">
      <c r="A663" s="987" t="s">
        <v>424</v>
      </c>
      <c r="B663" s="988"/>
      <c r="C663" s="989"/>
      <c r="D663" s="990" t="s">
        <v>425</v>
      </c>
      <c r="E663" s="990"/>
      <c r="F663" s="990"/>
      <c r="G663" s="14">
        <f>SUM(G662:G662)</f>
        <v>23347.133333333331</v>
      </c>
    </row>
    <row r="664" spans="1:7" ht="15" thickBot="1">
      <c r="A664" s="991"/>
      <c r="B664" s="991"/>
      <c r="C664" s="991"/>
      <c r="D664" s="992" t="s">
        <v>426</v>
      </c>
      <c r="E664" s="993"/>
      <c r="F664" s="993"/>
      <c r="G664" s="112">
        <f>ROUND(+G645+G655+G659+G663,)</f>
        <v>82898</v>
      </c>
    </row>
    <row r="665" spans="1:7" ht="15" thickBot="1">
      <c r="E665" s="41"/>
      <c r="F665" s="41"/>
    </row>
    <row r="666" spans="1:7" ht="15" thickBot="1">
      <c r="A666" s="1006" t="s">
        <v>390</v>
      </c>
      <c r="B666" s="1007"/>
      <c r="C666" s="1007"/>
      <c r="D666" s="1007"/>
      <c r="E666" s="1007"/>
      <c r="F666" s="272" t="s">
        <v>391</v>
      </c>
      <c r="G666" s="43">
        <f ca="1">TODAY()</f>
        <v>46071</v>
      </c>
    </row>
    <row r="667" spans="1:7" ht="17.25" customHeight="1" thickBot="1">
      <c r="A667" s="953" t="str">
        <f>+'OFERTA ECONOMICA'!B37</f>
        <v>Mantenimiento de cubiertas metálicas, Incluye el barrido y retiro de basuras en la parte interna entre cubierta y cielo falso. y en la parte exterior se realizará el lavado con agua y champú neutro, cambio de sellos, recuperación y reposición de grafes en general; Y todos los elementos necesarios para la correcta ejecución de la actividad. Trabajos en  alturas mayores a 10 mts. Incluye personal certificado para trabajos en alturas.</v>
      </c>
      <c r="B667" s="954"/>
      <c r="C667" s="954"/>
      <c r="D667" s="954"/>
      <c r="E667" s="955"/>
      <c r="F667" s="273" t="s">
        <v>392</v>
      </c>
      <c r="G667" s="45" t="s">
        <v>15</v>
      </c>
    </row>
    <row r="668" spans="1:7" ht="17.25" customHeight="1" thickBot="1">
      <c r="A668" s="956"/>
      <c r="B668" s="957"/>
      <c r="C668" s="957"/>
      <c r="D668" s="957"/>
      <c r="E668" s="958"/>
      <c r="F668" s="273" t="s">
        <v>393</v>
      </c>
      <c r="G668" s="46">
        <v>1</v>
      </c>
    </row>
    <row r="669" spans="1:7" ht="21" customHeight="1" thickBot="1">
      <c r="A669" s="959"/>
      <c r="B669" s="960"/>
      <c r="C669" s="960"/>
      <c r="D669" s="960"/>
      <c r="E669" s="961"/>
      <c r="F669" s="274" t="s">
        <v>394</v>
      </c>
      <c r="G669" s="48" t="s">
        <v>73</v>
      </c>
    </row>
    <row r="670" spans="1:7" ht="15" thickBot="1">
      <c r="A670" s="1008" t="s">
        <v>1</v>
      </c>
      <c r="B670" s="1009" t="s">
        <v>395</v>
      </c>
      <c r="C670" s="1009"/>
      <c r="D670" s="1009"/>
      <c r="E670" s="1009"/>
      <c r="F670" s="1009"/>
      <c r="G670" s="1010"/>
    </row>
    <row r="671" spans="1:7" ht="15" thickBot="1">
      <c r="A671" s="982"/>
      <c r="B671" s="913" t="s">
        <v>396</v>
      </c>
      <c r="C671" s="914"/>
      <c r="D671" s="95" t="s">
        <v>3</v>
      </c>
      <c r="E671" s="242" t="s">
        <v>398</v>
      </c>
      <c r="F671" s="286" t="s">
        <v>4</v>
      </c>
      <c r="G671" s="97" t="s">
        <v>399</v>
      </c>
    </row>
    <row r="672" spans="1:7">
      <c r="A672" s="87"/>
      <c r="B672" s="930" t="s">
        <v>427</v>
      </c>
      <c r="C672" s="931"/>
      <c r="D672" s="88" t="s">
        <v>428</v>
      </c>
      <c r="E672" s="251">
        <f>+G689</f>
        <v>21087.733333333334</v>
      </c>
      <c r="F672" s="284">
        <v>0.05</v>
      </c>
      <c r="G672" s="90">
        <f t="shared" ref="G672:G674" si="42">ROUND((E672*F672),0)</f>
        <v>1054</v>
      </c>
    </row>
    <row r="673" spans="1:7">
      <c r="A673" s="91"/>
      <c r="B673" s="968" t="s">
        <v>462</v>
      </c>
      <c r="C673" s="969"/>
      <c r="D673" s="92" t="s">
        <v>430</v>
      </c>
      <c r="E673" s="252">
        <v>36500</v>
      </c>
      <c r="F673" s="285">
        <f>+E688</f>
        <v>7.0000000000000007E-2</v>
      </c>
      <c r="G673" s="94">
        <f t="shared" si="42"/>
        <v>2555</v>
      </c>
    </row>
    <row r="674" spans="1:7">
      <c r="A674" s="91"/>
      <c r="B674" s="968"/>
      <c r="C674" s="969"/>
      <c r="D674" s="92"/>
      <c r="E674" s="252"/>
      <c r="F674" s="285"/>
      <c r="G674" s="94">
        <f t="shared" si="42"/>
        <v>0</v>
      </c>
    </row>
    <row r="675" spans="1:7" ht="15" thickBot="1">
      <c r="A675" s="994"/>
      <c r="B675" s="995"/>
      <c r="C675" s="995"/>
      <c r="D675" s="981" t="s">
        <v>403</v>
      </c>
      <c r="E675" s="981"/>
      <c r="F675" s="981"/>
      <c r="G675" s="13">
        <f>SUM(G672:G674)</f>
        <v>3609</v>
      </c>
    </row>
    <row r="676" spans="1:7" ht="15" thickBot="1">
      <c r="A676" s="982" t="s">
        <v>1</v>
      </c>
      <c r="B676" s="983" t="s">
        <v>404</v>
      </c>
      <c r="C676" s="983"/>
      <c r="D676" s="983"/>
      <c r="E676" s="983"/>
      <c r="F676" s="983"/>
      <c r="G676" s="984"/>
    </row>
    <row r="677" spans="1:7" ht="15" thickBot="1">
      <c r="A677" s="982"/>
      <c r="B677" s="913" t="s">
        <v>396</v>
      </c>
      <c r="C677" s="914"/>
      <c r="D677" s="95" t="s">
        <v>3</v>
      </c>
      <c r="E677" s="242" t="s">
        <v>398</v>
      </c>
      <c r="F677" s="286" t="s">
        <v>397</v>
      </c>
      <c r="G677" s="97" t="s">
        <v>399</v>
      </c>
    </row>
    <row r="678" spans="1:7" ht="15" thickBot="1">
      <c r="A678" s="108"/>
      <c r="B678" s="985" t="s">
        <v>531</v>
      </c>
      <c r="C678" s="986"/>
      <c r="D678" s="109" t="s">
        <v>55</v>
      </c>
      <c r="E678" s="254">
        <v>52436</v>
      </c>
      <c r="F678" s="304">
        <f>0.0666*1.05</f>
        <v>6.9930000000000006E-2</v>
      </c>
      <c r="G678" s="111">
        <f t="shared" ref="G678:G680" si="43">ROUND(E678*F678,)</f>
        <v>3667</v>
      </c>
    </row>
    <row r="679" spans="1:7">
      <c r="A679" s="98"/>
      <c r="B679" s="928" t="s">
        <v>532</v>
      </c>
      <c r="C679" s="929"/>
      <c r="D679" s="109" t="s">
        <v>55</v>
      </c>
      <c r="E679" s="252">
        <v>3695</v>
      </c>
      <c r="F679" s="287">
        <v>1</v>
      </c>
      <c r="G679" s="102">
        <f t="shared" si="43"/>
        <v>3695</v>
      </c>
    </row>
    <row r="680" spans="1:7">
      <c r="A680" s="98"/>
      <c r="B680" s="928"/>
      <c r="C680" s="929"/>
      <c r="D680" s="99"/>
      <c r="E680" s="253"/>
      <c r="F680" s="287"/>
      <c r="G680" s="102">
        <f t="shared" si="43"/>
        <v>0</v>
      </c>
    </row>
    <row r="681" spans="1:7" ht="15" thickBot="1">
      <c r="A681" s="996"/>
      <c r="B681" s="997"/>
      <c r="C681" s="998"/>
      <c r="D681" s="981" t="s">
        <v>415</v>
      </c>
      <c r="E681" s="981"/>
      <c r="F681" s="981"/>
      <c r="G681" s="13">
        <f>SUM(G678:G680)</f>
        <v>7362</v>
      </c>
    </row>
    <row r="682" spans="1:7" ht="15" thickBot="1">
      <c r="A682" s="982" t="s">
        <v>1</v>
      </c>
      <c r="B682" s="983" t="s">
        <v>416</v>
      </c>
      <c r="C682" s="983"/>
      <c r="D682" s="983"/>
      <c r="E682" s="983"/>
      <c r="F682" s="983"/>
      <c r="G682" s="984"/>
    </row>
    <row r="683" spans="1:7" ht="15" thickBot="1">
      <c r="A683" s="982"/>
      <c r="B683" s="913" t="s">
        <v>396</v>
      </c>
      <c r="C683" s="914"/>
      <c r="D683" s="95" t="s">
        <v>3</v>
      </c>
      <c r="E683" s="242" t="s">
        <v>398</v>
      </c>
      <c r="F683" s="286" t="s">
        <v>397</v>
      </c>
      <c r="G683" s="97" t="s">
        <v>399</v>
      </c>
    </row>
    <row r="684" spans="1:7" ht="15" thickBot="1">
      <c r="A684" s="103"/>
      <c r="B684" s="942" t="s">
        <v>522</v>
      </c>
      <c r="C684" s="943"/>
      <c r="D684" s="104" t="s">
        <v>28</v>
      </c>
      <c r="E684" s="247">
        <v>54140</v>
      </c>
      <c r="F684" s="288">
        <v>0.03</v>
      </c>
      <c r="G684" s="106">
        <f>ROUND(F684*E684,)</f>
        <v>1624</v>
      </c>
    </row>
    <row r="685" spans="1:7" ht="15" thickBot="1">
      <c r="A685" s="978"/>
      <c r="B685" s="979"/>
      <c r="C685" s="980"/>
      <c r="D685" s="981" t="s">
        <v>418</v>
      </c>
      <c r="E685" s="981"/>
      <c r="F685" s="981"/>
      <c r="G685" s="13">
        <f>SUM(G684:G684)</f>
        <v>1624</v>
      </c>
    </row>
    <row r="686" spans="1:7" ht="15" thickBot="1">
      <c r="A686" s="982" t="s">
        <v>1</v>
      </c>
      <c r="B686" s="983" t="s">
        <v>419</v>
      </c>
      <c r="C686" s="983"/>
      <c r="D686" s="983"/>
      <c r="E686" s="983"/>
      <c r="F686" s="983"/>
      <c r="G686" s="984"/>
    </row>
    <row r="687" spans="1:7" ht="15" thickBot="1">
      <c r="A687" s="982"/>
      <c r="B687" s="913" t="s">
        <v>396</v>
      </c>
      <c r="C687" s="914"/>
      <c r="D687" s="95" t="s">
        <v>3</v>
      </c>
      <c r="E687" s="242" t="s">
        <v>4</v>
      </c>
      <c r="F687" s="289" t="s">
        <v>420</v>
      </c>
      <c r="G687" s="97" t="s">
        <v>399</v>
      </c>
    </row>
    <row r="688" spans="1:7">
      <c r="A688" s="108"/>
      <c r="B688" s="985" t="s">
        <v>512</v>
      </c>
      <c r="C688" s="986"/>
      <c r="D688" s="109" t="s">
        <v>467</v>
      </c>
      <c r="E688" s="254">
        <v>7.0000000000000007E-2</v>
      </c>
      <c r="F688" s="281">
        <f>_xlfn.IFNA(VLOOKUP(B688,'sub M. DE OBRA'!$B$4:$E$19997,4,FALSE),0)</f>
        <v>301253.33333333331</v>
      </c>
      <c r="G688" s="111">
        <f>+E688*F688</f>
        <v>21087.733333333334</v>
      </c>
    </row>
    <row r="689" spans="1:7" ht="15" thickBot="1">
      <c r="A689" s="987" t="s">
        <v>424</v>
      </c>
      <c r="B689" s="988"/>
      <c r="C689" s="989"/>
      <c r="D689" s="990" t="s">
        <v>425</v>
      </c>
      <c r="E689" s="990"/>
      <c r="F689" s="990"/>
      <c r="G689" s="14">
        <f>SUM(G688:G688)</f>
        <v>21087.733333333334</v>
      </c>
    </row>
    <row r="690" spans="1:7" ht="15" thickBot="1">
      <c r="A690" s="991"/>
      <c r="B690" s="991"/>
      <c r="C690" s="991"/>
      <c r="D690" s="992" t="s">
        <v>426</v>
      </c>
      <c r="E690" s="993"/>
      <c r="F690" s="993"/>
      <c r="G690" s="112">
        <f>ROUND(+G675+G681+G685+G689,)</f>
        <v>33683</v>
      </c>
    </row>
    <row r="691" spans="1:7">
      <c r="E691" s="41"/>
      <c r="F691" s="41"/>
    </row>
    <row r="692" spans="1:7" ht="15" thickBot="1">
      <c r="A692" s="1036" t="s">
        <v>389</v>
      </c>
      <c r="B692" s="1037"/>
      <c r="C692" s="1037"/>
      <c r="D692" s="1037"/>
      <c r="E692" s="1037"/>
      <c r="F692" s="1037"/>
      <c r="G692" s="1038"/>
    </row>
    <row r="693" spans="1:7" ht="15" thickBot="1">
      <c r="A693" s="1006" t="s">
        <v>390</v>
      </c>
      <c r="B693" s="1007"/>
      <c r="C693" s="1007"/>
      <c r="D693" s="1007"/>
      <c r="E693" s="1007"/>
      <c r="F693" s="42" t="s">
        <v>391</v>
      </c>
      <c r="G693" s="43">
        <f ca="1">TODAY()</f>
        <v>46071</v>
      </c>
    </row>
    <row r="694" spans="1:7" ht="15" thickBot="1">
      <c r="A694" s="953" t="str">
        <f>+'OFERTA ECONOMICA'!B38</f>
        <v>Mantenimiento y reparación bajantes de cualquier diametro: Incluye revisión de cada bajante, limpieza, reparación y empalme, pintura y fijación.</v>
      </c>
      <c r="B694" s="954"/>
      <c r="C694" s="954"/>
      <c r="D694" s="954"/>
      <c r="E694" s="955"/>
      <c r="F694" s="44" t="s">
        <v>392</v>
      </c>
      <c r="G694" s="45" t="s">
        <v>12</v>
      </c>
    </row>
    <row r="695" spans="1:7" ht="15" thickBot="1">
      <c r="A695" s="956"/>
      <c r="B695" s="957"/>
      <c r="C695" s="957"/>
      <c r="D695" s="957"/>
      <c r="E695" s="958"/>
      <c r="F695" s="44" t="s">
        <v>393</v>
      </c>
      <c r="G695" s="46">
        <v>1</v>
      </c>
    </row>
    <row r="696" spans="1:7" ht="15" thickBot="1">
      <c r="A696" s="959"/>
      <c r="B696" s="960"/>
      <c r="C696" s="960"/>
      <c r="D696" s="960"/>
      <c r="E696" s="961"/>
      <c r="F696" s="47" t="s">
        <v>394</v>
      </c>
      <c r="G696" s="48" t="s">
        <v>75</v>
      </c>
    </row>
    <row r="697" spans="1:7" ht="15" thickBot="1">
      <c r="A697" s="1008" t="s">
        <v>1</v>
      </c>
      <c r="B697" s="1009" t="s">
        <v>395</v>
      </c>
      <c r="C697" s="1009"/>
      <c r="D697" s="1009"/>
      <c r="E697" s="1009"/>
      <c r="F697" s="1009"/>
      <c r="G697" s="1010"/>
    </row>
    <row r="698" spans="1:7" ht="15" thickBot="1">
      <c r="A698" s="982"/>
      <c r="B698" s="913" t="s">
        <v>396</v>
      </c>
      <c r="C698" s="914"/>
      <c r="D698" s="95" t="s">
        <v>3</v>
      </c>
      <c r="E698" s="207" t="s">
        <v>398</v>
      </c>
      <c r="F698" s="95" t="s">
        <v>4</v>
      </c>
      <c r="G698" s="97" t="s">
        <v>399</v>
      </c>
    </row>
    <row r="699" spans="1:7">
      <c r="A699" s="87"/>
      <c r="B699" s="930" t="s">
        <v>427</v>
      </c>
      <c r="C699" s="931"/>
      <c r="D699" s="88" t="s">
        <v>428</v>
      </c>
      <c r="E699" s="214">
        <f>+G722</f>
        <v>37656.666666666664</v>
      </c>
      <c r="F699" s="89">
        <v>0.05</v>
      </c>
      <c r="G699" s="90">
        <f>ROUND((E699*F699),0)</f>
        <v>1883</v>
      </c>
    </row>
    <row r="700" spans="1:7">
      <c r="A700" s="91"/>
      <c r="B700" s="968" t="s">
        <v>462</v>
      </c>
      <c r="C700" s="969"/>
      <c r="D700" s="92" t="s">
        <v>430</v>
      </c>
      <c r="E700" s="215">
        <v>36500</v>
      </c>
      <c r="F700" s="93">
        <f>+E721</f>
        <v>0.125</v>
      </c>
      <c r="G700" s="94">
        <f>ROUND((E700*F700),0)</f>
        <v>4563</v>
      </c>
    </row>
    <row r="701" spans="1:7">
      <c r="A701" s="91"/>
      <c r="B701" s="968"/>
      <c r="C701" s="969"/>
      <c r="D701" s="92"/>
      <c r="E701" s="215"/>
      <c r="F701" s="93"/>
      <c r="G701" s="94">
        <f>ROUND((E701*F701),0)</f>
        <v>0</v>
      </c>
    </row>
    <row r="702" spans="1:7" ht="15" thickBot="1">
      <c r="A702" s="994"/>
      <c r="B702" s="995"/>
      <c r="C702" s="995"/>
      <c r="D702" s="981" t="s">
        <v>403</v>
      </c>
      <c r="E702" s="981"/>
      <c r="F702" s="981"/>
      <c r="G702" s="13">
        <f>SUM(G699:G701)</f>
        <v>6446</v>
      </c>
    </row>
    <row r="703" spans="1:7" ht="15" thickBot="1">
      <c r="A703" s="982" t="s">
        <v>1</v>
      </c>
      <c r="B703" s="983" t="s">
        <v>404</v>
      </c>
      <c r="C703" s="983"/>
      <c r="D703" s="983"/>
      <c r="E703" s="983"/>
      <c r="F703" s="983"/>
      <c r="G703" s="984"/>
    </row>
    <row r="704" spans="1:7" ht="15" thickBot="1">
      <c r="A704" s="982"/>
      <c r="B704" s="913" t="s">
        <v>396</v>
      </c>
      <c r="C704" s="914"/>
      <c r="D704" s="95" t="s">
        <v>3</v>
      </c>
      <c r="E704" s="207" t="s">
        <v>398</v>
      </c>
      <c r="F704" s="95" t="s">
        <v>397</v>
      </c>
      <c r="G704" s="97" t="s">
        <v>399</v>
      </c>
    </row>
    <row r="705" spans="1:7">
      <c r="A705" s="108"/>
      <c r="B705" s="985" t="s">
        <v>493</v>
      </c>
      <c r="C705" s="986"/>
      <c r="D705" s="109" t="s">
        <v>473</v>
      </c>
      <c r="E705" s="214">
        <v>72563</v>
      </c>
      <c r="F705" s="110">
        <v>0.05</v>
      </c>
      <c r="G705" s="111">
        <f>ROUND(E705*F705,)</f>
        <v>3628</v>
      </c>
    </row>
    <row r="706" spans="1:7">
      <c r="A706" s="98"/>
      <c r="B706" s="928" t="s">
        <v>521</v>
      </c>
      <c r="C706" s="929"/>
      <c r="D706" s="92" t="s">
        <v>473</v>
      </c>
      <c r="E706" s="215">
        <v>65899</v>
      </c>
      <c r="F706" s="101">
        <v>3.5000000000000003E-2</v>
      </c>
      <c r="G706" s="102">
        <f>ROUND(E706*F706,)</f>
        <v>2306</v>
      </c>
    </row>
    <row r="707" spans="1:7">
      <c r="A707" s="98"/>
      <c r="B707" s="928" t="s">
        <v>516</v>
      </c>
      <c r="C707" s="929"/>
      <c r="D707" s="99" t="s">
        <v>473</v>
      </c>
      <c r="E707" s="216">
        <v>60528</v>
      </c>
      <c r="F707" s="101">
        <v>2.5000000000000001E-2</v>
      </c>
      <c r="G707" s="102">
        <f>ROUND(E707*F707,)</f>
        <v>1513</v>
      </c>
    </row>
    <row r="708" spans="1:7">
      <c r="A708" s="98"/>
      <c r="B708" s="928" t="s">
        <v>533</v>
      </c>
      <c r="C708" s="929"/>
      <c r="D708" s="99" t="s">
        <v>12</v>
      </c>
      <c r="E708" s="216">
        <f>163974/6</f>
        <v>27329</v>
      </c>
      <c r="F708" s="101">
        <v>0.5</v>
      </c>
      <c r="G708" s="102">
        <f t="shared" ref="G708:G709" si="44">ROUND(E708*F708,)</f>
        <v>13665</v>
      </c>
    </row>
    <row r="709" spans="1:7">
      <c r="A709" s="98"/>
      <c r="B709" s="928" t="s">
        <v>534</v>
      </c>
      <c r="C709" s="929"/>
      <c r="D709" s="99" t="s">
        <v>12</v>
      </c>
      <c r="E709" s="216">
        <f>230613/6</f>
        <v>38435.5</v>
      </c>
      <c r="F709" s="101">
        <v>0.5</v>
      </c>
      <c r="G709" s="102">
        <f t="shared" si="44"/>
        <v>19218</v>
      </c>
    </row>
    <row r="710" spans="1:7">
      <c r="A710" s="98"/>
      <c r="B710" s="928" t="s">
        <v>535</v>
      </c>
      <c r="C710" s="929"/>
      <c r="D710" s="99" t="s">
        <v>12</v>
      </c>
      <c r="E710" s="216">
        <f>483919/6</f>
        <v>80653.166666666672</v>
      </c>
      <c r="F710" s="101">
        <v>0.5</v>
      </c>
      <c r="G710" s="102">
        <f t="shared" ref="G710:G711" si="45">ROUND(E710*F710,)</f>
        <v>40327</v>
      </c>
    </row>
    <row r="711" spans="1:7">
      <c r="A711" s="98"/>
      <c r="B711" s="928"/>
      <c r="C711" s="929"/>
      <c r="D711" s="99"/>
      <c r="E711" s="216"/>
      <c r="F711" s="101"/>
      <c r="G711" s="102">
        <f t="shared" si="45"/>
        <v>0</v>
      </c>
    </row>
    <row r="712" spans="1:7">
      <c r="A712" s="98"/>
      <c r="B712" s="928"/>
      <c r="C712" s="929"/>
      <c r="D712" s="92"/>
      <c r="E712" s="215"/>
      <c r="F712" s="101"/>
      <c r="G712" s="102">
        <f>ROUND(E712*F712,)</f>
        <v>0</v>
      </c>
    </row>
    <row r="713" spans="1:7">
      <c r="A713" s="98"/>
      <c r="B713" s="928"/>
      <c r="C713" s="929"/>
      <c r="D713" s="99"/>
      <c r="E713" s="216"/>
      <c r="F713" s="101"/>
      <c r="G713" s="102">
        <f>ROUND(E713*F713,)</f>
        <v>0</v>
      </c>
    </row>
    <row r="714" spans="1:7" ht="15" thickBot="1">
      <c r="A714" s="996"/>
      <c r="B714" s="997"/>
      <c r="C714" s="998"/>
      <c r="D714" s="981" t="s">
        <v>415</v>
      </c>
      <c r="E714" s="981"/>
      <c r="F714" s="981"/>
      <c r="G714" s="13">
        <f>SUM(G705:G713)</f>
        <v>80657</v>
      </c>
    </row>
    <row r="715" spans="1:7" ht="15" thickBot="1">
      <c r="A715" s="982" t="s">
        <v>1</v>
      </c>
      <c r="B715" s="983" t="s">
        <v>416</v>
      </c>
      <c r="C715" s="983"/>
      <c r="D715" s="983"/>
      <c r="E715" s="983"/>
      <c r="F715" s="983"/>
      <c r="G715" s="984"/>
    </row>
    <row r="716" spans="1:7" ht="15" thickBot="1">
      <c r="A716" s="982"/>
      <c r="B716" s="913" t="s">
        <v>396</v>
      </c>
      <c r="C716" s="914"/>
      <c r="D716" s="95" t="s">
        <v>3</v>
      </c>
      <c r="E716" s="207" t="s">
        <v>398</v>
      </c>
      <c r="F716" s="95" t="s">
        <v>397</v>
      </c>
      <c r="G716" s="97" t="s">
        <v>399</v>
      </c>
    </row>
    <row r="717" spans="1:7" ht="15" thickBot="1">
      <c r="A717" s="103"/>
      <c r="B717" s="942" t="s">
        <v>522</v>
      </c>
      <c r="C717" s="943"/>
      <c r="D717" s="104" t="s">
        <v>28</v>
      </c>
      <c r="E717" s="212">
        <v>54140</v>
      </c>
      <c r="F717" s="105">
        <v>0.03</v>
      </c>
      <c r="G717" s="106">
        <f>ROUND(F717*E717,)</f>
        <v>1624</v>
      </c>
    </row>
    <row r="718" spans="1:7" ht="15" thickBot="1">
      <c r="A718" s="978"/>
      <c r="B718" s="979"/>
      <c r="C718" s="980"/>
      <c r="D718" s="981" t="s">
        <v>418</v>
      </c>
      <c r="E718" s="981"/>
      <c r="F718" s="981"/>
      <c r="G718" s="13">
        <f>SUM(G717:G717)</f>
        <v>1624</v>
      </c>
    </row>
    <row r="719" spans="1:7" ht="15" thickBot="1">
      <c r="A719" s="982" t="s">
        <v>1</v>
      </c>
      <c r="B719" s="983" t="s">
        <v>419</v>
      </c>
      <c r="C719" s="983"/>
      <c r="D719" s="983"/>
      <c r="E719" s="983"/>
      <c r="F719" s="983"/>
      <c r="G719" s="984"/>
    </row>
    <row r="720" spans="1:7" ht="15" thickBot="1">
      <c r="A720" s="982"/>
      <c r="B720" s="913" t="s">
        <v>396</v>
      </c>
      <c r="C720" s="914"/>
      <c r="D720" s="95" t="s">
        <v>3</v>
      </c>
      <c r="E720" s="207" t="s">
        <v>4</v>
      </c>
      <c r="F720" s="107" t="s">
        <v>420</v>
      </c>
      <c r="G720" s="97" t="s">
        <v>399</v>
      </c>
    </row>
    <row r="721" spans="1:7">
      <c r="A721" s="108"/>
      <c r="B721" s="985" t="s">
        <v>512</v>
      </c>
      <c r="C721" s="986"/>
      <c r="D721" s="109" t="s">
        <v>467</v>
      </c>
      <c r="E721" s="225">
        <v>0.125</v>
      </c>
      <c r="F721" s="281">
        <f>_xlfn.IFNA(VLOOKUP(B721,'sub M. DE OBRA'!$B$4:$E$19997,4,FALSE),0)</f>
        <v>301253.33333333331</v>
      </c>
      <c r="G721" s="111">
        <f>+E721*F721</f>
        <v>37656.666666666664</v>
      </c>
    </row>
    <row r="722" spans="1:7" ht="15" thickBot="1">
      <c r="A722" s="987" t="s">
        <v>424</v>
      </c>
      <c r="B722" s="988"/>
      <c r="C722" s="989"/>
      <c r="D722" s="990" t="s">
        <v>425</v>
      </c>
      <c r="E722" s="990"/>
      <c r="F722" s="990"/>
      <c r="G722" s="14">
        <f>SUM(G721:G721)</f>
        <v>37656.666666666664</v>
      </c>
    </row>
    <row r="723" spans="1:7" ht="15" thickBot="1">
      <c r="A723" s="991"/>
      <c r="B723" s="991"/>
      <c r="C723" s="991"/>
      <c r="D723" s="992" t="s">
        <v>426</v>
      </c>
      <c r="E723" s="993"/>
      <c r="F723" s="993"/>
      <c r="G723" s="112">
        <f>ROUND(+G702+G714+G718+G722,)</f>
        <v>126384</v>
      </c>
    </row>
    <row r="724" spans="1:7" ht="15" thickBot="1">
      <c r="E724" s="41"/>
      <c r="F724" s="41"/>
    </row>
    <row r="725" spans="1:7" ht="15" thickBot="1">
      <c r="A725" s="1006" t="s">
        <v>390</v>
      </c>
      <c r="B725" s="1007"/>
      <c r="C725" s="1007"/>
      <c r="D725" s="1007"/>
      <c r="E725" s="1007"/>
      <c r="F725" s="42" t="s">
        <v>391</v>
      </c>
      <c r="G725" s="43">
        <f ca="1">TODAY()</f>
        <v>46071</v>
      </c>
    </row>
    <row r="726" spans="1:7" ht="15" thickBot="1">
      <c r="A726" s="1018" t="str">
        <f>+'OFERTA ECONOMICA'!B40</f>
        <v>Reparación de piso en baldosa en ceramica existente, incluye demolición de mortero, recorte, colocación y lechada de baldosa, transporte interno hasta sitio de acopio.</v>
      </c>
      <c r="B726" s="1019"/>
      <c r="C726" s="1019"/>
      <c r="D726" s="1019"/>
      <c r="E726" s="1020"/>
      <c r="F726" s="44" t="s">
        <v>392</v>
      </c>
      <c r="G726" s="45" t="s">
        <v>15</v>
      </c>
    </row>
    <row r="727" spans="1:7" ht="15" thickBot="1">
      <c r="A727" s="1021"/>
      <c r="B727" s="1022"/>
      <c r="C727" s="1022"/>
      <c r="D727" s="1022"/>
      <c r="E727" s="1023"/>
      <c r="F727" s="44" t="s">
        <v>393</v>
      </c>
      <c r="G727" s="46">
        <v>1</v>
      </c>
    </row>
    <row r="728" spans="1:7" ht="15" thickBot="1">
      <c r="A728" s="1024"/>
      <c r="B728" s="1025"/>
      <c r="C728" s="1025"/>
      <c r="D728" s="1025"/>
      <c r="E728" s="1026"/>
      <c r="F728" s="47" t="s">
        <v>394</v>
      </c>
      <c r="G728" s="48" t="s">
        <v>79</v>
      </c>
    </row>
    <row r="729" spans="1:7" ht="15" thickBot="1">
      <c r="A729" s="1008" t="s">
        <v>1</v>
      </c>
      <c r="B729" s="1009" t="s">
        <v>395</v>
      </c>
      <c r="C729" s="1009"/>
      <c r="D729" s="1009"/>
      <c r="E729" s="1009"/>
      <c r="F729" s="1009"/>
      <c r="G729" s="1010"/>
    </row>
    <row r="730" spans="1:7" ht="15" thickBot="1">
      <c r="A730" s="982"/>
      <c r="B730" s="913" t="s">
        <v>396</v>
      </c>
      <c r="C730" s="914"/>
      <c r="D730" s="95" t="s">
        <v>3</v>
      </c>
      <c r="E730" s="207" t="s">
        <v>398</v>
      </c>
      <c r="F730" s="95" t="s">
        <v>4</v>
      </c>
      <c r="G730" s="97" t="s">
        <v>399</v>
      </c>
    </row>
    <row r="731" spans="1:7">
      <c r="A731" s="87"/>
      <c r="B731" s="930" t="s">
        <v>427</v>
      </c>
      <c r="C731" s="931"/>
      <c r="D731" s="88" t="s">
        <v>428</v>
      </c>
      <c r="E731" s="214">
        <f>+G748</f>
        <v>27112.799999999996</v>
      </c>
      <c r="F731" s="89">
        <v>0.05</v>
      </c>
      <c r="G731" s="90">
        <f>ROUND((E731*F731),0)</f>
        <v>1356</v>
      </c>
    </row>
    <row r="732" spans="1:7">
      <c r="A732" s="91"/>
      <c r="B732" s="968"/>
      <c r="C732" s="969"/>
      <c r="D732" s="92"/>
      <c r="E732" s="215"/>
      <c r="F732" s="93"/>
      <c r="G732" s="94">
        <f>ROUND((E732*F732),0)</f>
        <v>0</v>
      </c>
    </row>
    <row r="733" spans="1:7" ht="15" thickBot="1">
      <c r="A733" s="994"/>
      <c r="B733" s="995"/>
      <c r="C733" s="995"/>
      <c r="D733" s="981" t="s">
        <v>403</v>
      </c>
      <c r="E733" s="981"/>
      <c r="F733" s="981"/>
      <c r="G733" s="13">
        <f>SUM(G731:G732)</f>
        <v>1356</v>
      </c>
    </row>
    <row r="734" spans="1:7" ht="15" thickBot="1">
      <c r="A734" s="982" t="s">
        <v>1</v>
      </c>
      <c r="B734" s="983" t="s">
        <v>404</v>
      </c>
      <c r="C734" s="983"/>
      <c r="D734" s="983"/>
      <c r="E734" s="983"/>
      <c r="F734" s="983"/>
      <c r="G734" s="984"/>
    </row>
    <row r="735" spans="1:7" ht="15" thickBot="1">
      <c r="A735" s="982"/>
      <c r="B735" s="913" t="s">
        <v>396</v>
      </c>
      <c r="C735" s="914"/>
      <c r="D735" s="95" t="s">
        <v>3</v>
      </c>
      <c r="E735" s="207" t="s">
        <v>398</v>
      </c>
      <c r="F735" s="95" t="s">
        <v>397</v>
      </c>
      <c r="G735" s="97" t="s">
        <v>399</v>
      </c>
    </row>
    <row r="736" spans="1:7">
      <c r="A736" s="108"/>
      <c r="B736" s="985" t="s">
        <v>536</v>
      </c>
      <c r="C736" s="986"/>
      <c r="D736" s="109" t="s">
        <v>55</v>
      </c>
      <c r="E736" s="217">
        <v>25000</v>
      </c>
      <c r="F736" s="110">
        <v>1</v>
      </c>
      <c r="G736" s="111">
        <f>ROUND(E736*F736,)</f>
        <v>25000</v>
      </c>
    </row>
    <row r="737" spans="1:7" ht="15" thickBot="1">
      <c r="A737" s="98"/>
      <c r="B737" s="928" t="s">
        <v>537</v>
      </c>
      <c r="C737" s="929"/>
      <c r="D737" s="99" t="s">
        <v>55</v>
      </c>
      <c r="E737" s="216">
        <v>482316</v>
      </c>
      <c r="F737" s="186">
        <f>0.02*1.05</f>
        <v>2.1000000000000001E-2</v>
      </c>
      <c r="G737" s="102">
        <f>ROUND(E737*F737,)</f>
        <v>10129</v>
      </c>
    </row>
    <row r="738" spans="1:7">
      <c r="A738" s="98"/>
      <c r="B738" s="928"/>
      <c r="C738" s="929"/>
      <c r="D738" s="109"/>
      <c r="E738" s="215"/>
      <c r="F738" s="110"/>
      <c r="G738" s="102">
        <f>ROUND(E738*F738,)</f>
        <v>0</v>
      </c>
    </row>
    <row r="739" spans="1:7">
      <c r="A739" s="98"/>
      <c r="B739" s="928"/>
      <c r="C739" s="929"/>
      <c r="D739" s="99"/>
      <c r="E739" s="216"/>
      <c r="F739" s="101"/>
      <c r="G739" s="102">
        <f>ROUND(E739*F739,)</f>
        <v>0</v>
      </c>
    </row>
    <row r="740" spans="1:7" ht="15" thickBot="1">
      <c r="A740" s="996"/>
      <c r="B740" s="997"/>
      <c r="C740" s="998"/>
      <c r="D740" s="981" t="s">
        <v>415</v>
      </c>
      <c r="E740" s="981"/>
      <c r="F740" s="981"/>
      <c r="G740" s="13">
        <f>SUM(G736:G739)</f>
        <v>35129</v>
      </c>
    </row>
    <row r="741" spans="1:7" ht="15" thickBot="1">
      <c r="A741" s="982" t="s">
        <v>1</v>
      </c>
      <c r="B741" s="983" t="s">
        <v>416</v>
      </c>
      <c r="C741" s="983"/>
      <c r="D741" s="983"/>
      <c r="E741" s="983"/>
      <c r="F741" s="983"/>
      <c r="G741" s="984"/>
    </row>
    <row r="742" spans="1:7" ht="15" thickBot="1">
      <c r="A742" s="982"/>
      <c r="B742" s="913" t="s">
        <v>396</v>
      </c>
      <c r="C742" s="914"/>
      <c r="D742" s="95" t="s">
        <v>3</v>
      </c>
      <c r="E742" s="207" t="s">
        <v>398</v>
      </c>
      <c r="F742" s="95" t="s">
        <v>397</v>
      </c>
      <c r="G742" s="97" t="s">
        <v>399</v>
      </c>
    </row>
    <row r="743" spans="1:7" ht="15" thickBot="1">
      <c r="A743" s="103"/>
      <c r="B743" s="942"/>
      <c r="C743" s="943"/>
      <c r="D743" s="104"/>
      <c r="E743" s="212"/>
      <c r="F743" s="105"/>
      <c r="G743" s="106">
        <f>ROUND(F743*E743,)</f>
        <v>0</v>
      </c>
    </row>
    <row r="744" spans="1:7" ht="15" thickBot="1">
      <c r="A744" s="978"/>
      <c r="B744" s="979"/>
      <c r="C744" s="980"/>
      <c r="D744" s="981" t="s">
        <v>418</v>
      </c>
      <c r="E744" s="981"/>
      <c r="F744" s="981"/>
      <c r="G744" s="13">
        <f>SUM(G743:G743)</f>
        <v>0</v>
      </c>
    </row>
    <row r="745" spans="1:7" ht="15" thickBot="1">
      <c r="A745" s="982" t="s">
        <v>1</v>
      </c>
      <c r="B745" s="983" t="s">
        <v>419</v>
      </c>
      <c r="C745" s="983"/>
      <c r="D745" s="983"/>
      <c r="E745" s="983"/>
      <c r="F745" s="983"/>
      <c r="G745" s="984"/>
    </row>
    <row r="746" spans="1:7" ht="15" thickBot="1">
      <c r="A746" s="982"/>
      <c r="B746" s="913" t="s">
        <v>396</v>
      </c>
      <c r="C746" s="914"/>
      <c r="D746" s="95" t="s">
        <v>3</v>
      </c>
      <c r="E746" s="207" t="s">
        <v>4</v>
      </c>
      <c r="F746" s="107" t="s">
        <v>420</v>
      </c>
      <c r="G746" s="97" t="s">
        <v>399</v>
      </c>
    </row>
    <row r="747" spans="1:7">
      <c r="A747" s="108"/>
      <c r="B747" s="985" t="s">
        <v>421</v>
      </c>
      <c r="C747" s="986"/>
      <c r="D747" s="109" t="s">
        <v>467</v>
      </c>
      <c r="E747" s="217">
        <v>0.09</v>
      </c>
      <c r="F747" s="281">
        <f>_xlfn.IFNA(VLOOKUP(B747,'sub M. DE OBRA'!$B$4:$E$19997,4,FALSE),0)</f>
        <v>301253.33333333331</v>
      </c>
      <c r="G747" s="111">
        <f>+E747*F747</f>
        <v>27112.799999999996</v>
      </c>
    </row>
    <row r="748" spans="1:7" ht="15" thickBot="1">
      <c r="A748" s="987" t="s">
        <v>424</v>
      </c>
      <c r="B748" s="988"/>
      <c r="C748" s="989"/>
      <c r="D748" s="990" t="s">
        <v>425</v>
      </c>
      <c r="E748" s="990"/>
      <c r="F748" s="990"/>
      <c r="G748" s="14">
        <f>SUM(G747:G747)</f>
        <v>27112.799999999996</v>
      </c>
    </row>
    <row r="749" spans="1:7" ht="15" thickBot="1">
      <c r="A749" s="991"/>
      <c r="B749" s="991"/>
      <c r="C749" s="991"/>
      <c r="D749" s="992" t="s">
        <v>426</v>
      </c>
      <c r="E749" s="993"/>
      <c r="F749" s="993"/>
      <c r="G749" s="112">
        <f>ROUND(+G733+G740+G744+G748,)</f>
        <v>63598</v>
      </c>
    </row>
    <row r="750" spans="1:7" s="7" customFormat="1" ht="15.75" thickBot="1">
      <c r="A750" s="162"/>
      <c r="B750" s="162"/>
      <c r="C750" s="162"/>
      <c r="D750" s="162"/>
      <c r="E750" s="218"/>
      <c r="F750" s="162"/>
      <c r="G750" s="162"/>
    </row>
    <row r="751" spans="1:7" s="7" customFormat="1" ht="13.5" thickBot="1">
      <c r="A751" s="1027" t="s">
        <v>389</v>
      </c>
      <c r="B751" s="1028"/>
      <c r="C751" s="1028"/>
      <c r="D751" s="1028"/>
      <c r="E751" s="1028"/>
      <c r="F751" s="1028"/>
      <c r="G751" s="1029"/>
    </row>
    <row r="752" spans="1:7" s="7" customFormat="1" ht="13.5" thickBot="1">
      <c r="A752" s="950" t="s">
        <v>390</v>
      </c>
      <c r="B752" s="951"/>
      <c r="C752" s="951"/>
      <c r="D752" s="951"/>
      <c r="E752" s="952"/>
      <c r="F752" s="42" t="s">
        <v>391</v>
      </c>
      <c r="G752" s="191">
        <f ca="1">TODAY()</f>
        <v>46071</v>
      </c>
    </row>
    <row r="753" spans="1:7" s="7" customFormat="1" ht="13.5" thickBot="1">
      <c r="A753" s="953" t="str">
        <f>+'OFERTA ECONOMICA'!B41</f>
        <v>Construcción de Mortero 1:4, espesor 5cm,  para nivelación de pisos. Incluye todos los elementos para su correcta construcción y funcionamiento.</v>
      </c>
      <c r="B753" s="954"/>
      <c r="C753" s="954"/>
      <c r="D753" s="954"/>
      <c r="E753" s="955"/>
      <c r="F753" s="44" t="s">
        <v>392</v>
      </c>
      <c r="G753" s="45" t="s">
        <v>15</v>
      </c>
    </row>
    <row r="754" spans="1:7" s="7" customFormat="1" ht="13.5" thickBot="1">
      <c r="A754" s="956"/>
      <c r="B754" s="957"/>
      <c r="C754" s="957"/>
      <c r="D754" s="957"/>
      <c r="E754" s="958"/>
      <c r="F754" s="44" t="s">
        <v>393</v>
      </c>
      <c r="G754" s="46">
        <v>1</v>
      </c>
    </row>
    <row r="755" spans="1:7" s="7" customFormat="1" ht="13.5" thickBot="1">
      <c r="A755" s="959"/>
      <c r="B755" s="960"/>
      <c r="C755" s="960"/>
      <c r="D755" s="960"/>
      <c r="E755" s="961"/>
      <c r="F755" s="47" t="s">
        <v>394</v>
      </c>
      <c r="G755" s="48" t="s">
        <v>81</v>
      </c>
    </row>
    <row r="756" spans="1:7" s="7" customFormat="1" ht="13.5" thickBot="1">
      <c r="A756" s="962" t="s">
        <v>1</v>
      </c>
      <c r="B756" s="963" t="s">
        <v>395</v>
      </c>
      <c r="C756" s="964"/>
      <c r="D756" s="964"/>
      <c r="E756" s="964"/>
      <c r="F756" s="964"/>
      <c r="G756" s="965"/>
    </row>
    <row r="757" spans="1:7" s="7" customFormat="1" ht="13.5" thickBot="1">
      <c r="A757" s="909"/>
      <c r="B757" s="913" t="s">
        <v>396</v>
      </c>
      <c r="C757" s="914"/>
      <c r="D757" s="95" t="s">
        <v>3</v>
      </c>
      <c r="E757" s="207" t="s">
        <v>398</v>
      </c>
      <c r="F757" s="95" t="s">
        <v>439</v>
      </c>
      <c r="G757" s="113" t="s">
        <v>399</v>
      </c>
    </row>
    <row r="758" spans="1:7" s="7" customFormat="1" ht="13.5" thickBot="1">
      <c r="A758" s="114"/>
      <c r="B758" s="966" t="s">
        <v>538</v>
      </c>
      <c r="C758" s="967"/>
      <c r="D758" s="88" t="s">
        <v>539</v>
      </c>
      <c r="E758" s="214">
        <f>+G778</f>
        <v>43636</v>
      </c>
      <c r="F758" s="89">
        <v>0.05</v>
      </c>
      <c r="G758" s="117">
        <f t="shared" ref="G758:G759" si="46">ROUND((E758*F758),0)</f>
        <v>2182</v>
      </c>
    </row>
    <row r="759" spans="1:7" s="7" customFormat="1" ht="12.75">
      <c r="A759" s="154"/>
      <c r="B759" s="968"/>
      <c r="C759" s="969"/>
      <c r="D759" s="171"/>
      <c r="E759" s="220"/>
      <c r="F759" s="93"/>
      <c r="G759" s="149">
        <f t="shared" si="46"/>
        <v>0</v>
      </c>
    </row>
    <row r="760" spans="1:7" s="7" customFormat="1" ht="13.5" thickBot="1">
      <c r="A760" s="970"/>
      <c r="B760" s="971"/>
      <c r="C760" s="972"/>
      <c r="D760" s="973" t="s">
        <v>403</v>
      </c>
      <c r="E760" s="974"/>
      <c r="F760" s="975"/>
      <c r="G760" s="11">
        <f>SUM(G758:G759)</f>
        <v>2182</v>
      </c>
    </row>
    <row r="761" spans="1:7" s="7" customFormat="1" ht="13.5" thickBot="1">
      <c r="A761" s="908" t="s">
        <v>1</v>
      </c>
      <c r="B761" s="910" t="s">
        <v>404</v>
      </c>
      <c r="C761" s="911"/>
      <c r="D761" s="911"/>
      <c r="E761" s="911"/>
      <c r="F761" s="911"/>
      <c r="G761" s="912"/>
    </row>
    <row r="762" spans="1:7" s="7" customFormat="1" ht="13.5" thickBot="1">
      <c r="A762" s="909"/>
      <c r="B762" s="913" t="s">
        <v>396</v>
      </c>
      <c r="C762" s="914"/>
      <c r="D762" s="95" t="s">
        <v>3</v>
      </c>
      <c r="E762" s="207" t="s">
        <v>398</v>
      </c>
      <c r="F762" s="95" t="s">
        <v>397</v>
      </c>
      <c r="G762" s="113" t="s">
        <v>399</v>
      </c>
    </row>
    <row r="763" spans="1:7" s="7" customFormat="1" ht="13.5" thickBot="1">
      <c r="A763" s="178"/>
      <c r="B763" s="926" t="s">
        <v>454</v>
      </c>
      <c r="C763" s="927"/>
      <c r="D763" s="88" t="s">
        <v>408</v>
      </c>
      <c r="E763" s="221">
        <v>5686</v>
      </c>
      <c r="F763" s="180">
        <v>0.1</v>
      </c>
      <c r="G763" s="181">
        <f t="shared" ref="G763" si="47">ROUND(E763*F763,)</f>
        <v>569</v>
      </c>
    </row>
    <row r="764" spans="1:7" s="7" customFormat="1" ht="13.5" thickBot="1">
      <c r="A764" s="122"/>
      <c r="B764" s="930" t="s">
        <v>540</v>
      </c>
      <c r="C764" s="931"/>
      <c r="D764" s="88" t="s">
        <v>28</v>
      </c>
      <c r="E764" s="214">
        <v>468281</v>
      </c>
      <c r="F764" s="89">
        <f>0.05*1.05</f>
        <v>5.2500000000000005E-2</v>
      </c>
      <c r="G764" s="149">
        <f t="shared" ref="G764:G765" si="48">ROUND((E764*F764),0)</f>
        <v>24585</v>
      </c>
    </row>
    <row r="765" spans="1:7" s="7" customFormat="1" ht="13.5" thickBot="1">
      <c r="A765" s="155"/>
      <c r="B765" s="930" t="s">
        <v>541</v>
      </c>
      <c r="C765" s="931"/>
      <c r="D765" s="88" t="s">
        <v>55</v>
      </c>
      <c r="E765" s="214">
        <v>14500</v>
      </c>
      <c r="F765" s="89">
        <v>0.17</v>
      </c>
      <c r="G765" s="149">
        <f t="shared" si="48"/>
        <v>2465</v>
      </c>
    </row>
    <row r="766" spans="1:7" s="7" customFormat="1" ht="13.5" thickBot="1">
      <c r="A766" s="932"/>
      <c r="B766" s="933"/>
      <c r="C766" s="934"/>
      <c r="D766" s="935" t="s">
        <v>415</v>
      </c>
      <c r="E766" s="936"/>
      <c r="F766" s="937"/>
      <c r="G766" s="18">
        <f>SUM(G763:G765)</f>
        <v>27619</v>
      </c>
    </row>
    <row r="767" spans="1:7" s="7" customFormat="1" ht="13.5" thickBot="1">
      <c r="A767" s="908" t="s">
        <v>1</v>
      </c>
      <c r="B767" s="910" t="s">
        <v>416</v>
      </c>
      <c r="C767" s="911"/>
      <c r="D767" s="911"/>
      <c r="E767" s="911"/>
      <c r="F767" s="911"/>
      <c r="G767" s="912"/>
    </row>
    <row r="768" spans="1:7" s="7" customFormat="1" ht="13.5" thickBot="1">
      <c r="A768" s="909"/>
      <c r="B768" s="913" t="s">
        <v>396</v>
      </c>
      <c r="C768" s="914"/>
      <c r="D768" s="95" t="s">
        <v>3</v>
      </c>
      <c r="E768" s="207" t="s">
        <v>398</v>
      </c>
      <c r="F768" s="95" t="s">
        <v>397</v>
      </c>
      <c r="G768" s="113" t="s">
        <v>399</v>
      </c>
    </row>
    <row r="769" spans="1:7" s="7" customFormat="1" ht="13.5" thickBot="1">
      <c r="A769" s="127"/>
      <c r="B769" s="938" t="s">
        <v>436</v>
      </c>
      <c r="C769" s="939"/>
      <c r="D769" s="104" t="s">
        <v>28</v>
      </c>
      <c r="E769" s="212">
        <v>22500</v>
      </c>
      <c r="F769" s="89">
        <f>+F764</f>
        <v>5.2500000000000005E-2</v>
      </c>
      <c r="G769" s="159">
        <f>ROUND(F769*E769,)</f>
        <v>1181</v>
      </c>
    </row>
    <row r="770" spans="1:7" s="7" customFormat="1" ht="12.75">
      <c r="A770" s="156"/>
      <c r="B770" s="940" t="s">
        <v>402</v>
      </c>
      <c r="C770" s="941"/>
      <c r="D770" s="157" t="s">
        <v>402</v>
      </c>
      <c r="E770" s="219"/>
      <c r="F770" s="158"/>
      <c r="G770" s="159">
        <f>ROUND(F770*E770,)</f>
        <v>0</v>
      </c>
    </row>
    <row r="771" spans="1:7" s="7" customFormat="1" ht="13.5" thickBot="1">
      <c r="A771" s="130"/>
      <c r="B771" s="942" t="s">
        <v>402</v>
      </c>
      <c r="C771" s="943"/>
      <c r="D771" s="104" t="s">
        <v>402</v>
      </c>
      <c r="E771" s="212"/>
      <c r="F771" s="105"/>
      <c r="G771" s="131">
        <f>ROUND(F771*E771,)</f>
        <v>0</v>
      </c>
    </row>
    <row r="772" spans="1:7" s="7" customFormat="1" ht="13.5" thickBot="1">
      <c r="A772" s="944"/>
      <c r="B772" s="945"/>
      <c r="C772" s="946"/>
      <c r="D772" s="947" t="s">
        <v>418</v>
      </c>
      <c r="E772" s="948"/>
      <c r="F772" s="949"/>
      <c r="G772" s="11">
        <f>SUM(G769:G771)</f>
        <v>1181</v>
      </c>
    </row>
    <row r="773" spans="1:7" s="7" customFormat="1" ht="13.5" thickBot="1">
      <c r="A773" s="908" t="s">
        <v>1</v>
      </c>
      <c r="B773" s="910" t="s">
        <v>419</v>
      </c>
      <c r="C773" s="911"/>
      <c r="D773" s="911"/>
      <c r="E773" s="911"/>
      <c r="F773" s="911"/>
      <c r="G773" s="912"/>
    </row>
    <row r="774" spans="1:7" s="7" customFormat="1" ht="13.5" thickBot="1">
      <c r="A774" s="909"/>
      <c r="B774" s="913" t="s">
        <v>396</v>
      </c>
      <c r="C774" s="914"/>
      <c r="D774" s="95" t="s">
        <v>3</v>
      </c>
      <c r="E774" s="207" t="s">
        <v>398</v>
      </c>
      <c r="F774" s="95" t="s">
        <v>397</v>
      </c>
      <c r="G774" s="113" t="s">
        <v>399</v>
      </c>
    </row>
    <row r="775" spans="1:7" s="7" customFormat="1" ht="12.75">
      <c r="A775" s="122"/>
      <c r="B775" s="160" t="s">
        <v>466</v>
      </c>
      <c r="C775" s="161"/>
      <c r="D775" s="109" t="s">
        <v>422</v>
      </c>
      <c r="E775" s="82">
        <f>_xlfn.IFNA(VLOOKUP(B775,'sub M. DE OBRA'!$B$4:$E$19997,4,FALSE),0)</f>
        <v>290909.73333333334</v>
      </c>
      <c r="F775" s="110">
        <v>0.15</v>
      </c>
      <c r="G775" s="129">
        <f>ROUND(F775*E775,)</f>
        <v>43636</v>
      </c>
    </row>
    <row r="776" spans="1:7" s="7" customFormat="1" ht="12.75">
      <c r="A776" s="155"/>
      <c r="B776" s="184"/>
      <c r="C776" s="185"/>
      <c r="D776" s="92"/>
      <c r="E776" s="215"/>
      <c r="F776" s="101"/>
      <c r="G776" s="164">
        <f>ROUND(E776*F776*C776,0)</f>
        <v>0</v>
      </c>
    </row>
    <row r="777" spans="1:7" s="7" customFormat="1" ht="13.5" thickBot="1">
      <c r="A777" s="165"/>
      <c r="B777" s="166"/>
      <c r="C777" s="167"/>
      <c r="D777" s="168"/>
      <c r="E777" s="222"/>
      <c r="F777" s="169"/>
      <c r="G777" s="170">
        <f>ROUND(E777*F777*C777,0)</f>
        <v>0</v>
      </c>
    </row>
    <row r="778" spans="1:7" s="7" customFormat="1" ht="13.5" thickBot="1">
      <c r="A778" s="915" t="s">
        <v>424</v>
      </c>
      <c r="B778" s="916"/>
      <c r="C778" s="917"/>
      <c r="D778" s="918" t="s">
        <v>425</v>
      </c>
      <c r="E778" s="919"/>
      <c r="F778" s="920"/>
      <c r="G778" s="12">
        <f>SUM(G775:G777)</f>
        <v>43636</v>
      </c>
    </row>
    <row r="779" spans="1:7" s="7" customFormat="1" ht="13.5" thickBot="1">
      <c r="A779" s="921"/>
      <c r="B779" s="922"/>
      <c r="C779" s="922"/>
      <c r="D779" s="923" t="s">
        <v>426</v>
      </c>
      <c r="E779" s="924"/>
      <c r="F779" s="925"/>
      <c r="G779" s="153">
        <f>+G760+G766+G772+G778</f>
        <v>74618</v>
      </c>
    </row>
    <row r="780" spans="1:7" ht="15" thickBot="1">
      <c r="E780" s="41"/>
      <c r="F780" s="41"/>
    </row>
    <row r="781" spans="1:7" s="7" customFormat="1" ht="13.5" thickBot="1">
      <c r="A781" s="1027" t="s">
        <v>389</v>
      </c>
      <c r="B781" s="1028"/>
      <c r="C781" s="1028"/>
      <c r="D781" s="1028"/>
      <c r="E781" s="1028"/>
      <c r="F781" s="1028"/>
      <c r="G781" s="1029"/>
    </row>
    <row r="782" spans="1:7" s="7" customFormat="1" ht="13.5" thickBot="1">
      <c r="A782" s="950" t="s">
        <v>390</v>
      </c>
      <c r="B782" s="951"/>
      <c r="C782" s="951"/>
      <c r="D782" s="951"/>
      <c r="E782" s="952"/>
      <c r="F782" s="42" t="s">
        <v>391</v>
      </c>
      <c r="G782" s="191">
        <f ca="1">TODAY()</f>
        <v>46071</v>
      </c>
    </row>
    <row r="783" spans="1:7" s="7" customFormat="1" ht="13.5" thickBot="1">
      <c r="A783" s="953" t="str">
        <f>+'OFERTA ECONOMICA'!B43</f>
        <v>Suministro , transporte y instalación de lagrimal prefabricado en concreto de 21mpa , espesor= 0.25 m, longitud 0.50m, incluye: cortagotera, mortero de pega impermebailizado , andamios certificados, equipo de trabajo en alturas (PRECIO PROYECTADO - PENDIENTE ELABORACIÓN APU)</v>
      </c>
      <c r="B783" s="954"/>
      <c r="C783" s="954"/>
      <c r="D783" s="954"/>
      <c r="E783" s="955"/>
      <c r="F783" s="44" t="s">
        <v>392</v>
      </c>
      <c r="G783" s="45" t="s">
        <v>12</v>
      </c>
    </row>
    <row r="784" spans="1:7" s="7" customFormat="1" ht="13.5" thickBot="1">
      <c r="A784" s="956"/>
      <c r="B784" s="957"/>
      <c r="C784" s="957"/>
      <c r="D784" s="957"/>
      <c r="E784" s="958"/>
      <c r="F784" s="44" t="s">
        <v>393</v>
      </c>
      <c r="G784" s="46">
        <v>1</v>
      </c>
    </row>
    <row r="785" spans="1:7" s="7" customFormat="1" ht="13.5" thickBot="1">
      <c r="A785" s="959"/>
      <c r="B785" s="960"/>
      <c r="C785" s="960"/>
      <c r="D785" s="960"/>
      <c r="E785" s="961"/>
      <c r="F785" s="47" t="s">
        <v>394</v>
      </c>
      <c r="G785" s="48" t="s">
        <v>84</v>
      </c>
    </row>
    <row r="786" spans="1:7" s="7" customFormat="1" ht="13.5" thickBot="1">
      <c r="A786" s="962" t="s">
        <v>1</v>
      </c>
      <c r="B786" s="963" t="s">
        <v>395</v>
      </c>
      <c r="C786" s="964"/>
      <c r="D786" s="964"/>
      <c r="E786" s="964"/>
      <c r="F786" s="964"/>
      <c r="G786" s="965"/>
    </row>
    <row r="787" spans="1:7" s="7" customFormat="1" ht="13.5" thickBot="1">
      <c r="A787" s="909"/>
      <c r="B787" s="913" t="s">
        <v>396</v>
      </c>
      <c r="C787" s="914"/>
      <c r="D787" s="95" t="s">
        <v>3</v>
      </c>
      <c r="E787" s="207" t="s">
        <v>398</v>
      </c>
      <c r="F787" s="95" t="s">
        <v>439</v>
      </c>
      <c r="G787" s="113" t="s">
        <v>399</v>
      </c>
    </row>
    <row r="788" spans="1:7" s="7" customFormat="1" ht="13.5" thickBot="1">
      <c r="A788" s="114"/>
      <c r="B788" s="966" t="s">
        <v>538</v>
      </c>
      <c r="C788" s="967"/>
      <c r="D788" s="88" t="s">
        <v>539</v>
      </c>
      <c r="E788" s="214">
        <f>+G808</f>
        <v>29091</v>
      </c>
      <c r="F788" s="89">
        <v>0.05</v>
      </c>
      <c r="G788" s="117">
        <f t="shared" ref="G788:G789" si="49">ROUND((E788*F788),0)</f>
        <v>1455</v>
      </c>
    </row>
    <row r="789" spans="1:7" s="7" customFormat="1" ht="12.75">
      <c r="A789" s="154"/>
      <c r="B789" s="968"/>
      <c r="C789" s="969"/>
      <c r="D789" s="171"/>
      <c r="E789" s="220"/>
      <c r="F789" s="93"/>
      <c r="G789" s="149">
        <f t="shared" si="49"/>
        <v>0</v>
      </c>
    </row>
    <row r="790" spans="1:7" s="7" customFormat="1" ht="13.5" thickBot="1">
      <c r="A790" s="970"/>
      <c r="B790" s="971"/>
      <c r="C790" s="972"/>
      <c r="D790" s="973" t="s">
        <v>403</v>
      </c>
      <c r="E790" s="974"/>
      <c r="F790" s="975"/>
      <c r="G790" s="11">
        <f>SUM(G788:G789)</f>
        <v>1455</v>
      </c>
    </row>
    <row r="791" spans="1:7" s="7" customFormat="1" ht="13.5" thickBot="1">
      <c r="A791" s="908" t="s">
        <v>1</v>
      </c>
      <c r="B791" s="910" t="s">
        <v>404</v>
      </c>
      <c r="C791" s="911"/>
      <c r="D791" s="911"/>
      <c r="E791" s="911"/>
      <c r="F791" s="911"/>
      <c r="G791" s="912"/>
    </row>
    <row r="792" spans="1:7" s="7" customFormat="1" ht="13.5" thickBot="1">
      <c r="A792" s="909"/>
      <c r="B792" s="913" t="s">
        <v>396</v>
      </c>
      <c r="C792" s="914"/>
      <c r="D792" s="95" t="s">
        <v>3</v>
      </c>
      <c r="E792" s="207" t="s">
        <v>398</v>
      </c>
      <c r="F792" s="95" t="s">
        <v>397</v>
      </c>
      <c r="G792" s="113" t="s">
        <v>399</v>
      </c>
    </row>
    <row r="793" spans="1:7" s="7" customFormat="1" ht="13.5" thickBot="1">
      <c r="A793" s="178"/>
      <c r="B793" s="926"/>
      <c r="C793" s="927"/>
      <c r="D793" s="88"/>
      <c r="E793" s="221"/>
      <c r="F793" s="180"/>
      <c r="G793" s="181">
        <f t="shared" ref="G793" si="50">ROUND(E793*F793,)</f>
        <v>0</v>
      </c>
    </row>
    <row r="794" spans="1:7" s="7" customFormat="1" ht="13.5" thickBot="1">
      <c r="A794" s="122"/>
      <c r="B794" s="930" t="s">
        <v>540</v>
      </c>
      <c r="C794" s="931"/>
      <c r="D794" s="88" t="s">
        <v>28</v>
      </c>
      <c r="E794" s="214">
        <v>468281</v>
      </c>
      <c r="F794" s="89">
        <v>0.02</v>
      </c>
      <c r="G794" s="149">
        <f t="shared" ref="G794:G795" si="51">ROUND((E794*F794),0)</f>
        <v>9366</v>
      </c>
    </row>
    <row r="795" spans="1:7" s="7" customFormat="1" ht="13.5" thickBot="1">
      <c r="A795" s="155"/>
      <c r="B795" s="930" t="s">
        <v>542</v>
      </c>
      <c r="C795" s="931"/>
      <c r="D795" s="88" t="s">
        <v>55</v>
      </c>
      <c r="E795" s="214">
        <v>14500</v>
      </c>
      <c r="F795" s="89">
        <v>3.6764137931034484</v>
      </c>
      <c r="G795" s="149">
        <f t="shared" si="51"/>
        <v>53308</v>
      </c>
    </row>
    <row r="796" spans="1:7" s="7" customFormat="1" ht="13.5" thickBot="1">
      <c r="A796" s="932"/>
      <c r="B796" s="933"/>
      <c r="C796" s="934"/>
      <c r="D796" s="935" t="s">
        <v>415</v>
      </c>
      <c r="E796" s="936"/>
      <c r="F796" s="937"/>
      <c r="G796" s="18">
        <f>SUM(G793:G795)</f>
        <v>62674</v>
      </c>
    </row>
    <row r="797" spans="1:7" s="7" customFormat="1" ht="13.5" thickBot="1">
      <c r="A797" s="908" t="s">
        <v>1</v>
      </c>
      <c r="B797" s="910" t="s">
        <v>416</v>
      </c>
      <c r="C797" s="911"/>
      <c r="D797" s="911"/>
      <c r="E797" s="911"/>
      <c r="F797" s="911"/>
      <c r="G797" s="912"/>
    </row>
    <row r="798" spans="1:7" s="7" customFormat="1" ht="13.5" thickBot="1">
      <c r="A798" s="909"/>
      <c r="B798" s="913" t="s">
        <v>396</v>
      </c>
      <c r="C798" s="914"/>
      <c r="D798" s="95" t="s">
        <v>3</v>
      </c>
      <c r="E798" s="207" t="s">
        <v>398</v>
      </c>
      <c r="F798" s="95" t="s">
        <v>397</v>
      </c>
      <c r="G798" s="113" t="s">
        <v>399</v>
      </c>
    </row>
    <row r="799" spans="1:7" s="7" customFormat="1" ht="13.5" thickBot="1">
      <c r="A799" s="127"/>
      <c r="B799" s="938"/>
      <c r="C799" s="939"/>
      <c r="D799" s="104"/>
      <c r="E799" s="212"/>
      <c r="F799" s="89"/>
      <c r="G799" s="159">
        <f>ROUND(F799*E799,)</f>
        <v>0</v>
      </c>
    </row>
    <row r="800" spans="1:7" s="7" customFormat="1" ht="12.75">
      <c r="A800" s="156"/>
      <c r="B800" s="940" t="s">
        <v>402</v>
      </c>
      <c r="C800" s="941"/>
      <c r="D800" s="157" t="s">
        <v>402</v>
      </c>
      <c r="E800" s="219"/>
      <c r="F800" s="158"/>
      <c r="G800" s="159">
        <f>ROUND(F800*E800,)</f>
        <v>0</v>
      </c>
    </row>
    <row r="801" spans="1:7" s="7" customFormat="1" ht="13.5" thickBot="1">
      <c r="A801" s="130"/>
      <c r="B801" s="942" t="s">
        <v>402</v>
      </c>
      <c r="C801" s="943"/>
      <c r="D801" s="104" t="s">
        <v>402</v>
      </c>
      <c r="E801" s="212"/>
      <c r="F801" s="105"/>
      <c r="G801" s="131">
        <f>ROUND(F801*E801,)</f>
        <v>0</v>
      </c>
    </row>
    <row r="802" spans="1:7" s="7" customFormat="1" ht="13.5" thickBot="1">
      <c r="A802" s="944"/>
      <c r="B802" s="945"/>
      <c r="C802" s="946"/>
      <c r="D802" s="947" t="s">
        <v>418</v>
      </c>
      <c r="E802" s="948"/>
      <c r="F802" s="949"/>
      <c r="G802" s="11">
        <f>SUM(G799:G801)</f>
        <v>0</v>
      </c>
    </row>
    <row r="803" spans="1:7" s="7" customFormat="1" ht="13.5" thickBot="1">
      <c r="A803" s="908" t="s">
        <v>1</v>
      </c>
      <c r="B803" s="910" t="s">
        <v>419</v>
      </c>
      <c r="C803" s="911"/>
      <c r="D803" s="911"/>
      <c r="E803" s="911"/>
      <c r="F803" s="911"/>
      <c r="G803" s="912"/>
    </row>
    <row r="804" spans="1:7" s="7" customFormat="1" ht="13.5" thickBot="1">
      <c r="A804" s="909"/>
      <c r="B804" s="913" t="s">
        <v>396</v>
      </c>
      <c r="C804" s="914"/>
      <c r="D804" s="95" t="s">
        <v>3</v>
      </c>
      <c r="E804" s="207" t="s">
        <v>398</v>
      </c>
      <c r="F804" s="95" t="s">
        <v>397</v>
      </c>
      <c r="G804" s="113" t="s">
        <v>399</v>
      </c>
    </row>
    <row r="805" spans="1:7" s="7" customFormat="1" ht="12.75">
      <c r="A805" s="122"/>
      <c r="B805" s="160" t="s">
        <v>466</v>
      </c>
      <c r="C805" s="161"/>
      <c r="D805" s="109" t="s">
        <v>422</v>
      </c>
      <c r="E805" s="82">
        <f>_xlfn.IFNA(VLOOKUP(B805,'sub M. DE OBRA'!$B$4:$E$19997,4,FALSE),0)</f>
        <v>290909.73333333334</v>
      </c>
      <c r="F805" s="110">
        <v>0.1</v>
      </c>
      <c r="G805" s="129">
        <f>ROUND(F805*E805,)</f>
        <v>29091</v>
      </c>
    </row>
    <row r="806" spans="1:7" s="7" customFormat="1" ht="12.75">
      <c r="A806" s="155"/>
      <c r="B806" s="184"/>
      <c r="C806" s="185"/>
      <c r="D806" s="92"/>
      <c r="E806" s="215"/>
      <c r="F806" s="101"/>
      <c r="G806" s="164">
        <f>ROUND(E806*F806*C806,0)</f>
        <v>0</v>
      </c>
    </row>
    <row r="807" spans="1:7" s="7" customFormat="1" ht="13.5" thickBot="1">
      <c r="A807" s="165"/>
      <c r="B807" s="166"/>
      <c r="C807" s="167"/>
      <c r="D807" s="168"/>
      <c r="E807" s="222"/>
      <c r="F807" s="169"/>
      <c r="G807" s="170">
        <f>ROUND(E807*F807*C807,0)</f>
        <v>0</v>
      </c>
    </row>
    <row r="808" spans="1:7" s="7" customFormat="1" ht="13.5" thickBot="1">
      <c r="A808" s="915" t="s">
        <v>424</v>
      </c>
      <c r="B808" s="916"/>
      <c r="C808" s="917"/>
      <c r="D808" s="918" t="s">
        <v>425</v>
      </c>
      <c r="E808" s="919"/>
      <c r="F808" s="920"/>
      <c r="G808" s="12">
        <f>SUM(G805:G807)</f>
        <v>29091</v>
      </c>
    </row>
    <row r="809" spans="1:7" s="7" customFormat="1" ht="13.5" thickBot="1">
      <c r="A809" s="921"/>
      <c r="B809" s="922"/>
      <c r="C809" s="922"/>
      <c r="D809" s="923" t="s">
        <v>426</v>
      </c>
      <c r="E809" s="924"/>
      <c r="F809" s="925"/>
      <c r="G809" s="153">
        <f>+G790+G796+G802+G808</f>
        <v>93220</v>
      </c>
    </row>
    <row r="810" spans="1:7" s="7" customFormat="1" ht="13.5" thickBot="1"/>
    <row r="811" spans="1:7" s="7" customFormat="1" ht="13.5" thickBot="1">
      <c r="A811" s="950" t="s">
        <v>390</v>
      </c>
      <c r="B811" s="951"/>
      <c r="C811" s="951"/>
      <c r="D811" s="951"/>
      <c r="E811" s="952"/>
      <c r="F811" s="42" t="s">
        <v>391</v>
      </c>
      <c r="G811" s="191">
        <f ca="1">TODAY()</f>
        <v>46071</v>
      </c>
    </row>
    <row r="812" spans="1:7" s="7" customFormat="1" ht="20.25" customHeight="1" thickBot="1">
      <c r="A812" s="953" t="str">
        <f>+'OFERTA ECONOMICA'!B44</f>
        <v>Suministro, transporte y colocación de base granular de máximo Ø 1½", aplicación manual, para estructura de andenes, escalas o parcheos de pavimento, compactada con canguro, incluye el transporte interno de materiales y todo lo necesario para su correcta colocación y funcionamiento Su medida será tomada en sitio ya compactado (PRECIO PROYECTADO - PENDIENTE ELABORACIÓN APU)</v>
      </c>
      <c r="B812" s="954"/>
      <c r="C812" s="954"/>
      <c r="D812" s="954"/>
      <c r="E812" s="955"/>
      <c r="F812" s="44" t="s">
        <v>392</v>
      </c>
      <c r="G812" s="45" t="s">
        <v>28</v>
      </c>
    </row>
    <row r="813" spans="1:7" s="7" customFormat="1" ht="20.25" customHeight="1" thickBot="1">
      <c r="A813" s="956"/>
      <c r="B813" s="957"/>
      <c r="C813" s="957"/>
      <c r="D813" s="957"/>
      <c r="E813" s="958"/>
      <c r="F813" s="44" t="s">
        <v>393</v>
      </c>
      <c r="G813" s="46">
        <v>1</v>
      </c>
    </row>
    <row r="814" spans="1:7" s="7" customFormat="1" ht="20.25" customHeight="1" thickBot="1">
      <c r="A814" s="959"/>
      <c r="B814" s="960"/>
      <c r="C814" s="960"/>
      <c r="D814" s="960"/>
      <c r="E814" s="961"/>
      <c r="F814" s="47" t="s">
        <v>394</v>
      </c>
      <c r="G814" s="48" t="s">
        <v>86</v>
      </c>
    </row>
    <row r="815" spans="1:7" s="7" customFormat="1" ht="13.5" thickBot="1">
      <c r="A815" s="962" t="s">
        <v>1</v>
      </c>
      <c r="B815" s="963" t="s">
        <v>395</v>
      </c>
      <c r="C815" s="964"/>
      <c r="D815" s="964"/>
      <c r="E815" s="964"/>
      <c r="F815" s="964"/>
      <c r="G815" s="965"/>
    </row>
    <row r="816" spans="1:7" s="7" customFormat="1" ht="13.5" thickBot="1">
      <c r="A816" s="909"/>
      <c r="B816" s="913" t="s">
        <v>396</v>
      </c>
      <c r="C816" s="914"/>
      <c r="D816" s="95" t="s">
        <v>3</v>
      </c>
      <c r="E816" s="207" t="s">
        <v>398</v>
      </c>
      <c r="F816" s="95" t="s">
        <v>439</v>
      </c>
      <c r="G816" s="113" t="s">
        <v>399</v>
      </c>
    </row>
    <row r="817" spans="1:7" s="7" customFormat="1" ht="13.5" thickBot="1">
      <c r="A817" s="114"/>
      <c r="B817" s="966" t="s">
        <v>538</v>
      </c>
      <c r="C817" s="967"/>
      <c r="D817" s="88" t="s">
        <v>539</v>
      </c>
      <c r="E817" s="214">
        <f>+G837</f>
        <v>36364</v>
      </c>
      <c r="F817" s="89">
        <v>0.05</v>
      </c>
      <c r="G817" s="117">
        <f t="shared" ref="G817:G818" si="52">ROUND((E817*F817),0)</f>
        <v>1818</v>
      </c>
    </row>
    <row r="818" spans="1:7" s="7" customFormat="1" ht="12.75">
      <c r="A818" s="154"/>
      <c r="B818" s="968" t="s">
        <v>543</v>
      </c>
      <c r="C818" s="969"/>
      <c r="D818" s="171" t="s">
        <v>430</v>
      </c>
      <c r="E818" s="220">
        <v>73333</v>
      </c>
      <c r="F818" s="93">
        <v>0.111</v>
      </c>
      <c r="G818" s="149">
        <f t="shared" si="52"/>
        <v>8140</v>
      </c>
    </row>
    <row r="819" spans="1:7" s="7" customFormat="1" ht="13.5" thickBot="1">
      <c r="A819" s="970"/>
      <c r="B819" s="971"/>
      <c r="C819" s="972"/>
      <c r="D819" s="973" t="s">
        <v>403</v>
      </c>
      <c r="E819" s="974"/>
      <c r="F819" s="975"/>
      <c r="G819" s="11">
        <f>SUM(G817:G818)</f>
        <v>9958</v>
      </c>
    </row>
    <row r="820" spans="1:7" s="7" customFormat="1" ht="13.5" thickBot="1">
      <c r="A820" s="908" t="s">
        <v>1</v>
      </c>
      <c r="B820" s="910" t="s">
        <v>404</v>
      </c>
      <c r="C820" s="911"/>
      <c r="D820" s="911"/>
      <c r="E820" s="911"/>
      <c r="F820" s="911"/>
      <c r="G820" s="912"/>
    </row>
    <row r="821" spans="1:7" s="7" customFormat="1" ht="13.5" thickBot="1">
      <c r="A821" s="909"/>
      <c r="B821" s="913" t="s">
        <v>396</v>
      </c>
      <c r="C821" s="914"/>
      <c r="D821" s="95" t="s">
        <v>3</v>
      </c>
      <c r="E821" s="207" t="s">
        <v>398</v>
      </c>
      <c r="F821" s="95" t="s">
        <v>397</v>
      </c>
      <c r="G821" s="113" t="s">
        <v>399</v>
      </c>
    </row>
    <row r="822" spans="1:7" s="7" customFormat="1" ht="13.5" thickBot="1">
      <c r="A822" s="178"/>
      <c r="B822" s="926" t="s">
        <v>544</v>
      </c>
      <c r="C822" s="927"/>
      <c r="D822" s="88" t="s">
        <v>28</v>
      </c>
      <c r="E822" s="221">
        <v>178471</v>
      </c>
      <c r="F822" s="180">
        <v>1.3</v>
      </c>
      <c r="G822" s="181">
        <f t="shared" ref="G822" si="53">ROUND(E822*F822,)</f>
        <v>232012</v>
      </c>
    </row>
    <row r="823" spans="1:7" s="7" customFormat="1" ht="13.5" thickBot="1">
      <c r="A823" s="122"/>
      <c r="B823" s="930"/>
      <c r="C823" s="931"/>
      <c r="D823" s="88"/>
      <c r="E823" s="214"/>
      <c r="F823" s="89"/>
      <c r="G823" s="149">
        <f t="shared" ref="G823:G824" si="54">ROUND((E823*F823),0)</f>
        <v>0</v>
      </c>
    </row>
    <row r="824" spans="1:7" s="7" customFormat="1" ht="13.5" thickBot="1">
      <c r="A824" s="155"/>
      <c r="B824" s="930"/>
      <c r="C824" s="931"/>
      <c r="D824" s="88"/>
      <c r="E824" s="214"/>
      <c r="F824" s="89"/>
      <c r="G824" s="149">
        <f t="shared" si="54"/>
        <v>0</v>
      </c>
    </row>
    <row r="825" spans="1:7" s="7" customFormat="1" ht="13.5" thickBot="1">
      <c r="A825" s="932"/>
      <c r="B825" s="933"/>
      <c r="C825" s="934"/>
      <c r="D825" s="935" t="s">
        <v>415</v>
      </c>
      <c r="E825" s="936"/>
      <c r="F825" s="937"/>
      <c r="G825" s="18">
        <f>SUM(G822:G824)</f>
        <v>232012</v>
      </c>
    </row>
    <row r="826" spans="1:7" s="7" customFormat="1" ht="13.5" thickBot="1">
      <c r="A826" s="908" t="s">
        <v>1</v>
      </c>
      <c r="B826" s="910" t="s">
        <v>416</v>
      </c>
      <c r="C826" s="911"/>
      <c r="D826" s="911"/>
      <c r="E826" s="911"/>
      <c r="F826" s="911"/>
      <c r="G826" s="912"/>
    </row>
    <row r="827" spans="1:7" s="7" customFormat="1" ht="13.5" thickBot="1">
      <c r="A827" s="909"/>
      <c r="B827" s="913" t="s">
        <v>396</v>
      </c>
      <c r="C827" s="914"/>
      <c r="D827" s="95" t="s">
        <v>3</v>
      </c>
      <c r="E827" s="207" t="s">
        <v>398</v>
      </c>
      <c r="F827" s="95" t="s">
        <v>397</v>
      </c>
      <c r="G827" s="113" t="s">
        <v>399</v>
      </c>
    </row>
    <row r="828" spans="1:7" s="7" customFormat="1" ht="13.5" thickBot="1">
      <c r="A828" s="127"/>
      <c r="B828" s="938" t="s">
        <v>436</v>
      </c>
      <c r="C828" s="939"/>
      <c r="D828" s="104" t="s">
        <v>28</v>
      </c>
      <c r="E828" s="212">
        <v>16643</v>
      </c>
      <c r="F828" s="89">
        <v>1</v>
      </c>
      <c r="G828" s="159">
        <f>ROUND(F828*E828,)</f>
        <v>16643</v>
      </c>
    </row>
    <row r="829" spans="1:7" s="7" customFormat="1" ht="12.75">
      <c r="A829" s="156"/>
      <c r="B829" s="940" t="s">
        <v>402</v>
      </c>
      <c r="C829" s="941"/>
      <c r="D829" s="157" t="s">
        <v>402</v>
      </c>
      <c r="E829" s="219"/>
      <c r="F829" s="158"/>
      <c r="G829" s="159">
        <f>ROUND(F829*E829,)</f>
        <v>0</v>
      </c>
    </row>
    <row r="830" spans="1:7" s="7" customFormat="1" ht="13.5" thickBot="1">
      <c r="A830" s="130"/>
      <c r="B830" s="942" t="s">
        <v>402</v>
      </c>
      <c r="C830" s="943"/>
      <c r="D830" s="104" t="s">
        <v>402</v>
      </c>
      <c r="E830" s="212"/>
      <c r="F830" s="105"/>
      <c r="G830" s="131">
        <f>ROUND(F830*E830,)</f>
        <v>0</v>
      </c>
    </row>
    <row r="831" spans="1:7" s="7" customFormat="1" ht="13.5" thickBot="1">
      <c r="A831" s="944"/>
      <c r="B831" s="945"/>
      <c r="C831" s="946"/>
      <c r="D831" s="947" t="s">
        <v>418</v>
      </c>
      <c r="E831" s="948"/>
      <c r="F831" s="949"/>
      <c r="G831" s="11">
        <f>SUM(G828:G830)</f>
        <v>16643</v>
      </c>
    </row>
    <row r="832" spans="1:7" s="7" customFormat="1" ht="13.5" thickBot="1">
      <c r="A832" s="908" t="s">
        <v>1</v>
      </c>
      <c r="B832" s="910" t="s">
        <v>419</v>
      </c>
      <c r="C832" s="911"/>
      <c r="D832" s="911"/>
      <c r="E832" s="911"/>
      <c r="F832" s="911"/>
      <c r="G832" s="912"/>
    </row>
    <row r="833" spans="1:7" s="7" customFormat="1" ht="13.5" thickBot="1">
      <c r="A833" s="909"/>
      <c r="B833" s="913" t="s">
        <v>396</v>
      </c>
      <c r="C833" s="914"/>
      <c r="D833" s="95" t="s">
        <v>3</v>
      </c>
      <c r="E833" s="207" t="s">
        <v>398</v>
      </c>
      <c r="F833" s="95" t="s">
        <v>397</v>
      </c>
      <c r="G833" s="113" t="s">
        <v>399</v>
      </c>
    </row>
    <row r="834" spans="1:7" s="7" customFormat="1" ht="12.75">
      <c r="A834" s="122"/>
      <c r="B834" s="160" t="s">
        <v>466</v>
      </c>
      <c r="C834" s="161"/>
      <c r="D834" s="109" t="s">
        <v>422</v>
      </c>
      <c r="E834" s="82">
        <f>_xlfn.IFNA(VLOOKUP(B834,'sub M. DE OBRA'!$B$4:$E$19997,4,FALSE),0)</f>
        <v>290909.73333333334</v>
      </c>
      <c r="F834" s="110">
        <v>0.125</v>
      </c>
      <c r="G834" s="129">
        <f>ROUND(F834*E834,)</f>
        <v>36364</v>
      </c>
    </row>
    <row r="835" spans="1:7" s="7" customFormat="1" ht="12.75">
      <c r="A835" s="155"/>
      <c r="B835" s="184"/>
      <c r="C835" s="185"/>
      <c r="D835" s="92"/>
      <c r="E835" s="215"/>
      <c r="F835" s="101"/>
      <c r="G835" s="164">
        <f>ROUND(E835*F835*C835,0)</f>
        <v>0</v>
      </c>
    </row>
    <row r="836" spans="1:7" s="7" customFormat="1" ht="13.5" thickBot="1">
      <c r="A836" s="165"/>
      <c r="B836" s="166"/>
      <c r="C836" s="167"/>
      <c r="D836" s="168"/>
      <c r="E836" s="222"/>
      <c r="F836" s="169"/>
      <c r="G836" s="170">
        <f>ROUND(E836*F836*C836,0)</f>
        <v>0</v>
      </c>
    </row>
    <row r="837" spans="1:7" s="7" customFormat="1" ht="13.5" thickBot="1">
      <c r="A837" s="915" t="s">
        <v>424</v>
      </c>
      <c r="B837" s="916"/>
      <c r="C837" s="917"/>
      <c r="D837" s="918" t="s">
        <v>425</v>
      </c>
      <c r="E837" s="919"/>
      <c r="F837" s="920"/>
      <c r="G837" s="12">
        <f>SUM(G834:G836)</f>
        <v>36364</v>
      </c>
    </row>
    <row r="838" spans="1:7" s="7" customFormat="1" ht="13.5" thickBot="1">
      <c r="A838" s="921"/>
      <c r="B838" s="922"/>
      <c r="C838" s="922"/>
      <c r="D838" s="923" t="s">
        <v>426</v>
      </c>
      <c r="E838" s="924"/>
      <c r="F838" s="925"/>
      <c r="G838" s="153">
        <f>+G819+G825+G831+G837</f>
        <v>294977</v>
      </c>
    </row>
    <row r="839" spans="1:7" s="7" customFormat="1" ht="13.5" thickBot="1"/>
    <row r="840" spans="1:7" s="7" customFormat="1" ht="13.5" thickBot="1">
      <c r="A840" s="950" t="s">
        <v>390</v>
      </c>
      <c r="B840" s="951"/>
      <c r="C840" s="951"/>
      <c r="D840" s="951"/>
      <c r="E840" s="952"/>
      <c r="F840" s="42" t="s">
        <v>391</v>
      </c>
      <c r="G840" s="191">
        <f ca="1">TODAY()</f>
        <v>46071</v>
      </c>
    </row>
    <row r="841" spans="1:7" s="7" customFormat="1" ht="13.5" thickBot="1">
      <c r="A841" s="953" t="str">
        <f>+'OFERTA ECONOMICA'!B45</f>
        <v>Retiro de ventiladores existentes</v>
      </c>
      <c r="B841" s="954"/>
      <c r="C841" s="954"/>
      <c r="D841" s="954"/>
      <c r="E841" s="955"/>
      <c r="F841" s="44" t="s">
        <v>392</v>
      </c>
      <c r="G841" s="45" t="s">
        <v>55</v>
      </c>
    </row>
    <row r="842" spans="1:7" s="7" customFormat="1" ht="13.5" thickBot="1">
      <c r="A842" s="956"/>
      <c r="B842" s="957"/>
      <c r="C842" s="957"/>
      <c r="D842" s="957"/>
      <c r="E842" s="958"/>
      <c r="F842" s="44" t="s">
        <v>393</v>
      </c>
      <c r="G842" s="46">
        <v>1</v>
      </c>
    </row>
    <row r="843" spans="1:7" s="7" customFormat="1" ht="13.5" thickBot="1">
      <c r="A843" s="959"/>
      <c r="B843" s="960"/>
      <c r="C843" s="960"/>
      <c r="D843" s="960"/>
      <c r="E843" s="961"/>
      <c r="F843" s="47" t="s">
        <v>394</v>
      </c>
      <c r="G843" s="48" t="s">
        <v>88</v>
      </c>
    </row>
    <row r="844" spans="1:7" s="7" customFormat="1" ht="13.5" thickBot="1">
      <c r="A844" s="962" t="s">
        <v>1</v>
      </c>
      <c r="B844" s="963" t="s">
        <v>395</v>
      </c>
      <c r="C844" s="964"/>
      <c r="D844" s="964"/>
      <c r="E844" s="964"/>
      <c r="F844" s="964"/>
      <c r="G844" s="965"/>
    </row>
    <row r="845" spans="1:7" s="7" customFormat="1" ht="13.5" thickBot="1">
      <c r="A845" s="909"/>
      <c r="B845" s="913" t="s">
        <v>396</v>
      </c>
      <c r="C845" s="914"/>
      <c r="D845" s="95" t="s">
        <v>3</v>
      </c>
      <c r="E845" s="207" t="s">
        <v>398</v>
      </c>
      <c r="F845" s="95" t="s">
        <v>439</v>
      </c>
      <c r="G845" s="113" t="s">
        <v>399</v>
      </c>
    </row>
    <row r="846" spans="1:7" s="7" customFormat="1" ht="13.5" thickBot="1">
      <c r="A846" s="114"/>
      <c r="B846" s="966" t="s">
        <v>538</v>
      </c>
      <c r="C846" s="967"/>
      <c r="D846" s="88" t="s">
        <v>539</v>
      </c>
      <c r="E846" s="214">
        <f>+G866</f>
        <v>67512</v>
      </c>
      <c r="F846" s="89">
        <v>0.05</v>
      </c>
      <c r="G846" s="117">
        <f t="shared" ref="G846:G847" si="55">ROUND((E846*F846),0)</f>
        <v>3376</v>
      </c>
    </row>
    <row r="847" spans="1:7" s="7" customFormat="1" ht="12.75">
      <c r="A847" s="154"/>
      <c r="B847" s="968"/>
      <c r="C847" s="969"/>
      <c r="D847" s="171"/>
      <c r="E847" s="220"/>
      <c r="F847" s="93"/>
      <c r="G847" s="149">
        <f t="shared" si="55"/>
        <v>0</v>
      </c>
    </row>
    <row r="848" spans="1:7" s="7" customFormat="1" ht="13.5" thickBot="1">
      <c r="A848" s="970"/>
      <c r="B848" s="971"/>
      <c r="C848" s="972"/>
      <c r="D848" s="973" t="s">
        <v>403</v>
      </c>
      <c r="E848" s="974"/>
      <c r="F848" s="975"/>
      <c r="G848" s="11">
        <f>SUM(G846:G847)</f>
        <v>3376</v>
      </c>
    </row>
    <row r="849" spans="1:7" s="7" customFormat="1" ht="13.5" thickBot="1">
      <c r="A849" s="908" t="s">
        <v>1</v>
      </c>
      <c r="B849" s="910" t="s">
        <v>404</v>
      </c>
      <c r="C849" s="911"/>
      <c r="D849" s="911"/>
      <c r="E849" s="911"/>
      <c r="F849" s="911"/>
      <c r="G849" s="912"/>
    </row>
    <row r="850" spans="1:7" s="7" customFormat="1" ht="13.5" thickBot="1">
      <c r="A850" s="909"/>
      <c r="B850" s="913" t="s">
        <v>396</v>
      </c>
      <c r="C850" s="914"/>
      <c r="D850" s="95" t="s">
        <v>3</v>
      </c>
      <c r="E850" s="207" t="s">
        <v>398</v>
      </c>
      <c r="F850" s="95" t="s">
        <v>397</v>
      </c>
      <c r="G850" s="113" t="s">
        <v>399</v>
      </c>
    </row>
    <row r="851" spans="1:7" s="7" customFormat="1" ht="13.5" thickBot="1">
      <c r="A851" s="178"/>
      <c r="B851" s="926"/>
      <c r="C851" s="927"/>
      <c r="D851" s="88"/>
      <c r="E851" s="221"/>
      <c r="F851" s="180"/>
      <c r="G851" s="181">
        <f t="shared" ref="G851" si="56">ROUND(E851*F851,)</f>
        <v>0</v>
      </c>
    </row>
    <row r="852" spans="1:7" s="7" customFormat="1" ht="13.5" thickBot="1">
      <c r="A852" s="122"/>
      <c r="B852" s="930"/>
      <c r="C852" s="931"/>
      <c r="D852" s="88"/>
      <c r="E852" s="214"/>
      <c r="F852" s="89"/>
      <c r="G852" s="149">
        <f t="shared" ref="G852:G853" si="57">ROUND((E852*F852),0)</f>
        <v>0</v>
      </c>
    </row>
    <row r="853" spans="1:7" s="7" customFormat="1" ht="13.5" thickBot="1">
      <c r="A853" s="155"/>
      <c r="B853" s="930"/>
      <c r="C853" s="931"/>
      <c r="D853" s="88"/>
      <c r="E853" s="214"/>
      <c r="F853" s="89"/>
      <c r="G853" s="149">
        <f t="shared" si="57"/>
        <v>0</v>
      </c>
    </row>
    <row r="854" spans="1:7" s="7" customFormat="1" ht="13.5" thickBot="1">
      <c r="A854" s="932"/>
      <c r="B854" s="933"/>
      <c r="C854" s="934"/>
      <c r="D854" s="935" t="s">
        <v>415</v>
      </c>
      <c r="E854" s="936"/>
      <c r="F854" s="937"/>
      <c r="G854" s="18">
        <f>SUM(G851:G853)</f>
        <v>0</v>
      </c>
    </row>
    <row r="855" spans="1:7" s="7" customFormat="1" ht="13.5" thickBot="1">
      <c r="A855" s="908" t="s">
        <v>1</v>
      </c>
      <c r="B855" s="910" t="s">
        <v>416</v>
      </c>
      <c r="C855" s="911"/>
      <c r="D855" s="911"/>
      <c r="E855" s="911"/>
      <c r="F855" s="911"/>
      <c r="G855" s="912"/>
    </row>
    <row r="856" spans="1:7" s="7" customFormat="1" ht="13.5" thickBot="1">
      <c r="A856" s="909"/>
      <c r="B856" s="913" t="s">
        <v>396</v>
      </c>
      <c r="C856" s="914"/>
      <c r="D856" s="95" t="s">
        <v>3</v>
      </c>
      <c r="E856" s="207" t="s">
        <v>398</v>
      </c>
      <c r="F856" s="95" t="s">
        <v>397</v>
      </c>
      <c r="G856" s="113" t="s">
        <v>399</v>
      </c>
    </row>
    <row r="857" spans="1:7" s="7" customFormat="1" ht="13.5" thickBot="1">
      <c r="A857" s="127"/>
      <c r="B857" s="938" t="s">
        <v>545</v>
      </c>
      <c r="C857" s="939"/>
      <c r="D857" s="104" t="s">
        <v>28</v>
      </c>
      <c r="E857" s="212">
        <v>16643</v>
      </c>
      <c r="F857" s="89">
        <v>1</v>
      </c>
      <c r="G857" s="159">
        <f>ROUND(F857*E857,)</f>
        <v>16643</v>
      </c>
    </row>
    <row r="858" spans="1:7" s="7" customFormat="1" ht="12.75">
      <c r="A858" s="156"/>
      <c r="B858" s="940" t="s">
        <v>402</v>
      </c>
      <c r="C858" s="941"/>
      <c r="D858" s="157" t="s">
        <v>402</v>
      </c>
      <c r="E858" s="219"/>
      <c r="F858" s="158"/>
      <c r="G858" s="159">
        <f>ROUND(F858*E858,)</f>
        <v>0</v>
      </c>
    </row>
    <row r="859" spans="1:7" s="7" customFormat="1" ht="13.5" thickBot="1">
      <c r="A859" s="130"/>
      <c r="B859" s="942" t="s">
        <v>402</v>
      </c>
      <c r="C859" s="943"/>
      <c r="D859" s="104" t="s">
        <v>402</v>
      </c>
      <c r="E859" s="212"/>
      <c r="F859" s="105"/>
      <c r="G859" s="131">
        <f>ROUND(F859*E859,)</f>
        <v>0</v>
      </c>
    </row>
    <row r="860" spans="1:7" s="7" customFormat="1" ht="13.5" thickBot="1">
      <c r="A860" s="944"/>
      <c r="B860" s="945"/>
      <c r="C860" s="946"/>
      <c r="D860" s="947" t="s">
        <v>418</v>
      </c>
      <c r="E860" s="948"/>
      <c r="F860" s="949"/>
      <c r="G860" s="11">
        <f>SUM(G857:G859)</f>
        <v>16643</v>
      </c>
    </row>
    <row r="861" spans="1:7" s="7" customFormat="1" ht="13.5" thickBot="1">
      <c r="A861" s="908" t="s">
        <v>1</v>
      </c>
      <c r="B861" s="910" t="s">
        <v>419</v>
      </c>
      <c r="C861" s="911"/>
      <c r="D861" s="911"/>
      <c r="E861" s="911"/>
      <c r="F861" s="911"/>
      <c r="G861" s="912"/>
    </row>
    <row r="862" spans="1:7" s="7" customFormat="1" ht="13.5" thickBot="1">
      <c r="A862" s="909"/>
      <c r="B862" s="913" t="s">
        <v>396</v>
      </c>
      <c r="C862" s="914"/>
      <c r="D862" s="95" t="s">
        <v>3</v>
      </c>
      <c r="E862" s="207" t="s">
        <v>398</v>
      </c>
      <c r="F862" s="95" t="s">
        <v>397</v>
      </c>
      <c r="G862" s="113" t="s">
        <v>399</v>
      </c>
    </row>
    <row r="863" spans="1:7" s="7" customFormat="1" ht="12.75">
      <c r="A863" s="122"/>
      <c r="B863" s="160" t="s">
        <v>466</v>
      </c>
      <c r="C863" s="161"/>
      <c r="D863" s="109" t="s">
        <v>422</v>
      </c>
      <c r="E863" s="82">
        <f>_xlfn.IFNA(VLOOKUP(B863,'sub M. DE OBRA'!$B$4:$E$19997,4,FALSE),0)</f>
        <v>290909.73333333334</v>
      </c>
      <c r="F863" s="110">
        <v>0.23207178713630128</v>
      </c>
      <c r="G863" s="129">
        <f>ROUND(F863*E863,)</f>
        <v>67512</v>
      </c>
    </row>
    <row r="864" spans="1:7" s="7" customFormat="1" ht="12.75">
      <c r="A864" s="155"/>
      <c r="B864" s="184"/>
      <c r="C864" s="185"/>
      <c r="D864" s="92"/>
      <c r="E864" s="215"/>
      <c r="F864" s="101"/>
      <c r="G864" s="164">
        <f>ROUND(E864*F864*C864,0)</f>
        <v>0</v>
      </c>
    </row>
    <row r="865" spans="1:7" s="7" customFormat="1" ht="13.5" thickBot="1">
      <c r="A865" s="165"/>
      <c r="B865" s="166"/>
      <c r="C865" s="167"/>
      <c r="D865" s="168"/>
      <c r="E865" s="222"/>
      <c r="F865" s="169"/>
      <c r="G865" s="170">
        <f>ROUND(E865*F865*C865,0)</f>
        <v>0</v>
      </c>
    </row>
    <row r="866" spans="1:7" s="7" customFormat="1" ht="13.5" thickBot="1">
      <c r="A866" s="915" t="s">
        <v>424</v>
      </c>
      <c r="B866" s="916"/>
      <c r="C866" s="917"/>
      <c r="D866" s="918" t="s">
        <v>425</v>
      </c>
      <c r="E866" s="919"/>
      <c r="F866" s="920"/>
      <c r="G866" s="12">
        <f>SUM(G863:G865)</f>
        <v>67512</v>
      </c>
    </row>
    <row r="867" spans="1:7" s="7" customFormat="1" ht="13.5" thickBot="1">
      <c r="A867" s="921"/>
      <c r="B867" s="922"/>
      <c r="C867" s="922"/>
      <c r="D867" s="923" t="s">
        <v>426</v>
      </c>
      <c r="E867" s="924"/>
      <c r="F867" s="925"/>
      <c r="G867" s="153">
        <f>+G848+G854+G860+G866</f>
        <v>87531</v>
      </c>
    </row>
    <row r="868" spans="1:7" s="7" customFormat="1" ht="13.5" thickBot="1"/>
    <row r="869" spans="1:7" s="7" customFormat="1" ht="13.5" thickBot="1">
      <c r="A869" s="950" t="s">
        <v>390</v>
      </c>
      <c r="B869" s="951"/>
      <c r="C869" s="951"/>
      <c r="D869" s="951"/>
      <c r="E869" s="952"/>
      <c r="F869" s="42" t="s">
        <v>391</v>
      </c>
      <c r="G869" s="191">
        <f ca="1">TODAY()</f>
        <v>46071</v>
      </c>
    </row>
    <row r="870" spans="1:7" s="7" customFormat="1" ht="13.5" thickBot="1">
      <c r="A870" s="953" t="str">
        <f>+'OFERTA ECONOMICA'!B46</f>
        <v>Suministro, transporte e instalación de piso en gres 30x30, incluye todo lo necesario para su correcta construcción.</v>
      </c>
      <c r="B870" s="954"/>
      <c r="C870" s="954"/>
      <c r="D870" s="954"/>
      <c r="E870" s="955"/>
      <c r="F870" s="44" t="s">
        <v>392</v>
      </c>
      <c r="G870" s="45" t="s">
        <v>15</v>
      </c>
    </row>
    <row r="871" spans="1:7" s="7" customFormat="1" ht="13.5" thickBot="1">
      <c r="A871" s="956"/>
      <c r="B871" s="957"/>
      <c r="C871" s="957"/>
      <c r="D871" s="957"/>
      <c r="E871" s="958"/>
      <c r="F871" s="44" t="s">
        <v>393</v>
      </c>
      <c r="G871" s="46">
        <v>1</v>
      </c>
    </row>
    <row r="872" spans="1:7" s="7" customFormat="1" ht="13.5" thickBot="1">
      <c r="A872" s="959"/>
      <c r="B872" s="960"/>
      <c r="C872" s="960"/>
      <c r="D872" s="960"/>
      <c r="E872" s="961"/>
      <c r="F872" s="47" t="s">
        <v>394</v>
      </c>
      <c r="G872" s="48" t="s">
        <v>90</v>
      </c>
    </row>
    <row r="873" spans="1:7" s="7" customFormat="1" ht="13.5" thickBot="1">
      <c r="A873" s="962" t="s">
        <v>1</v>
      </c>
      <c r="B873" s="963" t="s">
        <v>395</v>
      </c>
      <c r="C873" s="964"/>
      <c r="D873" s="964"/>
      <c r="E873" s="964"/>
      <c r="F873" s="964"/>
      <c r="G873" s="965"/>
    </row>
    <row r="874" spans="1:7" s="7" customFormat="1" ht="13.5" thickBot="1">
      <c r="A874" s="909"/>
      <c r="B874" s="913" t="s">
        <v>396</v>
      </c>
      <c r="C874" s="914"/>
      <c r="D874" s="95" t="s">
        <v>3</v>
      </c>
      <c r="E874" s="207" t="s">
        <v>398</v>
      </c>
      <c r="F874" s="95" t="s">
        <v>439</v>
      </c>
      <c r="G874" s="113" t="s">
        <v>399</v>
      </c>
    </row>
    <row r="875" spans="1:7" s="7" customFormat="1" ht="13.5" thickBot="1">
      <c r="A875" s="114"/>
      <c r="B875" s="966" t="s">
        <v>538</v>
      </c>
      <c r="C875" s="967"/>
      <c r="D875" s="88" t="s">
        <v>539</v>
      </c>
      <c r="E875" s="214">
        <f>+G895</f>
        <v>51200</v>
      </c>
      <c r="F875" s="89">
        <v>0.05</v>
      </c>
      <c r="G875" s="117">
        <f t="shared" ref="G875:G876" si="58">ROUND((E875*F875),0)</f>
        <v>2560</v>
      </c>
    </row>
    <row r="876" spans="1:7" s="7" customFormat="1" ht="12.75">
      <c r="A876" s="154"/>
      <c r="B876" s="968"/>
      <c r="C876" s="969"/>
      <c r="D876" s="171"/>
      <c r="E876" s="220"/>
      <c r="F876" s="93"/>
      <c r="G876" s="149">
        <f t="shared" si="58"/>
        <v>0</v>
      </c>
    </row>
    <row r="877" spans="1:7" s="7" customFormat="1" ht="13.5" thickBot="1">
      <c r="A877" s="970"/>
      <c r="B877" s="971"/>
      <c r="C877" s="972"/>
      <c r="D877" s="973" t="s">
        <v>403</v>
      </c>
      <c r="E877" s="974"/>
      <c r="F877" s="975"/>
      <c r="G877" s="11">
        <f>SUM(G875:G876)</f>
        <v>2560</v>
      </c>
    </row>
    <row r="878" spans="1:7" s="7" customFormat="1" ht="13.5" thickBot="1">
      <c r="A878" s="908" t="s">
        <v>1</v>
      </c>
      <c r="B878" s="910" t="s">
        <v>404</v>
      </c>
      <c r="C878" s="911"/>
      <c r="D878" s="911"/>
      <c r="E878" s="911"/>
      <c r="F878" s="911"/>
      <c r="G878" s="912"/>
    </row>
    <row r="879" spans="1:7" s="7" customFormat="1" ht="13.5" thickBot="1">
      <c r="A879" s="909"/>
      <c r="B879" s="913" t="s">
        <v>396</v>
      </c>
      <c r="C879" s="914"/>
      <c r="D879" s="95" t="s">
        <v>3</v>
      </c>
      <c r="E879" s="207" t="s">
        <v>398</v>
      </c>
      <c r="F879" s="95" t="s">
        <v>397</v>
      </c>
      <c r="G879" s="113" t="s">
        <v>399</v>
      </c>
    </row>
    <row r="880" spans="1:7" s="7" customFormat="1" ht="13.5" thickBot="1">
      <c r="A880" s="178"/>
      <c r="B880" s="926" t="s">
        <v>546</v>
      </c>
      <c r="C880" s="927"/>
      <c r="D880" s="88" t="s">
        <v>15</v>
      </c>
      <c r="E880" s="221">
        <v>86930.84176059367</v>
      </c>
      <c r="F880" s="180">
        <v>1.05</v>
      </c>
      <c r="G880" s="181">
        <f t="shared" ref="G880" si="59">ROUND(E880*F880,)</f>
        <v>91277</v>
      </c>
    </row>
    <row r="881" spans="1:7" s="7" customFormat="1" ht="13.5" thickBot="1">
      <c r="A881" s="122"/>
      <c r="B881" s="928" t="s">
        <v>529</v>
      </c>
      <c r="C881" s="929"/>
      <c r="D881" s="92" t="s">
        <v>28</v>
      </c>
      <c r="E881" s="251">
        <v>482316</v>
      </c>
      <c r="F881" s="287">
        <v>0.03</v>
      </c>
      <c r="G881" s="149">
        <f t="shared" ref="G881:G882" si="60">ROUND((E881*F881),0)</f>
        <v>14469</v>
      </c>
    </row>
    <row r="882" spans="1:7" s="7" customFormat="1" ht="13.5" thickBot="1">
      <c r="A882" s="155"/>
      <c r="B882" s="930"/>
      <c r="C882" s="931"/>
      <c r="D882" s="88"/>
      <c r="E882" s="214"/>
      <c r="F882" s="89"/>
      <c r="G882" s="149">
        <f t="shared" si="60"/>
        <v>0</v>
      </c>
    </row>
    <row r="883" spans="1:7" s="7" customFormat="1" ht="13.5" thickBot="1">
      <c r="A883" s="932"/>
      <c r="B883" s="933"/>
      <c r="C883" s="934"/>
      <c r="D883" s="935" t="s">
        <v>415</v>
      </c>
      <c r="E883" s="936"/>
      <c r="F883" s="937"/>
      <c r="G883" s="18">
        <f>SUM(G880:G882)</f>
        <v>105746</v>
      </c>
    </row>
    <row r="884" spans="1:7" s="7" customFormat="1" ht="13.5" thickBot="1">
      <c r="A884" s="908" t="s">
        <v>1</v>
      </c>
      <c r="B884" s="910" t="s">
        <v>416</v>
      </c>
      <c r="C884" s="911"/>
      <c r="D884" s="911"/>
      <c r="E884" s="911"/>
      <c r="F884" s="911"/>
      <c r="G884" s="912"/>
    </row>
    <row r="885" spans="1:7" s="7" customFormat="1" ht="13.5" thickBot="1">
      <c r="A885" s="909"/>
      <c r="B885" s="913" t="s">
        <v>396</v>
      </c>
      <c r="C885" s="914"/>
      <c r="D885" s="95" t="s">
        <v>3</v>
      </c>
      <c r="E885" s="207" t="s">
        <v>398</v>
      </c>
      <c r="F885" s="95" t="s">
        <v>397</v>
      </c>
      <c r="G885" s="113" t="s">
        <v>399</v>
      </c>
    </row>
    <row r="886" spans="1:7" s="7" customFormat="1" ht="13.5" thickBot="1">
      <c r="A886" s="127"/>
      <c r="B886" s="938" t="s">
        <v>436</v>
      </c>
      <c r="C886" s="939"/>
      <c r="D886" s="104" t="s">
        <v>28</v>
      </c>
      <c r="E886" s="212">
        <v>22500</v>
      </c>
      <c r="F886" s="89">
        <v>0.3</v>
      </c>
      <c r="G886" s="159">
        <f>ROUND(F886*E886,)</f>
        <v>6750</v>
      </c>
    </row>
    <row r="887" spans="1:7" s="7" customFormat="1" ht="12.75">
      <c r="A887" s="156"/>
      <c r="B887" s="940" t="s">
        <v>402</v>
      </c>
      <c r="C887" s="941"/>
      <c r="D887" s="157" t="s">
        <v>402</v>
      </c>
      <c r="E887" s="219"/>
      <c r="F887" s="158"/>
      <c r="G887" s="159">
        <f>ROUND(F887*E887,)</f>
        <v>0</v>
      </c>
    </row>
    <row r="888" spans="1:7" s="7" customFormat="1" ht="13.5" thickBot="1">
      <c r="A888" s="130"/>
      <c r="B888" s="942" t="s">
        <v>402</v>
      </c>
      <c r="C888" s="943"/>
      <c r="D888" s="104" t="s">
        <v>402</v>
      </c>
      <c r="E888" s="212"/>
      <c r="F888" s="105"/>
      <c r="G888" s="131">
        <f>ROUND(F888*E888,)</f>
        <v>0</v>
      </c>
    </row>
    <row r="889" spans="1:7" s="7" customFormat="1" ht="13.5" thickBot="1">
      <c r="A889" s="944"/>
      <c r="B889" s="945"/>
      <c r="C889" s="946"/>
      <c r="D889" s="947" t="s">
        <v>418</v>
      </c>
      <c r="E889" s="948"/>
      <c r="F889" s="949"/>
      <c r="G889" s="11">
        <f>SUM(G886:G888)</f>
        <v>6750</v>
      </c>
    </row>
    <row r="890" spans="1:7" s="7" customFormat="1" ht="13.5" thickBot="1">
      <c r="A890" s="908" t="s">
        <v>1</v>
      </c>
      <c r="B890" s="910" t="s">
        <v>419</v>
      </c>
      <c r="C890" s="911"/>
      <c r="D890" s="911"/>
      <c r="E890" s="911"/>
      <c r="F890" s="911"/>
      <c r="G890" s="912"/>
    </row>
    <row r="891" spans="1:7" s="7" customFormat="1" ht="13.5" thickBot="1">
      <c r="A891" s="909"/>
      <c r="B891" s="913" t="s">
        <v>396</v>
      </c>
      <c r="C891" s="914"/>
      <c r="D891" s="95" t="s">
        <v>3</v>
      </c>
      <c r="E891" s="207" t="s">
        <v>398</v>
      </c>
      <c r="F891" s="95" t="s">
        <v>397</v>
      </c>
      <c r="G891" s="113" t="s">
        <v>399</v>
      </c>
    </row>
    <row r="892" spans="1:7" s="7" customFormat="1" ht="12.75">
      <c r="A892" s="122"/>
      <c r="B892" s="160" t="s">
        <v>466</v>
      </c>
      <c r="C892" s="161"/>
      <c r="D892" s="109" t="s">
        <v>422</v>
      </c>
      <c r="E892" s="82">
        <f>_xlfn.IFNA(VLOOKUP(B892,'sub M. DE OBRA'!$B$4:$E$19997,4,FALSE),0)</f>
        <v>290909.73333333334</v>
      </c>
      <c r="F892" s="110">
        <v>0.17599999999999999</v>
      </c>
      <c r="G892" s="129">
        <f>ROUND(F892*E892,)</f>
        <v>51200</v>
      </c>
    </row>
    <row r="893" spans="1:7" s="7" customFormat="1" ht="12.75">
      <c r="A893" s="155"/>
      <c r="B893" s="184"/>
      <c r="C893" s="185"/>
      <c r="D893" s="92"/>
      <c r="E893" s="215"/>
      <c r="F893" s="101"/>
      <c r="G893" s="164">
        <f>ROUND(E893*F893*C893,0)</f>
        <v>0</v>
      </c>
    </row>
    <row r="894" spans="1:7" s="7" customFormat="1" ht="13.5" thickBot="1">
      <c r="A894" s="165"/>
      <c r="B894" s="166"/>
      <c r="C894" s="167"/>
      <c r="D894" s="168"/>
      <c r="E894" s="222"/>
      <c r="F894" s="169"/>
      <c r="G894" s="170">
        <f>ROUND(E894*F894*C894,0)</f>
        <v>0</v>
      </c>
    </row>
    <row r="895" spans="1:7" s="7" customFormat="1" ht="13.5" thickBot="1">
      <c r="A895" s="915" t="s">
        <v>424</v>
      </c>
      <c r="B895" s="916"/>
      <c r="C895" s="917"/>
      <c r="D895" s="918" t="s">
        <v>425</v>
      </c>
      <c r="E895" s="919"/>
      <c r="F895" s="920"/>
      <c r="G895" s="12">
        <f>SUM(G892:G894)</f>
        <v>51200</v>
      </c>
    </row>
    <row r="896" spans="1:7" s="7" customFormat="1" ht="13.5" thickBot="1">
      <c r="A896" s="921"/>
      <c r="B896" s="922"/>
      <c r="C896" s="922"/>
      <c r="D896" s="923" t="s">
        <v>426</v>
      </c>
      <c r="E896" s="924"/>
      <c r="F896" s="925"/>
      <c r="G896" s="153">
        <f>+G877+G883+G889+G895</f>
        <v>166256</v>
      </c>
    </row>
    <row r="897" spans="1:7" s="7" customFormat="1" ht="13.5" thickBot="1"/>
    <row r="898" spans="1:7" s="7" customFormat="1" ht="13.5" thickBot="1">
      <c r="A898" s="950" t="s">
        <v>390</v>
      </c>
      <c r="B898" s="951"/>
      <c r="C898" s="951"/>
      <c r="D898" s="951"/>
      <c r="E898" s="952"/>
      <c r="F898" s="42" t="s">
        <v>391</v>
      </c>
      <c r="G898" s="191">
        <f ca="1">TODAY()</f>
        <v>46071</v>
      </c>
    </row>
    <row r="899" spans="1:7" s="7" customFormat="1" ht="13.5" thickBot="1">
      <c r="A899" s="953" t="str">
        <f>+'OFERTA ECONOMICA'!B48</f>
        <v>Suministro e instalación de caja 20x20 con tomacorriente doble en tuberías EMT 1", incluyendo todos los elementos y accesorios necesarios para garantizar una instalación segura y funcional.</v>
      </c>
      <c r="B899" s="954"/>
      <c r="C899" s="954"/>
      <c r="D899" s="954"/>
      <c r="E899" s="955"/>
      <c r="F899" s="44" t="s">
        <v>392</v>
      </c>
      <c r="G899" s="45" t="str">
        <f>+'OFERTA ECONOMICA'!C48</f>
        <v>un</v>
      </c>
    </row>
    <row r="900" spans="1:7" s="7" customFormat="1" ht="13.5" thickBot="1">
      <c r="A900" s="956"/>
      <c r="B900" s="957"/>
      <c r="C900" s="957"/>
      <c r="D900" s="957"/>
      <c r="E900" s="958"/>
      <c r="F900" s="44" t="s">
        <v>393</v>
      </c>
      <c r="G900" s="46">
        <f>+'OFERTA ECONOMICA'!D48</f>
        <v>10</v>
      </c>
    </row>
    <row r="901" spans="1:7" s="7" customFormat="1" ht="13.5" thickBot="1">
      <c r="A901" s="959"/>
      <c r="B901" s="960"/>
      <c r="C901" s="960"/>
      <c r="D901" s="960"/>
      <c r="E901" s="961"/>
      <c r="F901" s="47" t="s">
        <v>394</v>
      </c>
      <c r="G901" s="48" t="str">
        <f>+'OFERTA ECONOMICA'!A48</f>
        <v>1.10.1</v>
      </c>
    </row>
    <row r="902" spans="1:7" s="7" customFormat="1" ht="13.5" thickBot="1">
      <c r="A902" s="962" t="s">
        <v>1</v>
      </c>
      <c r="B902" s="963" t="s">
        <v>395</v>
      </c>
      <c r="C902" s="964"/>
      <c r="D902" s="964"/>
      <c r="E902" s="964"/>
      <c r="F902" s="964"/>
      <c r="G902" s="965"/>
    </row>
    <row r="903" spans="1:7" s="7" customFormat="1" ht="13.5" thickBot="1">
      <c r="A903" s="909"/>
      <c r="B903" s="913" t="s">
        <v>396</v>
      </c>
      <c r="C903" s="914"/>
      <c r="D903" s="95" t="s">
        <v>3</v>
      </c>
      <c r="E903" s="207" t="s">
        <v>398</v>
      </c>
      <c r="F903" s="95" t="s">
        <v>439</v>
      </c>
      <c r="G903" s="113" t="s">
        <v>399</v>
      </c>
    </row>
    <row r="904" spans="1:7" s="7" customFormat="1" ht="13.5" thickBot="1">
      <c r="A904" s="114"/>
      <c r="B904" s="966" t="s">
        <v>538</v>
      </c>
      <c r="C904" s="967"/>
      <c r="D904" s="88" t="s">
        <v>539</v>
      </c>
      <c r="E904" s="214">
        <f>+G935</f>
        <v>51200</v>
      </c>
      <c r="F904" s="89">
        <v>0.05</v>
      </c>
      <c r="G904" s="117">
        <f t="shared" ref="G904:G905" si="61">ROUND((E904*F904),0)</f>
        <v>2560</v>
      </c>
    </row>
    <row r="905" spans="1:7" s="7" customFormat="1" ht="12.75">
      <c r="A905" s="154"/>
      <c r="B905" s="968"/>
      <c r="C905" s="969"/>
      <c r="D905" s="171"/>
      <c r="E905" s="220"/>
      <c r="F905" s="93"/>
      <c r="G905" s="149">
        <f t="shared" si="61"/>
        <v>0</v>
      </c>
    </row>
    <row r="906" spans="1:7" s="7" customFormat="1" ht="13.5" thickBot="1">
      <c r="A906" s="970"/>
      <c r="B906" s="971"/>
      <c r="C906" s="972"/>
      <c r="D906" s="973" t="s">
        <v>403</v>
      </c>
      <c r="E906" s="974"/>
      <c r="F906" s="975"/>
      <c r="G906" s="11">
        <f>SUM(G904:G905)</f>
        <v>2560</v>
      </c>
    </row>
    <row r="907" spans="1:7" s="7" customFormat="1" ht="13.5" thickBot="1">
      <c r="A907" s="908" t="s">
        <v>1</v>
      </c>
      <c r="B907" s="910" t="s">
        <v>404</v>
      </c>
      <c r="C907" s="911"/>
      <c r="D907" s="911"/>
      <c r="E907" s="911"/>
      <c r="F907" s="911"/>
      <c r="G907" s="912"/>
    </row>
    <row r="908" spans="1:7" s="7" customFormat="1" ht="13.5" thickBot="1">
      <c r="A908" s="909"/>
      <c r="B908" s="913" t="s">
        <v>396</v>
      </c>
      <c r="C908" s="914"/>
      <c r="D908" s="95" t="s">
        <v>3</v>
      </c>
      <c r="E908" s="207" t="s">
        <v>398</v>
      </c>
      <c r="F908" s="95" t="s">
        <v>397</v>
      </c>
      <c r="G908" s="113" t="s">
        <v>399</v>
      </c>
    </row>
    <row r="909" spans="1:7" s="7" customFormat="1" ht="13.5" thickBot="1">
      <c r="A909" s="178"/>
      <c r="B909" s="926" t="s">
        <v>547</v>
      </c>
      <c r="C909" s="927"/>
      <c r="D909" s="88" t="s">
        <v>496</v>
      </c>
      <c r="E909" s="221">
        <f>+(190465/5)*1.19*1.05</f>
        <v>47597.203500000003</v>
      </c>
      <c r="F909" s="180">
        <v>1</v>
      </c>
      <c r="G909" s="181">
        <f t="shared" ref="G909:G920" si="62">ROUND(E909*F909,)</f>
        <v>47597</v>
      </c>
    </row>
    <row r="910" spans="1:7" s="7" customFormat="1" ht="13.5" thickBot="1">
      <c r="A910" s="178"/>
      <c r="B910" s="926" t="s">
        <v>548</v>
      </c>
      <c r="C910" s="927"/>
      <c r="D910" s="88" t="s">
        <v>496</v>
      </c>
      <c r="E910" s="221">
        <f>+(308376/18)*1.19</f>
        <v>20387.079999999998</v>
      </c>
      <c r="F910" s="180">
        <v>3</v>
      </c>
      <c r="G910" s="181">
        <f t="shared" si="62"/>
        <v>61161</v>
      </c>
    </row>
    <row r="911" spans="1:7" s="7" customFormat="1" ht="13.5" thickBot="1">
      <c r="A911" s="178"/>
      <c r="B911" s="926" t="s">
        <v>549</v>
      </c>
      <c r="C911" s="927"/>
      <c r="D911" s="88" t="s">
        <v>496</v>
      </c>
      <c r="E911" s="221">
        <f>+(15295/5)*1.19</f>
        <v>3640.21</v>
      </c>
      <c r="F911" s="180">
        <v>0.5</v>
      </c>
      <c r="G911" s="181">
        <f t="shared" si="62"/>
        <v>1820</v>
      </c>
    </row>
    <row r="912" spans="1:7" s="7" customFormat="1" ht="13.5" thickBot="1">
      <c r="A912" s="178"/>
      <c r="B912" s="926" t="s">
        <v>550</v>
      </c>
      <c r="C912" s="927"/>
      <c r="D912" s="88" t="s">
        <v>496</v>
      </c>
      <c r="E912" s="221">
        <f>+(10885/5)*1.19</f>
        <v>2590.63</v>
      </c>
      <c r="F912" s="180">
        <v>0.11</v>
      </c>
      <c r="G912" s="181">
        <f t="shared" si="62"/>
        <v>285</v>
      </c>
    </row>
    <row r="913" spans="1:7" s="7" customFormat="1" ht="13.5" thickBot="1">
      <c r="A913" s="178"/>
      <c r="B913" s="926" t="s">
        <v>551</v>
      </c>
      <c r="C913" s="927"/>
      <c r="D913" s="88" t="s">
        <v>496</v>
      </c>
      <c r="E913" s="221">
        <f>+(11080/5)*1.19</f>
        <v>2637.04</v>
      </c>
      <c r="F913" s="180">
        <v>1</v>
      </c>
      <c r="G913" s="181">
        <f t="shared" si="62"/>
        <v>2637</v>
      </c>
    </row>
    <row r="914" spans="1:7" s="7" customFormat="1" ht="13.5" thickBot="1">
      <c r="A914" s="178"/>
      <c r="B914" s="926" t="s">
        <v>552</v>
      </c>
      <c r="C914" s="927"/>
      <c r="D914" s="88" t="s">
        <v>496</v>
      </c>
      <c r="E914" s="221">
        <f>+(190465/5)*1.19</f>
        <v>45330.67</v>
      </c>
      <c r="F914" s="180">
        <v>1</v>
      </c>
      <c r="G914" s="181">
        <f t="shared" si="62"/>
        <v>45331</v>
      </c>
    </row>
    <row r="915" spans="1:7" s="7" customFormat="1" ht="13.5" thickBot="1">
      <c r="A915" s="178"/>
      <c r="B915" s="926" t="s">
        <v>553</v>
      </c>
      <c r="C915" s="927"/>
      <c r="D915" s="88" t="s">
        <v>496</v>
      </c>
      <c r="E915" s="221">
        <f>+(11080/5)*1.19</f>
        <v>2637.04</v>
      </c>
      <c r="F915" s="180">
        <v>3</v>
      </c>
      <c r="G915" s="181">
        <f t="shared" si="62"/>
        <v>7911</v>
      </c>
    </row>
    <row r="916" spans="1:7" s="7" customFormat="1" ht="13.5" thickBot="1">
      <c r="A916" s="178"/>
      <c r="B916" s="926" t="s">
        <v>554</v>
      </c>
      <c r="C916" s="927"/>
      <c r="D916" s="88" t="s">
        <v>70</v>
      </c>
      <c r="E916" s="221">
        <f>+(3068416/208)*1.19</f>
        <v>17554.88</v>
      </c>
      <c r="F916" s="180">
        <v>4</v>
      </c>
      <c r="G916" s="181">
        <f t="shared" si="62"/>
        <v>70220</v>
      </c>
    </row>
    <row r="917" spans="1:7" s="7" customFormat="1" ht="13.5" thickBot="1">
      <c r="A917" s="178"/>
      <c r="B917" s="926" t="s">
        <v>555</v>
      </c>
      <c r="C917" s="927"/>
      <c r="D917" s="88" t="s">
        <v>12</v>
      </c>
      <c r="E917" s="221">
        <f>+(776160/72)*1.19</f>
        <v>12828.199999999999</v>
      </c>
      <c r="F917" s="180">
        <v>4</v>
      </c>
      <c r="G917" s="181">
        <f t="shared" si="62"/>
        <v>51313</v>
      </c>
    </row>
    <row r="918" spans="1:7" s="7" customFormat="1" ht="13.5" thickBot="1">
      <c r="A918" s="178"/>
      <c r="B918" s="926" t="s">
        <v>556</v>
      </c>
      <c r="C918" s="927"/>
      <c r="D918" s="88" t="s">
        <v>496</v>
      </c>
      <c r="E918" s="221">
        <f>+(7632/18)*1.19</f>
        <v>504.56</v>
      </c>
      <c r="F918" s="180">
        <v>1.5</v>
      </c>
      <c r="G918" s="181">
        <f t="shared" si="62"/>
        <v>757</v>
      </c>
    </row>
    <row r="919" spans="1:7" s="7" customFormat="1" ht="13.5" thickBot="1">
      <c r="A919" s="178"/>
      <c r="B919" s="926"/>
      <c r="C919" s="927"/>
      <c r="D919" s="88"/>
      <c r="E919" s="221"/>
      <c r="F919" s="180"/>
      <c r="G919" s="181">
        <f t="shared" si="62"/>
        <v>0</v>
      </c>
    </row>
    <row r="920" spans="1:7" s="7" customFormat="1" ht="13.5" thickBot="1">
      <c r="A920" s="178"/>
      <c r="B920" s="926"/>
      <c r="C920" s="927"/>
      <c r="D920" s="88"/>
      <c r="E920" s="221"/>
      <c r="F920" s="180"/>
      <c r="G920" s="181">
        <f t="shared" si="62"/>
        <v>0</v>
      </c>
    </row>
    <row r="921" spans="1:7" s="7" customFormat="1" ht="13.5" thickBot="1">
      <c r="A921" s="122"/>
      <c r="B921" s="928"/>
      <c r="C921" s="929"/>
      <c r="D921" s="92"/>
      <c r="E921" s="251"/>
      <c r="F921" s="287"/>
      <c r="G921" s="149">
        <f t="shared" ref="G921:G922" si="63">ROUND((E921*F921),0)</f>
        <v>0</v>
      </c>
    </row>
    <row r="922" spans="1:7" s="7" customFormat="1" ht="13.5" thickBot="1">
      <c r="A922" s="155"/>
      <c r="B922" s="930"/>
      <c r="C922" s="931"/>
      <c r="D922" s="88"/>
      <c r="E922" s="214"/>
      <c r="F922" s="89"/>
      <c r="G922" s="149">
        <f t="shared" si="63"/>
        <v>0</v>
      </c>
    </row>
    <row r="923" spans="1:7" s="7" customFormat="1" ht="13.5" thickBot="1">
      <c r="A923" s="932"/>
      <c r="B923" s="933"/>
      <c r="C923" s="934"/>
      <c r="D923" s="935" t="s">
        <v>415</v>
      </c>
      <c r="E923" s="936"/>
      <c r="F923" s="937"/>
      <c r="G923" s="18">
        <f>SUM(G909:G922)</f>
        <v>289032</v>
      </c>
    </row>
    <row r="924" spans="1:7" s="7" customFormat="1" ht="13.5" thickBot="1">
      <c r="A924" s="908" t="s">
        <v>1</v>
      </c>
      <c r="B924" s="910" t="s">
        <v>416</v>
      </c>
      <c r="C924" s="911"/>
      <c r="D924" s="911"/>
      <c r="E924" s="911"/>
      <c r="F924" s="911"/>
      <c r="G924" s="912"/>
    </row>
    <row r="925" spans="1:7" s="7" customFormat="1" ht="13.5" thickBot="1">
      <c r="A925" s="909"/>
      <c r="B925" s="913" t="s">
        <v>396</v>
      </c>
      <c r="C925" s="914"/>
      <c r="D925" s="95" t="s">
        <v>3</v>
      </c>
      <c r="E925" s="207" t="s">
        <v>398</v>
      </c>
      <c r="F925" s="95" t="s">
        <v>397</v>
      </c>
      <c r="G925" s="113" t="s">
        <v>399</v>
      </c>
    </row>
    <row r="926" spans="1:7" s="7" customFormat="1" ht="13.5" thickBot="1">
      <c r="A926" s="127"/>
      <c r="B926" s="938" t="s">
        <v>436</v>
      </c>
      <c r="C926" s="939"/>
      <c r="D926" s="104" t="s">
        <v>28</v>
      </c>
      <c r="E926" s="212">
        <v>22500</v>
      </c>
      <c r="F926" s="89">
        <v>0.3</v>
      </c>
      <c r="G926" s="159">
        <f>ROUND(F926*E926,)</f>
        <v>6750</v>
      </c>
    </row>
    <row r="927" spans="1:7" s="7" customFormat="1" ht="12.75">
      <c r="A927" s="156"/>
      <c r="B927" s="940" t="s">
        <v>402</v>
      </c>
      <c r="C927" s="941"/>
      <c r="D927" s="157" t="s">
        <v>402</v>
      </c>
      <c r="E927" s="219"/>
      <c r="F927" s="158"/>
      <c r="G927" s="159">
        <f>ROUND(F927*E927,)</f>
        <v>0</v>
      </c>
    </row>
    <row r="928" spans="1:7" s="7" customFormat="1" ht="13.5" thickBot="1">
      <c r="A928" s="130"/>
      <c r="B928" s="942" t="s">
        <v>402</v>
      </c>
      <c r="C928" s="943"/>
      <c r="D928" s="104" t="s">
        <v>402</v>
      </c>
      <c r="E928" s="212"/>
      <c r="F928" s="105"/>
      <c r="G928" s="131">
        <f>ROUND(F928*E928,)</f>
        <v>0</v>
      </c>
    </row>
    <row r="929" spans="1:7" s="7" customFormat="1" ht="13.5" thickBot="1">
      <c r="A929" s="944"/>
      <c r="B929" s="945"/>
      <c r="C929" s="946"/>
      <c r="D929" s="947" t="s">
        <v>418</v>
      </c>
      <c r="E929" s="948"/>
      <c r="F929" s="949"/>
      <c r="G929" s="11">
        <f>SUM(G926:G928)</f>
        <v>6750</v>
      </c>
    </row>
    <row r="930" spans="1:7" s="7" customFormat="1" ht="13.5" thickBot="1">
      <c r="A930" s="908" t="s">
        <v>1</v>
      </c>
      <c r="B930" s="910" t="s">
        <v>419</v>
      </c>
      <c r="C930" s="911"/>
      <c r="D930" s="911"/>
      <c r="E930" s="911"/>
      <c r="F930" s="911"/>
      <c r="G930" s="912"/>
    </row>
    <row r="931" spans="1:7" s="7" customFormat="1" ht="13.5" thickBot="1">
      <c r="A931" s="909"/>
      <c r="B931" s="913" t="s">
        <v>396</v>
      </c>
      <c r="C931" s="914"/>
      <c r="D931" s="95" t="s">
        <v>3</v>
      </c>
      <c r="E931" s="207" t="s">
        <v>398</v>
      </c>
      <c r="F931" s="95" t="s">
        <v>397</v>
      </c>
      <c r="G931" s="113" t="s">
        <v>399</v>
      </c>
    </row>
    <row r="932" spans="1:7" s="7" customFormat="1" ht="12.75">
      <c r="A932" s="122"/>
      <c r="B932" s="160" t="s">
        <v>557</v>
      </c>
      <c r="C932" s="161"/>
      <c r="D932" s="109" t="s">
        <v>422</v>
      </c>
      <c r="E932" s="82">
        <f>_xlfn.IFNA(VLOOKUP(B932,'sub M. DE OBRA'!$B$4:$E$19997,4,FALSE),0)</f>
        <v>290909.73333333334</v>
      </c>
      <c r="F932" s="110">
        <v>0.17599999999999999</v>
      </c>
      <c r="G932" s="129">
        <f>ROUND(F932*E932,)</f>
        <v>51200</v>
      </c>
    </row>
    <row r="933" spans="1:7" s="7" customFormat="1" ht="12.75">
      <c r="A933" s="155"/>
      <c r="B933" s="184"/>
      <c r="C933" s="185"/>
      <c r="D933" s="92"/>
      <c r="E933" s="215"/>
      <c r="F933" s="101"/>
      <c r="G933" s="164">
        <f>ROUND(E933*F933*C933,0)</f>
        <v>0</v>
      </c>
    </row>
    <row r="934" spans="1:7" s="7" customFormat="1" ht="13.5" thickBot="1">
      <c r="A934" s="165"/>
      <c r="B934" s="166"/>
      <c r="C934" s="167"/>
      <c r="D934" s="168"/>
      <c r="E934" s="222"/>
      <c r="F934" s="169"/>
      <c r="G934" s="170">
        <f>ROUND(E934*F934*C934,0)</f>
        <v>0</v>
      </c>
    </row>
    <row r="935" spans="1:7" s="7" customFormat="1" ht="13.5" thickBot="1">
      <c r="A935" s="915" t="s">
        <v>424</v>
      </c>
      <c r="B935" s="916"/>
      <c r="C935" s="917"/>
      <c r="D935" s="918" t="s">
        <v>425</v>
      </c>
      <c r="E935" s="919"/>
      <c r="F935" s="920"/>
      <c r="G935" s="12">
        <f>SUM(G932:G934)</f>
        <v>51200</v>
      </c>
    </row>
    <row r="936" spans="1:7" s="7" customFormat="1" ht="13.5" thickBot="1">
      <c r="A936" s="921"/>
      <c r="B936" s="922"/>
      <c r="C936" s="922"/>
      <c r="D936" s="923" t="s">
        <v>426</v>
      </c>
      <c r="E936" s="924"/>
      <c r="F936" s="925"/>
      <c r="G936" s="153">
        <f>+G906+G923+G929+G935</f>
        <v>349542</v>
      </c>
    </row>
    <row r="937" spans="1:7" s="7" customFormat="1" ht="13.5" thickBot="1"/>
    <row r="938" spans="1:7" s="7" customFormat="1" ht="13.5" thickBot="1">
      <c r="A938" s="950" t="s">
        <v>390</v>
      </c>
      <c r="B938" s="951"/>
      <c r="C938" s="951"/>
      <c r="D938" s="951"/>
      <c r="E938" s="952"/>
      <c r="F938" s="42" t="s">
        <v>391</v>
      </c>
      <c r="G938" s="191">
        <f ca="1">TODAY()</f>
        <v>46071</v>
      </c>
    </row>
    <row r="939" spans="1:7" s="7" customFormat="1" ht="13.5" thickBot="1">
      <c r="A939" s="953" t="str">
        <f>+'OFERTA ECONOMICA'!B49</f>
        <v>Suministro e instalación de caja 20x20 con tomacorriente doble en tuberías EMT 1 1⁄2", incluyendo todos los elementos y accesorios necesarios para garantizar una instalación segura y funcional.</v>
      </c>
      <c r="B939" s="954"/>
      <c r="C939" s="954"/>
      <c r="D939" s="954"/>
      <c r="E939" s="955"/>
      <c r="F939" s="44" t="s">
        <v>392</v>
      </c>
      <c r="G939" s="45" t="str">
        <f>+'OFERTA ECONOMICA'!C49</f>
        <v>un</v>
      </c>
    </row>
    <row r="940" spans="1:7" s="7" customFormat="1" ht="13.5" thickBot="1">
      <c r="A940" s="956"/>
      <c r="B940" s="957"/>
      <c r="C940" s="957"/>
      <c r="D940" s="957"/>
      <c r="E940" s="958"/>
      <c r="F940" s="44" t="s">
        <v>393</v>
      </c>
      <c r="G940" s="46">
        <f>+'OFERTA ECONOMICA'!D49</f>
        <v>6</v>
      </c>
    </row>
    <row r="941" spans="1:7" s="7" customFormat="1" ht="13.5" thickBot="1">
      <c r="A941" s="959"/>
      <c r="B941" s="960"/>
      <c r="C941" s="960"/>
      <c r="D941" s="960"/>
      <c r="E941" s="961"/>
      <c r="F941" s="47" t="s">
        <v>394</v>
      </c>
      <c r="G941" s="48" t="str">
        <f>+'OFERTA ECONOMICA'!A49</f>
        <v>1.10.2</v>
      </c>
    </row>
    <row r="942" spans="1:7" s="7" customFormat="1" ht="13.5" thickBot="1">
      <c r="A942" s="962" t="s">
        <v>1</v>
      </c>
      <c r="B942" s="963" t="s">
        <v>395</v>
      </c>
      <c r="C942" s="964"/>
      <c r="D942" s="964"/>
      <c r="E942" s="964"/>
      <c r="F942" s="964"/>
      <c r="G942" s="965"/>
    </row>
    <row r="943" spans="1:7" s="7" customFormat="1" ht="13.5" thickBot="1">
      <c r="A943" s="909"/>
      <c r="B943" s="913" t="s">
        <v>396</v>
      </c>
      <c r="C943" s="914"/>
      <c r="D943" s="95" t="s">
        <v>3</v>
      </c>
      <c r="E943" s="207" t="s">
        <v>398</v>
      </c>
      <c r="F943" s="95" t="s">
        <v>439</v>
      </c>
      <c r="G943" s="113" t="s">
        <v>399</v>
      </c>
    </row>
    <row r="944" spans="1:7" s="7" customFormat="1" ht="13.5" thickBot="1">
      <c r="A944" s="114"/>
      <c r="B944" s="966" t="s">
        <v>538</v>
      </c>
      <c r="C944" s="967"/>
      <c r="D944" s="88" t="s">
        <v>539</v>
      </c>
      <c r="E944" s="214">
        <f>+G973</f>
        <v>52364</v>
      </c>
      <c r="F944" s="89">
        <v>0.05</v>
      </c>
      <c r="G944" s="117">
        <f t="shared" ref="G944:G945" si="64">ROUND((E944*F944),0)</f>
        <v>2618</v>
      </c>
    </row>
    <row r="945" spans="1:7" s="7" customFormat="1" ht="12.75">
      <c r="A945" s="154"/>
      <c r="B945" s="968"/>
      <c r="C945" s="969"/>
      <c r="D945" s="171"/>
      <c r="E945" s="220"/>
      <c r="F945" s="93"/>
      <c r="G945" s="149">
        <f t="shared" si="64"/>
        <v>0</v>
      </c>
    </row>
    <row r="946" spans="1:7" s="7" customFormat="1" ht="13.5" thickBot="1">
      <c r="A946" s="970"/>
      <c r="B946" s="971"/>
      <c r="C946" s="972"/>
      <c r="D946" s="973" t="s">
        <v>403</v>
      </c>
      <c r="E946" s="974"/>
      <c r="F946" s="975"/>
      <c r="G946" s="11">
        <f>SUM(G944:G945)</f>
        <v>2618</v>
      </c>
    </row>
    <row r="947" spans="1:7" s="7" customFormat="1" ht="13.5" thickBot="1">
      <c r="A947" s="908" t="s">
        <v>1</v>
      </c>
      <c r="B947" s="910" t="s">
        <v>404</v>
      </c>
      <c r="C947" s="911"/>
      <c r="D947" s="911"/>
      <c r="E947" s="911"/>
      <c r="F947" s="911"/>
      <c r="G947" s="912"/>
    </row>
    <row r="948" spans="1:7" s="7" customFormat="1" ht="13.5" thickBot="1">
      <c r="A948" s="909"/>
      <c r="B948" s="913" t="s">
        <v>396</v>
      </c>
      <c r="C948" s="914"/>
      <c r="D948" s="95" t="s">
        <v>3</v>
      </c>
      <c r="E948" s="207" t="s">
        <v>398</v>
      </c>
      <c r="F948" s="95" t="s">
        <v>397</v>
      </c>
      <c r="G948" s="113" t="s">
        <v>399</v>
      </c>
    </row>
    <row r="949" spans="1:7" s="7" customFormat="1" ht="13.5" thickBot="1">
      <c r="A949" s="178"/>
      <c r="B949" s="926" t="s">
        <v>547</v>
      </c>
      <c r="C949" s="927"/>
      <c r="D949" s="88" t="s">
        <v>496</v>
      </c>
      <c r="E949" s="221">
        <f>+(190465/5)*1.19*1.05</f>
        <v>47597.203500000003</v>
      </c>
      <c r="F949" s="180">
        <v>1</v>
      </c>
      <c r="G949" s="181">
        <f t="shared" ref="G949:G958" si="65">ROUND(E949*F949,)</f>
        <v>47597</v>
      </c>
    </row>
    <row r="950" spans="1:7" s="7" customFormat="1" ht="13.5" thickBot="1">
      <c r="A950" s="178"/>
      <c r="B950" s="926" t="s">
        <v>558</v>
      </c>
      <c r="C950" s="927"/>
      <c r="D950" s="88" t="s">
        <v>496</v>
      </c>
      <c r="E950" s="221">
        <f>+(1593020/52)*1.19</f>
        <v>36455.65</v>
      </c>
      <c r="F950" s="180">
        <v>3</v>
      </c>
      <c r="G950" s="181">
        <f t="shared" si="65"/>
        <v>109367</v>
      </c>
    </row>
    <row r="951" spans="1:7" s="7" customFormat="1" ht="13.5" thickBot="1">
      <c r="A951" s="178"/>
      <c r="B951" s="926" t="s">
        <v>559</v>
      </c>
      <c r="C951" s="927"/>
      <c r="D951" s="88" t="s">
        <v>496</v>
      </c>
      <c r="E951" s="221">
        <f>+(51804/6)*1.19</f>
        <v>10274.459999999999</v>
      </c>
      <c r="F951" s="180">
        <v>0.5</v>
      </c>
      <c r="G951" s="181">
        <f t="shared" si="65"/>
        <v>5137</v>
      </c>
    </row>
    <row r="952" spans="1:7" s="7" customFormat="1" ht="13.5" thickBot="1">
      <c r="A952" s="178"/>
      <c r="B952" s="926" t="s">
        <v>560</v>
      </c>
      <c r="C952" s="927"/>
      <c r="D952" s="88" t="s">
        <v>496</v>
      </c>
      <c r="E952" s="221">
        <f>+(101560/6)*1.19</f>
        <v>20142.733333333334</v>
      </c>
      <c r="F952" s="180">
        <v>0.11</v>
      </c>
      <c r="G952" s="181">
        <f t="shared" si="65"/>
        <v>2216</v>
      </c>
    </row>
    <row r="953" spans="1:7" s="7" customFormat="1" ht="13.5" thickBot="1">
      <c r="A953" s="178"/>
      <c r="B953" s="926" t="s">
        <v>561</v>
      </c>
      <c r="C953" s="927"/>
      <c r="D953" s="88" t="s">
        <v>496</v>
      </c>
      <c r="E953" s="221">
        <f>+(54430/10)*1.19</f>
        <v>6477.17</v>
      </c>
      <c r="F953" s="180">
        <v>1</v>
      </c>
      <c r="G953" s="181">
        <f t="shared" si="65"/>
        <v>6477</v>
      </c>
    </row>
    <row r="954" spans="1:7" s="7" customFormat="1" ht="13.5" thickBot="1">
      <c r="A954" s="178"/>
      <c r="B954" s="926" t="s">
        <v>552</v>
      </c>
      <c r="C954" s="927"/>
      <c r="D954" s="88" t="s">
        <v>496</v>
      </c>
      <c r="E954" s="221">
        <f>+(190465/5)*1.19</f>
        <v>45330.67</v>
      </c>
      <c r="F954" s="180">
        <v>1</v>
      </c>
      <c r="G954" s="181">
        <f t="shared" si="65"/>
        <v>45331</v>
      </c>
    </row>
    <row r="955" spans="1:7" s="7" customFormat="1" ht="13.5" thickBot="1">
      <c r="A955" s="178"/>
      <c r="B955" s="926" t="s">
        <v>553</v>
      </c>
      <c r="C955" s="927"/>
      <c r="D955" s="88" t="s">
        <v>496</v>
      </c>
      <c r="E955" s="221">
        <f>+(11080/5)*1.19</f>
        <v>2637.04</v>
      </c>
      <c r="F955" s="180">
        <v>3</v>
      </c>
      <c r="G955" s="181">
        <f t="shared" si="65"/>
        <v>7911</v>
      </c>
    </row>
    <row r="956" spans="1:7" s="7" customFormat="1" ht="13.5" thickBot="1">
      <c r="A956" s="178"/>
      <c r="B956" s="926" t="s">
        <v>554</v>
      </c>
      <c r="C956" s="927"/>
      <c r="D956" s="88" t="s">
        <v>70</v>
      </c>
      <c r="E956" s="221">
        <f>+(3068416/208)*1.19</f>
        <v>17554.88</v>
      </c>
      <c r="F956" s="180">
        <v>4</v>
      </c>
      <c r="G956" s="181">
        <f t="shared" si="65"/>
        <v>70220</v>
      </c>
    </row>
    <row r="957" spans="1:7" s="7" customFormat="1" ht="13.5" thickBot="1">
      <c r="A957" s="178"/>
      <c r="B957" s="926" t="s">
        <v>555</v>
      </c>
      <c r="C957" s="927"/>
      <c r="D957" s="88" t="s">
        <v>12</v>
      </c>
      <c r="E957" s="221">
        <f>+(776160/72)*1.19</f>
        <v>12828.199999999999</v>
      </c>
      <c r="F957" s="180">
        <v>4</v>
      </c>
      <c r="G957" s="181">
        <f t="shared" si="65"/>
        <v>51313</v>
      </c>
    </row>
    <row r="958" spans="1:7" s="7" customFormat="1" ht="13.5" thickBot="1">
      <c r="A958" s="178"/>
      <c r="B958" s="926" t="s">
        <v>556</v>
      </c>
      <c r="C958" s="927"/>
      <c r="D958" s="88" t="s">
        <v>496</v>
      </c>
      <c r="E958" s="221">
        <f>+(7632/18)*1.19</f>
        <v>504.56</v>
      </c>
      <c r="F958" s="180">
        <v>1.5</v>
      </c>
      <c r="G958" s="181">
        <f t="shared" si="65"/>
        <v>757</v>
      </c>
    </row>
    <row r="959" spans="1:7" s="7" customFormat="1" ht="13.5" thickBot="1">
      <c r="A959" s="122"/>
      <c r="B959" s="928"/>
      <c r="C959" s="929"/>
      <c r="D959" s="92"/>
      <c r="E959" s="251"/>
      <c r="F959" s="287"/>
      <c r="G959" s="149">
        <f t="shared" ref="G959:G960" si="66">ROUND((E959*F959),0)</f>
        <v>0</v>
      </c>
    </row>
    <row r="960" spans="1:7" s="7" customFormat="1" ht="13.5" thickBot="1">
      <c r="A960" s="155"/>
      <c r="B960" s="930"/>
      <c r="C960" s="931"/>
      <c r="D960" s="88"/>
      <c r="E960" s="214"/>
      <c r="F960" s="89"/>
      <c r="G960" s="149">
        <f t="shared" si="66"/>
        <v>0</v>
      </c>
    </row>
    <row r="961" spans="1:7" s="7" customFormat="1" ht="13.5" thickBot="1">
      <c r="A961" s="932"/>
      <c r="B961" s="933"/>
      <c r="C961" s="934"/>
      <c r="D961" s="935" t="s">
        <v>415</v>
      </c>
      <c r="E961" s="936"/>
      <c r="F961" s="937"/>
      <c r="G961" s="18">
        <f>SUM(G949:G960)</f>
        <v>346326</v>
      </c>
    </row>
    <row r="962" spans="1:7" s="7" customFormat="1" ht="13.5" thickBot="1">
      <c r="A962" s="908" t="s">
        <v>1</v>
      </c>
      <c r="B962" s="910" t="s">
        <v>416</v>
      </c>
      <c r="C962" s="911"/>
      <c r="D962" s="911"/>
      <c r="E962" s="911"/>
      <c r="F962" s="911"/>
      <c r="G962" s="912"/>
    </row>
    <row r="963" spans="1:7" s="7" customFormat="1" ht="13.5" thickBot="1">
      <c r="A963" s="909"/>
      <c r="B963" s="913" t="s">
        <v>396</v>
      </c>
      <c r="C963" s="914"/>
      <c r="D963" s="95" t="s">
        <v>3</v>
      </c>
      <c r="E963" s="207" t="s">
        <v>398</v>
      </c>
      <c r="F963" s="95" t="s">
        <v>397</v>
      </c>
      <c r="G963" s="113" t="s">
        <v>399</v>
      </c>
    </row>
    <row r="964" spans="1:7" s="7" customFormat="1" ht="13.5" thickBot="1">
      <c r="A964" s="127"/>
      <c r="B964" s="938" t="s">
        <v>436</v>
      </c>
      <c r="C964" s="939"/>
      <c r="D964" s="104" t="s">
        <v>28</v>
      </c>
      <c r="E964" s="212">
        <v>22500</v>
      </c>
      <c r="F964" s="89">
        <v>0.3</v>
      </c>
      <c r="G964" s="159">
        <f>ROUND(F964*E964,)</f>
        <v>6750</v>
      </c>
    </row>
    <row r="965" spans="1:7" s="7" customFormat="1" ht="12.75">
      <c r="A965" s="156"/>
      <c r="B965" s="940" t="s">
        <v>402</v>
      </c>
      <c r="C965" s="941"/>
      <c r="D965" s="157" t="s">
        <v>402</v>
      </c>
      <c r="E965" s="219"/>
      <c r="F965" s="158"/>
      <c r="G965" s="159">
        <f>ROUND(F965*E965,)</f>
        <v>0</v>
      </c>
    </row>
    <row r="966" spans="1:7" s="7" customFormat="1" ht="13.5" thickBot="1">
      <c r="A966" s="130"/>
      <c r="B966" s="942" t="s">
        <v>402</v>
      </c>
      <c r="C966" s="943"/>
      <c r="D966" s="104" t="s">
        <v>402</v>
      </c>
      <c r="E966" s="212"/>
      <c r="F966" s="105"/>
      <c r="G966" s="131">
        <f>ROUND(F966*E966,)</f>
        <v>0</v>
      </c>
    </row>
    <row r="967" spans="1:7" s="7" customFormat="1" ht="13.5" thickBot="1">
      <c r="A967" s="944"/>
      <c r="B967" s="945"/>
      <c r="C967" s="946"/>
      <c r="D967" s="947" t="s">
        <v>418</v>
      </c>
      <c r="E967" s="948"/>
      <c r="F967" s="949"/>
      <c r="G967" s="11">
        <f>SUM(G964:G966)</f>
        <v>6750</v>
      </c>
    </row>
    <row r="968" spans="1:7" s="7" customFormat="1" ht="13.5" thickBot="1">
      <c r="A968" s="908" t="s">
        <v>1</v>
      </c>
      <c r="B968" s="910" t="s">
        <v>419</v>
      </c>
      <c r="C968" s="911"/>
      <c r="D968" s="911"/>
      <c r="E968" s="911"/>
      <c r="F968" s="911"/>
      <c r="G968" s="912"/>
    </row>
    <row r="969" spans="1:7" s="7" customFormat="1" ht="13.5" thickBot="1">
      <c r="A969" s="909"/>
      <c r="B969" s="913" t="s">
        <v>396</v>
      </c>
      <c r="C969" s="914"/>
      <c r="D969" s="95" t="s">
        <v>3</v>
      </c>
      <c r="E969" s="207" t="s">
        <v>398</v>
      </c>
      <c r="F969" s="95" t="s">
        <v>397</v>
      </c>
      <c r="G969" s="113" t="s">
        <v>399</v>
      </c>
    </row>
    <row r="970" spans="1:7" s="7" customFormat="1" ht="12.75">
      <c r="A970" s="122"/>
      <c r="B970" s="160" t="s">
        <v>557</v>
      </c>
      <c r="C970" s="161"/>
      <c r="D970" s="109" t="s">
        <v>422</v>
      </c>
      <c r="E970" s="82">
        <f>_xlfn.IFNA(VLOOKUP(B970,'sub M. DE OBRA'!$B$4:$E$19997,4,FALSE),0)</f>
        <v>290909.73333333334</v>
      </c>
      <c r="F970" s="110">
        <v>0.18</v>
      </c>
      <c r="G970" s="129">
        <f>ROUND(F970*E970,)</f>
        <v>52364</v>
      </c>
    </row>
    <row r="971" spans="1:7" s="7" customFormat="1" ht="12.75">
      <c r="A971" s="155"/>
      <c r="B971" s="184"/>
      <c r="C971" s="185"/>
      <c r="D971" s="92"/>
      <c r="E971" s="215"/>
      <c r="F971" s="101"/>
      <c r="G971" s="164">
        <f>ROUND(E971*F971*C971,0)</f>
        <v>0</v>
      </c>
    </row>
    <row r="972" spans="1:7" s="7" customFormat="1" ht="13.5" thickBot="1">
      <c r="A972" s="165"/>
      <c r="B972" s="166"/>
      <c r="C972" s="167"/>
      <c r="D972" s="168"/>
      <c r="E972" s="222"/>
      <c r="F972" s="169"/>
      <c r="G972" s="170">
        <f>ROUND(E972*F972*C972,0)</f>
        <v>0</v>
      </c>
    </row>
    <row r="973" spans="1:7" s="7" customFormat="1" ht="13.5" thickBot="1">
      <c r="A973" s="915" t="s">
        <v>424</v>
      </c>
      <c r="B973" s="916"/>
      <c r="C973" s="917"/>
      <c r="D973" s="918" t="s">
        <v>425</v>
      </c>
      <c r="E973" s="919"/>
      <c r="F973" s="920"/>
      <c r="G973" s="12">
        <f>SUM(G970:G972)</f>
        <v>52364</v>
      </c>
    </row>
    <row r="974" spans="1:7" s="7" customFormat="1" ht="13.5" thickBot="1">
      <c r="A974" s="921"/>
      <c r="B974" s="922"/>
      <c r="C974" s="922"/>
      <c r="D974" s="923" t="s">
        <v>426</v>
      </c>
      <c r="E974" s="924"/>
      <c r="F974" s="925"/>
      <c r="G974" s="153">
        <f>+G946+G961+G967+G973</f>
        <v>408058</v>
      </c>
    </row>
    <row r="975" spans="1:7" s="7" customFormat="1" ht="13.5" thickBot="1"/>
    <row r="976" spans="1:7" s="7" customFormat="1" ht="13.5" thickBot="1">
      <c r="A976" s="950" t="s">
        <v>390</v>
      </c>
      <c r="B976" s="951"/>
      <c r="C976" s="951"/>
      <c r="D976" s="951"/>
      <c r="E976" s="952"/>
      <c r="F976" s="42" t="s">
        <v>391</v>
      </c>
      <c r="G976" s="191">
        <f ca="1">TODAY()</f>
        <v>46071</v>
      </c>
    </row>
    <row r="977" spans="1:7" s="7" customFormat="1" ht="13.5" thickBot="1">
      <c r="A977" s="953" t="str">
        <f>+'OFERTA ECONOMICA'!B50</f>
        <v>Suministro e instalación de caja 20x20 con tomacorriente doble en tuberías IMC 1⁄2", incluyendo todos los elementos y accesorios necesarios para garantizar una instalación segura y funcional.</v>
      </c>
      <c r="B977" s="954"/>
      <c r="C977" s="954"/>
      <c r="D977" s="954"/>
      <c r="E977" s="955"/>
      <c r="F977" s="44" t="s">
        <v>392</v>
      </c>
      <c r="G977" s="45" t="str">
        <f>+'OFERTA ECONOMICA'!C50</f>
        <v>un</v>
      </c>
    </row>
    <row r="978" spans="1:7" s="7" customFormat="1" ht="13.5" thickBot="1">
      <c r="A978" s="956"/>
      <c r="B978" s="957"/>
      <c r="C978" s="957"/>
      <c r="D978" s="957"/>
      <c r="E978" s="958"/>
      <c r="F978" s="44" t="s">
        <v>393</v>
      </c>
      <c r="G978" s="46">
        <f>+'OFERTA ECONOMICA'!D50</f>
        <v>10</v>
      </c>
    </row>
    <row r="979" spans="1:7" s="7" customFormat="1" ht="13.5" thickBot="1">
      <c r="A979" s="959"/>
      <c r="B979" s="960"/>
      <c r="C979" s="960"/>
      <c r="D979" s="960"/>
      <c r="E979" s="961"/>
      <c r="F979" s="47" t="s">
        <v>394</v>
      </c>
      <c r="G979" s="48" t="str">
        <f>+'OFERTA ECONOMICA'!A50</f>
        <v>1.10.3</v>
      </c>
    </row>
    <row r="980" spans="1:7" s="7" customFormat="1" ht="13.5" thickBot="1">
      <c r="A980" s="962" t="s">
        <v>1</v>
      </c>
      <c r="B980" s="963" t="s">
        <v>395</v>
      </c>
      <c r="C980" s="964"/>
      <c r="D980" s="964"/>
      <c r="E980" s="964"/>
      <c r="F980" s="964"/>
      <c r="G980" s="965"/>
    </row>
    <row r="981" spans="1:7" s="7" customFormat="1" ht="13.5" thickBot="1">
      <c r="A981" s="909"/>
      <c r="B981" s="913" t="s">
        <v>396</v>
      </c>
      <c r="C981" s="914"/>
      <c r="D981" s="95" t="s">
        <v>3</v>
      </c>
      <c r="E981" s="207" t="s">
        <v>398</v>
      </c>
      <c r="F981" s="95" t="s">
        <v>439</v>
      </c>
      <c r="G981" s="113" t="s">
        <v>399</v>
      </c>
    </row>
    <row r="982" spans="1:7" s="7" customFormat="1" ht="13.5" thickBot="1">
      <c r="A982" s="114"/>
      <c r="B982" s="966" t="s">
        <v>538</v>
      </c>
      <c r="C982" s="967"/>
      <c r="D982" s="88" t="s">
        <v>539</v>
      </c>
      <c r="E982" s="214">
        <f>+G1011</f>
        <v>53236</v>
      </c>
      <c r="F982" s="89">
        <v>0.05</v>
      </c>
      <c r="G982" s="117">
        <f t="shared" ref="G982:G983" si="67">ROUND((E982*F982),0)</f>
        <v>2662</v>
      </c>
    </row>
    <row r="983" spans="1:7" s="7" customFormat="1" ht="12.75">
      <c r="A983" s="154"/>
      <c r="B983" s="968"/>
      <c r="C983" s="969"/>
      <c r="D983" s="171"/>
      <c r="E983" s="220"/>
      <c r="F983" s="93"/>
      <c r="G983" s="149">
        <f t="shared" si="67"/>
        <v>0</v>
      </c>
    </row>
    <row r="984" spans="1:7" s="7" customFormat="1" ht="13.5" thickBot="1">
      <c r="A984" s="970"/>
      <c r="B984" s="971"/>
      <c r="C984" s="972"/>
      <c r="D984" s="973" t="s">
        <v>403</v>
      </c>
      <c r="E984" s="974"/>
      <c r="F984" s="975"/>
      <c r="G984" s="11">
        <f>SUM(G982:G983)</f>
        <v>2662</v>
      </c>
    </row>
    <row r="985" spans="1:7" s="7" customFormat="1" ht="13.5" thickBot="1">
      <c r="A985" s="908" t="s">
        <v>1</v>
      </c>
      <c r="B985" s="910" t="s">
        <v>404</v>
      </c>
      <c r="C985" s="911"/>
      <c r="D985" s="911"/>
      <c r="E985" s="911"/>
      <c r="F985" s="911"/>
      <c r="G985" s="912"/>
    </row>
    <row r="986" spans="1:7" s="7" customFormat="1" ht="13.5" thickBot="1">
      <c r="A986" s="909"/>
      <c r="B986" s="913" t="s">
        <v>396</v>
      </c>
      <c r="C986" s="914"/>
      <c r="D986" s="95" t="s">
        <v>3</v>
      </c>
      <c r="E986" s="207" t="s">
        <v>398</v>
      </c>
      <c r="F986" s="95" t="s">
        <v>397</v>
      </c>
      <c r="G986" s="113" t="s">
        <v>399</v>
      </c>
    </row>
    <row r="987" spans="1:7" s="7" customFormat="1" ht="13.5" thickBot="1">
      <c r="A987" s="178"/>
      <c r="B987" s="926" t="s">
        <v>547</v>
      </c>
      <c r="C987" s="927"/>
      <c r="D987" s="88" t="s">
        <v>496</v>
      </c>
      <c r="E987" s="221">
        <f>+(190465/5)*1.19*1.05</f>
        <v>47597.203500000003</v>
      </c>
      <c r="F987" s="180">
        <v>1</v>
      </c>
      <c r="G987" s="181">
        <f t="shared" ref="G987:G996" si="68">ROUND(E987*F987,)</f>
        <v>47597</v>
      </c>
    </row>
    <row r="988" spans="1:7" s="7" customFormat="1" ht="13.5" thickBot="1">
      <c r="A988" s="178"/>
      <c r="B988" s="926" t="s">
        <v>562</v>
      </c>
      <c r="C988" s="927"/>
      <c r="D988" s="88" t="s">
        <v>496</v>
      </c>
      <c r="E988" s="221">
        <f>+(154188/9)*1.19</f>
        <v>20387.079999999998</v>
      </c>
      <c r="F988" s="180">
        <v>3</v>
      </c>
      <c r="G988" s="181">
        <f t="shared" si="68"/>
        <v>61161</v>
      </c>
    </row>
    <row r="989" spans="1:7" s="7" customFormat="1" ht="13.5" thickBot="1">
      <c r="A989" s="178"/>
      <c r="B989" s="926" t="s">
        <v>563</v>
      </c>
      <c r="C989" s="927"/>
      <c r="D989" s="88" t="s">
        <v>496</v>
      </c>
      <c r="E989" s="221">
        <f>+(13062/3)*1.19</f>
        <v>5181.26</v>
      </c>
      <c r="F989" s="180">
        <v>0.5</v>
      </c>
      <c r="G989" s="181">
        <f t="shared" si="68"/>
        <v>2591</v>
      </c>
    </row>
    <row r="990" spans="1:7" s="7" customFormat="1" ht="13.5" thickBot="1">
      <c r="A990" s="178"/>
      <c r="B990" s="926" t="s">
        <v>564</v>
      </c>
      <c r="C990" s="927"/>
      <c r="D990" s="88" t="s">
        <v>496</v>
      </c>
      <c r="E990" s="221">
        <f>+(5800/4)*1.19</f>
        <v>1725.5</v>
      </c>
      <c r="F990" s="180">
        <v>0.11</v>
      </c>
      <c r="G990" s="181">
        <f t="shared" si="68"/>
        <v>190</v>
      </c>
    </row>
    <row r="991" spans="1:7" s="7" customFormat="1" ht="13.5" thickBot="1">
      <c r="A991" s="178"/>
      <c r="B991" s="926" t="s">
        <v>565</v>
      </c>
      <c r="C991" s="927"/>
      <c r="D991" s="88" t="s">
        <v>496</v>
      </c>
      <c r="E991" s="221">
        <f>+(3000/2)*1.19</f>
        <v>1785</v>
      </c>
      <c r="F991" s="180">
        <v>1</v>
      </c>
      <c r="G991" s="181">
        <f t="shared" si="68"/>
        <v>1785</v>
      </c>
    </row>
    <row r="992" spans="1:7" s="7" customFormat="1" ht="13.5" thickBot="1">
      <c r="A992" s="178"/>
      <c r="B992" s="926" t="s">
        <v>552</v>
      </c>
      <c r="C992" s="927"/>
      <c r="D992" s="88" t="s">
        <v>496</v>
      </c>
      <c r="E992" s="221">
        <f>+(190465/5)*1.19</f>
        <v>45330.67</v>
      </c>
      <c r="F992" s="180">
        <v>1</v>
      </c>
      <c r="G992" s="181">
        <f t="shared" si="68"/>
        <v>45331</v>
      </c>
    </row>
    <row r="993" spans="1:7" s="7" customFormat="1" ht="13.5" thickBot="1">
      <c r="A993" s="178"/>
      <c r="B993" s="926" t="s">
        <v>553</v>
      </c>
      <c r="C993" s="927"/>
      <c r="D993" s="88" t="s">
        <v>496</v>
      </c>
      <c r="E993" s="221">
        <f>+(11080/5)*1.19</f>
        <v>2637.04</v>
      </c>
      <c r="F993" s="180">
        <v>3</v>
      </c>
      <c r="G993" s="181">
        <f t="shared" si="68"/>
        <v>7911</v>
      </c>
    </row>
    <row r="994" spans="1:7" s="7" customFormat="1" ht="13.5" thickBot="1">
      <c r="A994" s="178"/>
      <c r="B994" s="926" t="s">
        <v>554</v>
      </c>
      <c r="C994" s="927"/>
      <c r="D994" s="88" t="s">
        <v>70</v>
      </c>
      <c r="E994" s="221">
        <f>+(3068416/208)*1.19</f>
        <v>17554.88</v>
      </c>
      <c r="F994" s="180">
        <v>4</v>
      </c>
      <c r="G994" s="181">
        <f t="shared" si="68"/>
        <v>70220</v>
      </c>
    </row>
    <row r="995" spans="1:7" s="7" customFormat="1" ht="13.5" thickBot="1">
      <c r="A995" s="178"/>
      <c r="B995" s="926" t="s">
        <v>555</v>
      </c>
      <c r="C995" s="927"/>
      <c r="D995" s="88" t="s">
        <v>12</v>
      </c>
      <c r="E995" s="221">
        <f>+(776160/72)*1.19</f>
        <v>12828.199999999999</v>
      </c>
      <c r="F995" s="180">
        <v>4</v>
      </c>
      <c r="G995" s="181">
        <f t="shared" si="68"/>
        <v>51313</v>
      </c>
    </row>
    <row r="996" spans="1:7" s="7" customFormat="1" ht="13.5" thickBot="1">
      <c r="A996" s="178"/>
      <c r="B996" s="926" t="s">
        <v>556</v>
      </c>
      <c r="C996" s="927"/>
      <c r="D996" s="88" t="s">
        <v>496</v>
      </c>
      <c r="E996" s="221">
        <f>+(7632/18)*1.19</f>
        <v>504.56</v>
      </c>
      <c r="F996" s="180">
        <v>1.5</v>
      </c>
      <c r="G996" s="181">
        <f t="shared" si="68"/>
        <v>757</v>
      </c>
    </row>
    <row r="997" spans="1:7" s="7" customFormat="1" ht="13.5" thickBot="1">
      <c r="A997" s="122"/>
      <c r="B997" s="928"/>
      <c r="C997" s="929"/>
      <c r="D997" s="92"/>
      <c r="E997" s="251"/>
      <c r="F997" s="287"/>
      <c r="G997" s="149">
        <f t="shared" ref="G997:G998" si="69">ROUND((E997*F997),0)</f>
        <v>0</v>
      </c>
    </row>
    <row r="998" spans="1:7" s="7" customFormat="1" ht="13.5" thickBot="1">
      <c r="A998" s="155"/>
      <c r="B998" s="930"/>
      <c r="C998" s="931"/>
      <c r="D998" s="88"/>
      <c r="E998" s="214"/>
      <c r="F998" s="89"/>
      <c r="G998" s="149">
        <f t="shared" si="69"/>
        <v>0</v>
      </c>
    </row>
    <row r="999" spans="1:7" s="7" customFormat="1" ht="13.5" thickBot="1">
      <c r="A999" s="932"/>
      <c r="B999" s="933"/>
      <c r="C999" s="934"/>
      <c r="D999" s="935" t="s">
        <v>415</v>
      </c>
      <c r="E999" s="936"/>
      <c r="F999" s="937"/>
      <c r="G999" s="18">
        <f>SUM(G987:G998)</f>
        <v>288856</v>
      </c>
    </row>
    <row r="1000" spans="1:7" s="7" customFormat="1" ht="13.5" thickBot="1">
      <c r="A1000" s="908" t="s">
        <v>1</v>
      </c>
      <c r="B1000" s="910" t="s">
        <v>416</v>
      </c>
      <c r="C1000" s="911"/>
      <c r="D1000" s="911"/>
      <c r="E1000" s="911"/>
      <c r="F1000" s="911"/>
      <c r="G1000" s="912"/>
    </row>
    <row r="1001" spans="1:7" s="7" customFormat="1" ht="13.5" thickBot="1">
      <c r="A1001" s="909"/>
      <c r="B1001" s="913" t="s">
        <v>396</v>
      </c>
      <c r="C1001" s="914"/>
      <c r="D1001" s="95" t="s">
        <v>3</v>
      </c>
      <c r="E1001" s="207" t="s">
        <v>398</v>
      </c>
      <c r="F1001" s="95" t="s">
        <v>397</v>
      </c>
      <c r="G1001" s="113" t="s">
        <v>399</v>
      </c>
    </row>
    <row r="1002" spans="1:7" s="7" customFormat="1" ht="13.5" thickBot="1">
      <c r="A1002" s="127"/>
      <c r="B1002" s="938" t="s">
        <v>436</v>
      </c>
      <c r="C1002" s="939"/>
      <c r="D1002" s="104" t="s">
        <v>28</v>
      </c>
      <c r="E1002" s="212">
        <v>22500</v>
      </c>
      <c r="F1002" s="89">
        <v>0.3</v>
      </c>
      <c r="G1002" s="159">
        <f>ROUND(F1002*E1002,)</f>
        <v>6750</v>
      </c>
    </row>
    <row r="1003" spans="1:7" s="7" customFormat="1" ht="12.75">
      <c r="A1003" s="156"/>
      <c r="B1003" s="940" t="s">
        <v>402</v>
      </c>
      <c r="C1003" s="941"/>
      <c r="D1003" s="157" t="s">
        <v>402</v>
      </c>
      <c r="E1003" s="219"/>
      <c r="F1003" s="158"/>
      <c r="G1003" s="159">
        <f>ROUND(F1003*E1003,)</f>
        <v>0</v>
      </c>
    </row>
    <row r="1004" spans="1:7" s="7" customFormat="1" ht="13.5" thickBot="1">
      <c r="A1004" s="130"/>
      <c r="B1004" s="942" t="s">
        <v>402</v>
      </c>
      <c r="C1004" s="943"/>
      <c r="D1004" s="104" t="s">
        <v>402</v>
      </c>
      <c r="E1004" s="212"/>
      <c r="F1004" s="105"/>
      <c r="G1004" s="131">
        <f>ROUND(F1004*E1004,)</f>
        <v>0</v>
      </c>
    </row>
    <row r="1005" spans="1:7" s="7" customFormat="1" ht="13.5" thickBot="1">
      <c r="A1005" s="944"/>
      <c r="B1005" s="945"/>
      <c r="C1005" s="946"/>
      <c r="D1005" s="947" t="s">
        <v>418</v>
      </c>
      <c r="E1005" s="948"/>
      <c r="F1005" s="949"/>
      <c r="G1005" s="11">
        <f>SUM(G1002:G1004)</f>
        <v>6750</v>
      </c>
    </row>
    <row r="1006" spans="1:7" s="7" customFormat="1" ht="13.5" thickBot="1">
      <c r="A1006" s="908" t="s">
        <v>1</v>
      </c>
      <c r="B1006" s="910" t="s">
        <v>419</v>
      </c>
      <c r="C1006" s="911"/>
      <c r="D1006" s="911"/>
      <c r="E1006" s="911"/>
      <c r="F1006" s="911"/>
      <c r="G1006" s="912"/>
    </row>
    <row r="1007" spans="1:7" s="7" customFormat="1" ht="13.5" thickBot="1">
      <c r="A1007" s="909"/>
      <c r="B1007" s="913" t="s">
        <v>396</v>
      </c>
      <c r="C1007" s="914"/>
      <c r="D1007" s="95" t="s">
        <v>3</v>
      </c>
      <c r="E1007" s="207" t="s">
        <v>398</v>
      </c>
      <c r="F1007" s="95" t="s">
        <v>397</v>
      </c>
      <c r="G1007" s="113" t="s">
        <v>399</v>
      </c>
    </row>
    <row r="1008" spans="1:7" s="7" customFormat="1" ht="12.75">
      <c r="A1008" s="122"/>
      <c r="B1008" s="160" t="s">
        <v>557</v>
      </c>
      <c r="C1008" s="161"/>
      <c r="D1008" s="109" t="s">
        <v>422</v>
      </c>
      <c r="E1008" s="82">
        <f>_xlfn.IFNA(VLOOKUP(B1008,'sub M. DE OBRA'!$B$4:$E$19997,4,FALSE),0)</f>
        <v>290909.73333333334</v>
      </c>
      <c r="F1008" s="110">
        <v>0.183</v>
      </c>
      <c r="G1008" s="129">
        <f>ROUND(F1008*E1008,)</f>
        <v>53236</v>
      </c>
    </row>
    <row r="1009" spans="1:7" s="7" customFormat="1" ht="12.75">
      <c r="A1009" s="155"/>
      <c r="B1009" s="184"/>
      <c r="C1009" s="185"/>
      <c r="D1009" s="92"/>
      <c r="E1009" s="215"/>
      <c r="F1009" s="101"/>
      <c r="G1009" s="164">
        <f>ROUND(E1009*F1009*C1009,0)</f>
        <v>0</v>
      </c>
    </row>
    <row r="1010" spans="1:7" s="7" customFormat="1" ht="13.5" thickBot="1">
      <c r="A1010" s="165"/>
      <c r="B1010" s="166"/>
      <c r="C1010" s="167"/>
      <c r="D1010" s="168"/>
      <c r="E1010" s="222"/>
      <c r="F1010" s="169"/>
      <c r="G1010" s="170">
        <f>ROUND(E1010*F1010*C1010,0)</f>
        <v>0</v>
      </c>
    </row>
    <row r="1011" spans="1:7" s="7" customFormat="1" ht="13.5" thickBot="1">
      <c r="A1011" s="915" t="s">
        <v>424</v>
      </c>
      <c r="B1011" s="916"/>
      <c r="C1011" s="917"/>
      <c r="D1011" s="918" t="s">
        <v>425</v>
      </c>
      <c r="E1011" s="919"/>
      <c r="F1011" s="920"/>
      <c r="G1011" s="12">
        <f>SUM(G1008:G1010)</f>
        <v>53236</v>
      </c>
    </row>
    <row r="1012" spans="1:7" s="7" customFormat="1" ht="13.5" thickBot="1">
      <c r="A1012" s="921"/>
      <c r="B1012" s="922"/>
      <c r="C1012" s="922"/>
      <c r="D1012" s="923" t="s">
        <v>426</v>
      </c>
      <c r="E1012" s="924"/>
      <c r="F1012" s="925"/>
      <c r="G1012" s="153">
        <f>+G984+G999+G1005+G1011</f>
        <v>351504</v>
      </c>
    </row>
    <row r="1013" spans="1:7" s="7" customFormat="1" ht="13.5" thickBot="1"/>
    <row r="1014" spans="1:7" s="7" customFormat="1" ht="13.5" thickBot="1">
      <c r="A1014" s="950" t="s">
        <v>390</v>
      </c>
      <c r="B1014" s="951"/>
      <c r="C1014" s="951"/>
      <c r="D1014" s="951"/>
      <c r="E1014" s="952"/>
      <c r="F1014" s="42" t="s">
        <v>391</v>
      </c>
      <c r="G1014" s="191">
        <f ca="1">TODAY()</f>
        <v>46071</v>
      </c>
    </row>
    <row r="1015" spans="1:7" s="7" customFormat="1" ht="13.5" thickBot="1">
      <c r="A1015" s="953" t="str">
        <f>+'OFERTA ECONOMICA'!B51</f>
        <v>Suministro e instalación de acometidas eléctricas en cable #8 (circuito extractor) y cable #6 (alimentación de cavas), incluyendo conectores y materiales para garantizar una conexión segura y cumplimiento normativo.</v>
      </c>
      <c r="B1015" s="954"/>
      <c r="C1015" s="954"/>
      <c r="D1015" s="954"/>
      <c r="E1015" s="955"/>
      <c r="F1015" s="44" t="s">
        <v>392</v>
      </c>
      <c r="G1015" s="45" t="str">
        <f>+'OFERTA ECONOMICA'!C51</f>
        <v>un</v>
      </c>
    </row>
    <row r="1016" spans="1:7" s="7" customFormat="1" ht="13.5" thickBot="1">
      <c r="A1016" s="956"/>
      <c r="B1016" s="957"/>
      <c r="C1016" s="957"/>
      <c r="D1016" s="957"/>
      <c r="E1016" s="958"/>
      <c r="F1016" s="44" t="s">
        <v>393</v>
      </c>
      <c r="G1016" s="46">
        <f>+'OFERTA ECONOMICA'!D51</f>
        <v>8</v>
      </c>
    </row>
    <row r="1017" spans="1:7" s="7" customFormat="1" ht="13.5" thickBot="1">
      <c r="A1017" s="959"/>
      <c r="B1017" s="960"/>
      <c r="C1017" s="960"/>
      <c r="D1017" s="960"/>
      <c r="E1017" s="961"/>
      <c r="F1017" s="47" t="s">
        <v>394</v>
      </c>
      <c r="G1017" s="48" t="str">
        <f>+'OFERTA ECONOMICA'!A51</f>
        <v>1.10.4</v>
      </c>
    </row>
    <row r="1018" spans="1:7" s="7" customFormat="1" ht="13.5" thickBot="1">
      <c r="A1018" s="962" t="s">
        <v>1</v>
      </c>
      <c r="B1018" s="963" t="s">
        <v>395</v>
      </c>
      <c r="C1018" s="964"/>
      <c r="D1018" s="964"/>
      <c r="E1018" s="964"/>
      <c r="F1018" s="964"/>
      <c r="G1018" s="965"/>
    </row>
    <row r="1019" spans="1:7" s="7" customFormat="1" ht="13.5" thickBot="1">
      <c r="A1019" s="909"/>
      <c r="B1019" s="913" t="s">
        <v>396</v>
      </c>
      <c r="C1019" s="914"/>
      <c r="D1019" s="95" t="s">
        <v>3</v>
      </c>
      <c r="E1019" s="207" t="s">
        <v>398</v>
      </c>
      <c r="F1019" s="95" t="s">
        <v>439</v>
      </c>
      <c r="G1019" s="113" t="s">
        <v>399</v>
      </c>
    </row>
    <row r="1020" spans="1:7" s="7" customFormat="1" ht="13.5" thickBot="1">
      <c r="A1020" s="114"/>
      <c r="B1020" s="966" t="s">
        <v>538</v>
      </c>
      <c r="C1020" s="967"/>
      <c r="D1020" s="88" t="s">
        <v>539</v>
      </c>
      <c r="E1020" s="214">
        <f>+G1043</f>
        <v>189091</v>
      </c>
      <c r="F1020" s="89">
        <v>0.05</v>
      </c>
      <c r="G1020" s="117">
        <f t="shared" ref="G1020:G1021" si="70">ROUND((E1020*F1020),0)</f>
        <v>9455</v>
      </c>
    </row>
    <row r="1021" spans="1:7" s="7" customFormat="1" ht="12.75">
      <c r="A1021" s="154"/>
      <c r="B1021" s="968"/>
      <c r="C1021" s="969"/>
      <c r="D1021" s="171"/>
      <c r="E1021" s="220"/>
      <c r="F1021" s="93"/>
      <c r="G1021" s="149">
        <f t="shared" si="70"/>
        <v>0</v>
      </c>
    </row>
    <row r="1022" spans="1:7" s="7" customFormat="1" ht="13.5" thickBot="1">
      <c r="A1022" s="970"/>
      <c r="B1022" s="971"/>
      <c r="C1022" s="972"/>
      <c r="D1022" s="973" t="s">
        <v>403</v>
      </c>
      <c r="E1022" s="974"/>
      <c r="F1022" s="975"/>
      <c r="G1022" s="11">
        <f>SUM(G1020:G1021)</f>
        <v>9455</v>
      </c>
    </row>
    <row r="1023" spans="1:7" s="7" customFormat="1" ht="13.5" thickBot="1">
      <c r="A1023" s="908" t="s">
        <v>1</v>
      </c>
      <c r="B1023" s="910" t="s">
        <v>404</v>
      </c>
      <c r="C1023" s="911"/>
      <c r="D1023" s="911"/>
      <c r="E1023" s="911"/>
      <c r="F1023" s="911"/>
      <c r="G1023" s="912"/>
    </row>
    <row r="1024" spans="1:7" s="7" customFormat="1" ht="13.5" thickBot="1">
      <c r="A1024" s="909"/>
      <c r="B1024" s="913" t="s">
        <v>396</v>
      </c>
      <c r="C1024" s="914"/>
      <c r="D1024" s="95" t="s">
        <v>3</v>
      </c>
      <c r="E1024" s="207" t="s">
        <v>398</v>
      </c>
      <c r="F1024" s="95" t="s">
        <v>397</v>
      </c>
      <c r="G1024" s="113" t="s">
        <v>399</v>
      </c>
    </row>
    <row r="1025" spans="1:7" s="7" customFormat="1" ht="13.5" thickBot="1">
      <c r="A1025" s="178"/>
      <c r="B1025" s="926" t="s">
        <v>552</v>
      </c>
      <c r="C1025" s="927"/>
      <c r="D1025" s="88" t="s">
        <v>496</v>
      </c>
      <c r="E1025" s="221">
        <f>+(190465/5)*1.19</f>
        <v>45330.67</v>
      </c>
      <c r="F1025" s="180">
        <v>1</v>
      </c>
      <c r="G1025" s="181">
        <f t="shared" ref="G1025" si="71">ROUND(E1025*F1025,)</f>
        <v>45331</v>
      </c>
    </row>
    <row r="1026" spans="1:7" s="7" customFormat="1" ht="13.5" thickBot="1">
      <c r="A1026" s="178"/>
      <c r="B1026" s="926" t="s">
        <v>554</v>
      </c>
      <c r="C1026" s="927"/>
      <c r="D1026" s="88" t="s">
        <v>70</v>
      </c>
      <c r="E1026" s="221">
        <f>+(3068416/208)*1.19</f>
        <v>17554.88</v>
      </c>
      <c r="F1026" s="180">
        <v>18.5</v>
      </c>
      <c r="G1026" s="181">
        <f t="shared" ref="G1026:G1030" si="72">ROUND(E1026*F1026,)</f>
        <v>324765</v>
      </c>
    </row>
    <row r="1027" spans="1:7" s="7" customFormat="1" ht="13.5" thickBot="1">
      <c r="A1027" s="178"/>
      <c r="B1027" s="926" t="s">
        <v>555</v>
      </c>
      <c r="C1027" s="927"/>
      <c r="D1027" s="88" t="s">
        <v>12</v>
      </c>
      <c r="E1027" s="221">
        <f>+(776160/72)*1.19</f>
        <v>12828.199999999999</v>
      </c>
      <c r="F1027" s="180">
        <v>18.5</v>
      </c>
      <c r="G1027" s="181">
        <f t="shared" si="72"/>
        <v>237322</v>
      </c>
    </row>
    <row r="1028" spans="1:7" s="7" customFormat="1" ht="13.5" thickBot="1">
      <c r="A1028" s="803"/>
      <c r="B1028" s="926" t="s">
        <v>558</v>
      </c>
      <c r="C1028" s="927"/>
      <c r="D1028" s="88" t="s">
        <v>496</v>
      </c>
      <c r="E1028" s="221">
        <f>+(1593020/52)*1.19</f>
        <v>36455.65</v>
      </c>
      <c r="F1028" s="180">
        <v>18.5</v>
      </c>
      <c r="G1028" s="181">
        <f t="shared" si="72"/>
        <v>674430</v>
      </c>
    </row>
    <row r="1029" spans="1:7" s="7" customFormat="1" ht="13.5" thickBot="1">
      <c r="A1029" s="122"/>
      <c r="B1029" s="926" t="s">
        <v>559</v>
      </c>
      <c r="C1029" s="927"/>
      <c r="D1029" s="88" t="s">
        <v>496</v>
      </c>
      <c r="E1029" s="221">
        <f>+(51804/6)*1.19</f>
        <v>10274.459999999999</v>
      </c>
      <c r="F1029" s="180">
        <v>5.5</v>
      </c>
      <c r="G1029" s="181">
        <f t="shared" si="72"/>
        <v>56510</v>
      </c>
    </row>
    <row r="1030" spans="1:7" s="7" customFormat="1" ht="13.5" thickBot="1">
      <c r="A1030" s="155"/>
      <c r="B1030" s="926" t="s">
        <v>560</v>
      </c>
      <c r="C1030" s="927"/>
      <c r="D1030" s="88" t="s">
        <v>496</v>
      </c>
      <c r="E1030" s="221">
        <f>+(101560/6)*1.19</f>
        <v>20142.733333333334</v>
      </c>
      <c r="F1030" s="180">
        <v>5.5</v>
      </c>
      <c r="G1030" s="181">
        <f t="shared" si="72"/>
        <v>110785</v>
      </c>
    </row>
    <row r="1031" spans="1:7" s="7" customFormat="1" ht="13.5" thickBot="1">
      <c r="A1031" s="932"/>
      <c r="B1031" s="933"/>
      <c r="C1031" s="934"/>
      <c r="D1031" s="935" t="s">
        <v>415</v>
      </c>
      <c r="E1031" s="936"/>
      <c r="F1031" s="937"/>
      <c r="G1031" s="18">
        <f>SUM(G1025:G1030)</f>
        <v>1449143</v>
      </c>
    </row>
    <row r="1032" spans="1:7" s="7" customFormat="1" ht="13.5" thickBot="1">
      <c r="A1032" s="908" t="s">
        <v>1</v>
      </c>
      <c r="B1032" s="910" t="s">
        <v>416</v>
      </c>
      <c r="C1032" s="911"/>
      <c r="D1032" s="911"/>
      <c r="E1032" s="911"/>
      <c r="F1032" s="911"/>
      <c r="G1032" s="912"/>
    </row>
    <row r="1033" spans="1:7" s="7" customFormat="1" ht="13.5" thickBot="1">
      <c r="A1033" s="909"/>
      <c r="B1033" s="913" t="s">
        <v>396</v>
      </c>
      <c r="C1033" s="914"/>
      <c r="D1033" s="95" t="s">
        <v>3</v>
      </c>
      <c r="E1033" s="207" t="s">
        <v>398</v>
      </c>
      <c r="F1033" s="95" t="s">
        <v>397</v>
      </c>
      <c r="G1033" s="113" t="s">
        <v>399</v>
      </c>
    </row>
    <row r="1034" spans="1:7" s="7" customFormat="1" ht="13.5" thickBot="1">
      <c r="A1034" s="127"/>
      <c r="B1034" s="938" t="s">
        <v>436</v>
      </c>
      <c r="C1034" s="939"/>
      <c r="D1034" s="104" t="s">
        <v>28</v>
      </c>
      <c r="E1034" s="212">
        <v>22500</v>
      </c>
      <c r="F1034" s="89">
        <v>2</v>
      </c>
      <c r="G1034" s="159">
        <f>ROUND(F1034*E1034,)</f>
        <v>45000</v>
      </c>
    </row>
    <row r="1035" spans="1:7" s="7" customFormat="1" ht="12.75">
      <c r="A1035" s="156"/>
      <c r="B1035" s="940" t="s">
        <v>402</v>
      </c>
      <c r="C1035" s="941"/>
      <c r="D1035" s="157" t="s">
        <v>402</v>
      </c>
      <c r="E1035" s="219"/>
      <c r="F1035" s="158"/>
      <c r="G1035" s="159">
        <f>ROUND(F1035*E1035,)</f>
        <v>0</v>
      </c>
    </row>
    <row r="1036" spans="1:7" s="7" customFormat="1" ht="13.5" thickBot="1">
      <c r="A1036" s="130"/>
      <c r="B1036" s="942" t="s">
        <v>402</v>
      </c>
      <c r="C1036" s="943"/>
      <c r="D1036" s="104" t="s">
        <v>402</v>
      </c>
      <c r="E1036" s="212"/>
      <c r="F1036" s="105"/>
      <c r="G1036" s="131">
        <f>ROUND(F1036*E1036,)</f>
        <v>0</v>
      </c>
    </row>
    <row r="1037" spans="1:7" s="7" customFormat="1" ht="13.5" thickBot="1">
      <c r="A1037" s="944"/>
      <c r="B1037" s="945"/>
      <c r="C1037" s="946"/>
      <c r="D1037" s="947" t="s">
        <v>418</v>
      </c>
      <c r="E1037" s="948"/>
      <c r="F1037" s="949"/>
      <c r="G1037" s="11">
        <f>SUM(G1034:G1036)</f>
        <v>45000</v>
      </c>
    </row>
    <row r="1038" spans="1:7" s="7" customFormat="1" ht="13.5" thickBot="1">
      <c r="A1038" s="908" t="s">
        <v>1</v>
      </c>
      <c r="B1038" s="910" t="s">
        <v>419</v>
      </c>
      <c r="C1038" s="911"/>
      <c r="D1038" s="911"/>
      <c r="E1038" s="911"/>
      <c r="F1038" s="911"/>
      <c r="G1038" s="912"/>
    </row>
    <row r="1039" spans="1:7" s="7" customFormat="1" ht="13.5" thickBot="1">
      <c r="A1039" s="909"/>
      <c r="B1039" s="913" t="s">
        <v>396</v>
      </c>
      <c r="C1039" s="914"/>
      <c r="D1039" s="95" t="s">
        <v>3</v>
      </c>
      <c r="E1039" s="207" t="s">
        <v>398</v>
      </c>
      <c r="F1039" s="95" t="s">
        <v>397</v>
      </c>
      <c r="G1039" s="113" t="s">
        <v>399</v>
      </c>
    </row>
    <row r="1040" spans="1:7" s="7" customFormat="1" ht="12.75">
      <c r="A1040" s="122"/>
      <c r="B1040" s="160" t="s">
        <v>557</v>
      </c>
      <c r="C1040" s="161"/>
      <c r="D1040" s="109" t="s">
        <v>422</v>
      </c>
      <c r="E1040" s="82">
        <f>_xlfn.IFNA(VLOOKUP(B1040,'sub M. DE OBRA'!$B$4:$E$19997,4,FALSE),0)</f>
        <v>290909.73333333334</v>
      </c>
      <c r="F1040" s="110">
        <v>0.65</v>
      </c>
      <c r="G1040" s="129">
        <f>ROUND(F1040*E1040,)</f>
        <v>189091</v>
      </c>
    </row>
    <row r="1041" spans="1:7" s="7" customFormat="1" ht="12.75">
      <c r="A1041" s="155"/>
      <c r="B1041" s="184"/>
      <c r="C1041" s="185"/>
      <c r="D1041" s="92"/>
      <c r="E1041" s="215"/>
      <c r="F1041" s="101"/>
      <c r="G1041" s="164">
        <f>ROUND(E1041*F1041*C1041,0)</f>
        <v>0</v>
      </c>
    </row>
    <row r="1042" spans="1:7" s="7" customFormat="1" ht="13.5" thickBot="1">
      <c r="A1042" s="165"/>
      <c r="B1042" s="166"/>
      <c r="C1042" s="167"/>
      <c r="D1042" s="168"/>
      <c r="E1042" s="222"/>
      <c r="F1042" s="169"/>
      <c r="G1042" s="170">
        <f>ROUND(E1042*F1042*C1042,0)</f>
        <v>0</v>
      </c>
    </row>
    <row r="1043" spans="1:7" s="7" customFormat="1" ht="13.5" thickBot="1">
      <c r="A1043" s="915" t="s">
        <v>424</v>
      </c>
      <c r="B1043" s="916"/>
      <c r="C1043" s="917"/>
      <c r="D1043" s="918" t="s">
        <v>425</v>
      </c>
      <c r="E1043" s="919"/>
      <c r="F1043" s="920"/>
      <c r="G1043" s="12">
        <f>SUM(G1040:G1042)</f>
        <v>189091</v>
      </c>
    </row>
    <row r="1044" spans="1:7" s="7" customFormat="1" ht="13.5" thickBot="1">
      <c r="A1044" s="921"/>
      <c r="B1044" s="922"/>
      <c r="C1044" s="922"/>
      <c r="D1044" s="923" t="s">
        <v>426</v>
      </c>
      <c r="E1044" s="924"/>
      <c r="F1044" s="925"/>
      <c r="G1044" s="153">
        <f>+G1022+G1031+G1037+G1043</f>
        <v>1692689</v>
      </c>
    </row>
    <row r="1045" spans="1:7" s="7" customFormat="1" ht="13.5" thickBot="1"/>
    <row r="1046" spans="1:7" s="7" customFormat="1" ht="13.5" thickBot="1">
      <c r="A1046" s="950" t="s">
        <v>390</v>
      </c>
      <c r="B1046" s="951"/>
      <c r="C1046" s="951"/>
      <c r="D1046" s="951"/>
      <c r="E1046" s="952"/>
      <c r="F1046" s="42" t="s">
        <v>391</v>
      </c>
      <c r="G1046" s="191">
        <f ca="1">TODAY()</f>
        <v>46071</v>
      </c>
    </row>
    <row r="1047" spans="1:7" s="7" customFormat="1" ht="13.5" thickBot="1">
      <c r="A1047" s="953" t="str">
        <f>+'OFERTA ECONOMICA'!B52</f>
        <v>Adecuación del gabinete general existente, realizando ajustes, reemplazo de piezas y trabajos complementarios para su funcionamiento adecuado.</v>
      </c>
      <c r="B1047" s="954"/>
      <c r="C1047" s="954"/>
      <c r="D1047" s="954"/>
      <c r="E1047" s="955"/>
      <c r="F1047" s="44" t="s">
        <v>392</v>
      </c>
      <c r="G1047" s="45" t="str">
        <f>+'OFERTA ECONOMICA'!C52</f>
        <v>un</v>
      </c>
    </row>
    <row r="1048" spans="1:7" s="7" customFormat="1" ht="13.5" thickBot="1">
      <c r="A1048" s="956"/>
      <c r="B1048" s="957"/>
      <c r="C1048" s="957"/>
      <c r="D1048" s="957"/>
      <c r="E1048" s="958"/>
      <c r="F1048" s="44" t="s">
        <v>393</v>
      </c>
      <c r="G1048" s="46">
        <f>+'OFERTA ECONOMICA'!D52</f>
        <v>1</v>
      </c>
    </row>
    <row r="1049" spans="1:7" s="7" customFormat="1" ht="13.5" thickBot="1">
      <c r="A1049" s="959"/>
      <c r="B1049" s="960"/>
      <c r="C1049" s="960"/>
      <c r="D1049" s="960"/>
      <c r="E1049" s="961"/>
      <c r="F1049" s="47" t="s">
        <v>394</v>
      </c>
      <c r="G1049" s="48" t="str">
        <f>+'OFERTA ECONOMICA'!A52</f>
        <v>1.10.5</v>
      </c>
    </row>
    <row r="1050" spans="1:7" s="7" customFormat="1" ht="13.5" thickBot="1">
      <c r="A1050" s="962" t="s">
        <v>1</v>
      </c>
      <c r="B1050" s="963" t="s">
        <v>395</v>
      </c>
      <c r="C1050" s="964"/>
      <c r="D1050" s="964"/>
      <c r="E1050" s="964"/>
      <c r="F1050" s="964"/>
      <c r="G1050" s="965"/>
    </row>
    <row r="1051" spans="1:7" s="7" customFormat="1" ht="13.5" thickBot="1">
      <c r="A1051" s="909"/>
      <c r="B1051" s="913" t="s">
        <v>396</v>
      </c>
      <c r="C1051" s="914"/>
      <c r="D1051" s="95" t="s">
        <v>3</v>
      </c>
      <c r="E1051" s="207" t="s">
        <v>398</v>
      </c>
      <c r="F1051" s="95" t="s">
        <v>439</v>
      </c>
      <c r="G1051" s="113" t="s">
        <v>399</v>
      </c>
    </row>
    <row r="1052" spans="1:7" s="7" customFormat="1" ht="13.5" thickBot="1">
      <c r="A1052" s="114"/>
      <c r="B1052" s="966" t="s">
        <v>538</v>
      </c>
      <c r="C1052" s="967"/>
      <c r="D1052" s="88" t="s">
        <v>539</v>
      </c>
      <c r="E1052" s="214">
        <f>+G1073</f>
        <v>189091</v>
      </c>
      <c r="F1052" s="89">
        <v>0.05</v>
      </c>
      <c r="G1052" s="117">
        <f t="shared" ref="G1052:G1053" si="73">ROUND((E1052*F1052),0)</f>
        <v>9455</v>
      </c>
    </row>
    <row r="1053" spans="1:7" s="7" customFormat="1" ht="12.75">
      <c r="A1053" s="154"/>
      <c r="B1053" s="968"/>
      <c r="C1053" s="969"/>
      <c r="D1053" s="171"/>
      <c r="E1053" s="220"/>
      <c r="F1053" s="93"/>
      <c r="G1053" s="149">
        <f t="shared" si="73"/>
        <v>0</v>
      </c>
    </row>
    <row r="1054" spans="1:7" s="7" customFormat="1" ht="13.5" thickBot="1">
      <c r="A1054" s="970"/>
      <c r="B1054" s="971"/>
      <c r="C1054" s="972"/>
      <c r="D1054" s="973" t="s">
        <v>403</v>
      </c>
      <c r="E1054" s="974"/>
      <c r="F1054" s="975"/>
      <c r="G1054" s="11">
        <f>SUM(G1052:G1053)</f>
        <v>9455</v>
      </c>
    </row>
    <row r="1055" spans="1:7" s="7" customFormat="1" ht="13.5" thickBot="1">
      <c r="A1055" s="908" t="s">
        <v>1</v>
      </c>
      <c r="B1055" s="910" t="s">
        <v>404</v>
      </c>
      <c r="C1055" s="911"/>
      <c r="D1055" s="911"/>
      <c r="E1055" s="911"/>
      <c r="F1055" s="911"/>
      <c r="G1055" s="912"/>
    </row>
    <row r="1056" spans="1:7" s="7" customFormat="1" ht="13.5" thickBot="1">
      <c r="A1056" s="909"/>
      <c r="B1056" s="913" t="s">
        <v>396</v>
      </c>
      <c r="C1056" s="914"/>
      <c r="D1056" s="95" t="s">
        <v>3</v>
      </c>
      <c r="E1056" s="207" t="s">
        <v>398</v>
      </c>
      <c r="F1056" s="95" t="s">
        <v>397</v>
      </c>
      <c r="G1056" s="113" t="s">
        <v>399</v>
      </c>
    </row>
    <row r="1057" spans="1:7" s="7" customFormat="1" ht="13.5" thickBot="1">
      <c r="A1057" s="178"/>
      <c r="B1057" s="926" t="s">
        <v>566</v>
      </c>
      <c r="C1057" s="927"/>
      <c r="D1057" s="88" t="s">
        <v>55</v>
      </c>
      <c r="E1057" s="221">
        <f>287805*1.19</f>
        <v>342487.95</v>
      </c>
      <c r="F1057" s="180">
        <v>1</v>
      </c>
      <c r="G1057" s="181">
        <f t="shared" ref="G1057:G1059" si="74">ROUND(E1057*F1057,)</f>
        <v>342488</v>
      </c>
    </row>
    <row r="1058" spans="1:7" s="7" customFormat="1" ht="13.5" thickBot="1">
      <c r="A1058" s="178"/>
      <c r="B1058" s="926" t="s">
        <v>567</v>
      </c>
      <c r="C1058" s="927"/>
      <c r="D1058" s="88" t="s">
        <v>55</v>
      </c>
      <c r="E1058" s="221">
        <f>220085*1.19</f>
        <v>261901.15</v>
      </c>
      <c r="F1058" s="180">
        <v>1</v>
      </c>
      <c r="G1058" s="181">
        <f t="shared" si="74"/>
        <v>261901</v>
      </c>
    </row>
    <row r="1059" spans="1:7" s="7" customFormat="1" ht="13.5" thickBot="1">
      <c r="A1059" s="178"/>
      <c r="B1059" s="926" t="s">
        <v>568</v>
      </c>
      <c r="C1059" s="927"/>
      <c r="D1059" s="88" t="s">
        <v>55</v>
      </c>
      <c r="E1059" s="221">
        <f>240117*1.19</f>
        <v>285739.23</v>
      </c>
      <c r="F1059" s="180">
        <v>1</v>
      </c>
      <c r="G1059" s="181">
        <f t="shared" si="74"/>
        <v>285739</v>
      </c>
    </row>
    <row r="1060" spans="1:7" s="7" customFormat="1" ht="13.5" thickBot="1">
      <c r="A1060" s="155"/>
      <c r="B1060" s="930"/>
      <c r="C1060" s="931"/>
      <c r="D1060" s="88"/>
      <c r="E1060" s="214"/>
      <c r="F1060" s="89"/>
      <c r="G1060" s="149">
        <f t="shared" ref="G1060" si="75">ROUND((E1060*F1060),0)</f>
        <v>0</v>
      </c>
    </row>
    <row r="1061" spans="1:7" s="7" customFormat="1" ht="13.5" thickBot="1">
      <c r="A1061" s="932"/>
      <c r="B1061" s="933"/>
      <c r="C1061" s="934"/>
      <c r="D1061" s="935" t="s">
        <v>415</v>
      </c>
      <c r="E1061" s="936"/>
      <c r="F1061" s="937"/>
      <c r="G1061" s="18">
        <f>SUM(G1057:G1060)</f>
        <v>890128</v>
      </c>
    </row>
    <row r="1062" spans="1:7" s="7" customFormat="1" ht="13.5" thickBot="1">
      <c r="A1062" s="908" t="s">
        <v>1</v>
      </c>
      <c r="B1062" s="910" t="s">
        <v>416</v>
      </c>
      <c r="C1062" s="911"/>
      <c r="D1062" s="911"/>
      <c r="E1062" s="911"/>
      <c r="F1062" s="911"/>
      <c r="G1062" s="912"/>
    </row>
    <row r="1063" spans="1:7" s="7" customFormat="1" ht="13.5" thickBot="1">
      <c r="A1063" s="909"/>
      <c r="B1063" s="913" t="s">
        <v>396</v>
      </c>
      <c r="C1063" s="914"/>
      <c r="D1063" s="95" t="s">
        <v>3</v>
      </c>
      <c r="E1063" s="207" t="s">
        <v>398</v>
      </c>
      <c r="F1063" s="95" t="s">
        <v>397</v>
      </c>
      <c r="G1063" s="113" t="s">
        <v>399</v>
      </c>
    </row>
    <row r="1064" spans="1:7" s="7" customFormat="1" ht="13.5" thickBot="1">
      <c r="A1064" s="127"/>
      <c r="B1064" s="938" t="s">
        <v>436</v>
      </c>
      <c r="C1064" s="939"/>
      <c r="D1064" s="104" t="s">
        <v>28</v>
      </c>
      <c r="E1064" s="212">
        <v>22500</v>
      </c>
      <c r="F1064" s="89">
        <v>0.3</v>
      </c>
      <c r="G1064" s="159">
        <f>ROUND(F1064*E1064,)</f>
        <v>6750</v>
      </c>
    </row>
    <row r="1065" spans="1:7" s="7" customFormat="1" ht="12.75">
      <c r="A1065" s="156"/>
      <c r="B1065" s="940" t="s">
        <v>402</v>
      </c>
      <c r="C1065" s="941"/>
      <c r="D1065" s="157" t="s">
        <v>402</v>
      </c>
      <c r="E1065" s="219"/>
      <c r="F1065" s="158"/>
      <c r="G1065" s="159">
        <f>ROUND(F1065*E1065,)</f>
        <v>0</v>
      </c>
    </row>
    <row r="1066" spans="1:7" s="7" customFormat="1" ht="13.5" thickBot="1">
      <c r="A1066" s="130"/>
      <c r="B1066" s="942" t="s">
        <v>402</v>
      </c>
      <c r="C1066" s="943"/>
      <c r="D1066" s="104" t="s">
        <v>402</v>
      </c>
      <c r="E1066" s="212"/>
      <c r="F1066" s="105"/>
      <c r="G1066" s="131">
        <f>ROUND(F1066*E1066,)</f>
        <v>0</v>
      </c>
    </row>
    <row r="1067" spans="1:7" s="7" customFormat="1" ht="13.5" thickBot="1">
      <c r="A1067" s="944"/>
      <c r="B1067" s="945"/>
      <c r="C1067" s="946"/>
      <c r="D1067" s="947" t="s">
        <v>418</v>
      </c>
      <c r="E1067" s="948"/>
      <c r="F1067" s="949"/>
      <c r="G1067" s="11">
        <f>SUM(G1064:G1066)</f>
        <v>6750</v>
      </c>
    </row>
    <row r="1068" spans="1:7" s="7" customFormat="1" ht="13.5" thickBot="1">
      <c r="A1068" s="908" t="s">
        <v>1</v>
      </c>
      <c r="B1068" s="910" t="s">
        <v>419</v>
      </c>
      <c r="C1068" s="911"/>
      <c r="D1068" s="911"/>
      <c r="E1068" s="911"/>
      <c r="F1068" s="911"/>
      <c r="G1068" s="912"/>
    </row>
    <row r="1069" spans="1:7" s="7" customFormat="1" ht="13.5" thickBot="1">
      <c r="A1069" s="909"/>
      <c r="B1069" s="913" t="s">
        <v>396</v>
      </c>
      <c r="C1069" s="914"/>
      <c r="D1069" s="95" t="s">
        <v>3</v>
      </c>
      <c r="E1069" s="207" t="s">
        <v>398</v>
      </c>
      <c r="F1069" s="95" t="s">
        <v>397</v>
      </c>
      <c r="G1069" s="113" t="s">
        <v>399</v>
      </c>
    </row>
    <row r="1070" spans="1:7" s="7" customFormat="1" ht="12.75">
      <c r="A1070" s="122"/>
      <c r="B1070" s="160" t="s">
        <v>557</v>
      </c>
      <c r="C1070" s="161"/>
      <c r="D1070" s="109" t="s">
        <v>422</v>
      </c>
      <c r="E1070" s="82">
        <f>_xlfn.IFNA(VLOOKUP(B1070,'sub M. DE OBRA'!$B$4:$E$19997,4,FALSE),0)</f>
        <v>290909.73333333334</v>
      </c>
      <c r="F1070" s="110">
        <v>0.65</v>
      </c>
      <c r="G1070" s="129">
        <f>ROUND(F1070*E1070,)</f>
        <v>189091</v>
      </c>
    </row>
    <row r="1071" spans="1:7" s="7" customFormat="1" ht="12.75">
      <c r="A1071" s="155"/>
      <c r="B1071" s="184"/>
      <c r="C1071" s="185"/>
      <c r="D1071" s="92"/>
      <c r="E1071" s="215"/>
      <c r="F1071" s="101"/>
      <c r="G1071" s="164">
        <f>ROUND(E1071*F1071*C1071,0)</f>
        <v>0</v>
      </c>
    </row>
    <row r="1072" spans="1:7" s="7" customFormat="1" ht="13.5" thickBot="1">
      <c r="A1072" s="165"/>
      <c r="B1072" s="166"/>
      <c r="C1072" s="167"/>
      <c r="D1072" s="168"/>
      <c r="E1072" s="222"/>
      <c r="F1072" s="169"/>
      <c r="G1072" s="170">
        <f>ROUND(E1072*F1072*C1072,0)</f>
        <v>0</v>
      </c>
    </row>
    <row r="1073" spans="1:7" s="7" customFormat="1" ht="13.5" thickBot="1">
      <c r="A1073" s="915" t="s">
        <v>424</v>
      </c>
      <c r="B1073" s="916"/>
      <c r="C1073" s="917"/>
      <c r="D1073" s="918" t="s">
        <v>425</v>
      </c>
      <c r="E1073" s="919"/>
      <c r="F1073" s="920"/>
      <c r="G1073" s="12">
        <f>SUM(G1070:G1072)</f>
        <v>189091</v>
      </c>
    </row>
    <row r="1074" spans="1:7" s="7" customFormat="1" ht="13.5" thickBot="1">
      <c r="A1074" s="921"/>
      <c r="B1074" s="922"/>
      <c r="C1074" s="922"/>
      <c r="D1074" s="923" t="s">
        <v>426</v>
      </c>
      <c r="E1074" s="924"/>
      <c r="F1074" s="925"/>
      <c r="G1074" s="153">
        <f>+G1054+G1061+G1067+G1073</f>
        <v>1095424</v>
      </c>
    </row>
    <row r="1075" spans="1:7" s="7" customFormat="1" ht="13.5" thickBot="1"/>
    <row r="1076" spans="1:7" s="7" customFormat="1" ht="13.5" thickBot="1">
      <c r="A1076" s="950" t="s">
        <v>390</v>
      </c>
      <c r="B1076" s="951"/>
      <c r="C1076" s="951"/>
      <c r="D1076" s="951"/>
      <c r="E1076" s="952"/>
      <c r="F1076" s="42" t="s">
        <v>391</v>
      </c>
      <c r="G1076" s="191">
        <f ca="1">TODAY()</f>
        <v>46071</v>
      </c>
    </row>
    <row r="1077" spans="1:7" s="7" customFormat="1" ht="13.5" thickBot="1">
      <c r="A1077" s="953" t="str">
        <f>+'OFERTA ECONOMICA'!B53</f>
        <v>Suministro e instalación del sistema de puesta a tierra, incluyendo varilla, conductor y accesorios para garantizar la resistencia exigida.</v>
      </c>
      <c r="B1077" s="954"/>
      <c r="C1077" s="954"/>
      <c r="D1077" s="954"/>
      <c r="E1077" s="955"/>
      <c r="F1077" s="44" t="s">
        <v>392</v>
      </c>
      <c r="G1077" s="45" t="str">
        <f>+'OFERTA ECONOMICA'!C53</f>
        <v>un</v>
      </c>
    </row>
    <row r="1078" spans="1:7" s="7" customFormat="1" ht="13.5" thickBot="1">
      <c r="A1078" s="956"/>
      <c r="B1078" s="957"/>
      <c r="C1078" s="957"/>
      <c r="D1078" s="957"/>
      <c r="E1078" s="958"/>
      <c r="F1078" s="44" t="s">
        <v>393</v>
      </c>
      <c r="G1078" s="46">
        <f>+'OFERTA ECONOMICA'!D53</f>
        <v>1</v>
      </c>
    </row>
    <row r="1079" spans="1:7" s="7" customFormat="1" ht="13.5" thickBot="1">
      <c r="A1079" s="959"/>
      <c r="B1079" s="960"/>
      <c r="C1079" s="960"/>
      <c r="D1079" s="960"/>
      <c r="E1079" s="961"/>
      <c r="F1079" s="47" t="s">
        <v>394</v>
      </c>
      <c r="G1079" s="48" t="str">
        <f>+'OFERTA ECONOMICA'!A53</f>
        <v>1.10.6</v>
      </c>
    </row>
    <row r="1080" spans="1:7" s="7" customFormat="1" ht="13.5" thickBot="1">
      <c r="A1080" s="962" t="s">
        <v>1</v>
      </c>
      <c r="B1080" s="963" t="s">
        <v>395</v>
      </c>
      <c r="C1080" s="964"/>
      <c r="D1080" s="964"/>
      <c r="E1080" s="964"/>
      <c r="F1080" s="964"/>
      <c r="G1080" s="965"/>
    </row>
    <row r="1081" spans="1:7" s="7" customFormat="1" ht="13.5" thickBot="1">
      <c r="A1081" s="909"/>
      <c r="B1081" s="913" t="s">
        <v>396</v>
      </c>
      <c r="C1081" s="914"/>
      <c r="D1081" s="95" t="s">
        <v>3</v>
      </c>
      <c r="E1081" s="207" t="s">
        <v>398</v>
      </c>
      <c r="F1081" s="95" t="s">
        <v>439</v>
      </c>
      <c r="G1081" s="113" t="s">
        <v>399</v>
      </c>
    </row>
    <row r="1082" spans="1:7" s="7" customFormat="1" ht="13.5" thickBot="1">
      <c r="A1082" s="114"/>
      <c r="B1082" s="966" t="s">
        <v>538</v>
      </c>
      <c r="C1082" s="967"/>
      <c r="D1082" s="88" t="s">
        <v>539</v>
      </c>
      <c r="E1082" s="214">
        <f>+G1108</f>
        <v>145455</v>
      </c>
      <c r="F1082" s="89">
        <v>0.05</v>
      </c>
      <c r="G1082" s="117">
        <f t="shared" ref="G1082:G1083" si="76">ROUND((E1082*F1082),0)</f>
        <v>7273</v>
      </c>
    </row>
    <row r="1083" spans="1:7" s="7" customFormat="1" ht="12.75">
      <c r="A1083" s="154"/>
      <c r="B1083" s="968"/>
      <c r="C1083" s="969"/>
      <c r="D1083" s="171"/>
      <c r="E1083" s="220"/>
      <c r="F1083" s="93"/>
      <c r="G1083" s="149">
        <f t="shared" si="76"/>
        <v>0</v>
      </c>
    </row>
    <row r="1084" spans="1:7" s="7" customFormat="1" ht="13.5" thickBot="1">
      <c r="A1084" s="970"/>
      <c r="B1084" s="971"/>
      <c r="C1084" s="972"/>
      <c r="D1084" s="973" t="s">
        <v>403</v>
      </c>
      <c r="E1084" s="974"/>
      <c r="F1084" s="975"/>
      <c r="G1084" s="11">
        <f>SUM(G1082:G1083)</f>
        <v>7273</v>
      </c>
    </row>
    <row r="1085" spans="1:7" s="7" customFormat="1" ht="13.5" thickBot="1">
      <c r="A1085" s="908" t="s">
        <v>1</v>
      </c>
      <c r="B1085" s="910" t="s">
        <v>404</v>
      </c>
      <c r="C1085" s="911"/>
      <c r="D1085" s="911"/>
      <c r="E1085" s="911"/>
      <c r="F1085" s="911"/>
      <c r="G1085" s="912"/>
    </row>
    <row r="1086" spans="1:7" s="7" customFormat="1" ht="13.5" thickBot="1">
      <c r="A1086" s="909"/>
      <c r="B1086" s="913" t="s">
        <v>396</v>
      </c>
      <c r="C1086" s="914"/>
      <c r="D1086" s="95" t="s">
        <v>3</v>
      </c>
      <c r="E1086" s="207" t="s">
        <v>398</v>
      </c>
      <c r="F1086" s="95" t="s">
        <v>397</v>
      </c>
      <c r="G1086" s="113" t="s">
        <v>399</v>
      </c>
    </row>
    <row r="1087" spans="1:7" s="7" customFormat="1" ht="13.5" thickBot="1">
      <c r="A1087" s="178"/>
      <c r="B1087" s="926" t="s">
        <v>569</v>
      </c>
      <c r="C1087" s="927"/>
      <c r="D1087" s="88" t="s">
        <v>12</v>
      </c>
      <c r="E1087" s="221">
        <f>+(95776/4)*1.19</f>
        <v>28493.359999999997</v>
      </c>
      <c r="F1087" s="180">
        <v>8</v>
      </c>
      <c r="G1087" s="181">
        <f t="shared" ref="G1087:G1093" si="77">ROUND(E1087*F1087,)</f>
        <v>227947</v>
      </c>
    </row>
    <row r="1088" spans="1:7" s="7" customFormat="1" ht="13.5" thickBot="1">
      <c r="A1088" s="178"/>
      <c r="B1088" s="926" t="s">
        <v>570</v>
      </c>
      <c r="C1088" s="927"/>
      <c r="D1088" s="88" t="s">
        <v>496</v>
      </c>
      <c r="E1088" s="221">
        <f>+(30316/3)*1.19</f>
        <v>12025.346666666666</v>
      </c>
      <c r="F1088" s="180">
        <v>5</v>
      </c>
      <c r="G1088" s="181">
        <f t="shared" si="77"/>
        <v>60127</v>
      </c>
    </row>
    <row r="1089" spans="1:7" s="7" customFormat="1" ht="13.5" thickBot="1">
      <c r="A1089" s="178"/>
      <c r="B1089" s="926" t="s">
        <v>571</v>
      </c>
      <c r="C1089" s="927"/>
      <c r="D1089" s="88" t="s">
        <v>55</v>
      </c>
      <c r="E1089" s="221">
        <f>55755*1.19</f>
        <v>66348.45</v>
      </c>
      <c r="F1089" s="180">
        <v>1</v>
      </c>
      <c r="G1089" s="181">
        <f t="shared" si="77"/>
        <v>66348</v>
      </c>
    </row>
    <row r="1090" spans="1:7" s="7" customFormat="1" ht="13.5" thickBot="1">
      <c r="A1090" s="178"/>
      <c r="B1090" s="926" t="s">
        <v>572</v>
      </c>
      <c r="C1090" s="927"/>
      <c r="D1090" s="88" t="s">
        <v>55</v>
      </c>
      <c r="E1090" s="221">
        <f>29022*1.19</f>
        <v>34536.18</v>
      </c>
      <c r="F1090" s="180">
        <v>1</v>
      </c>
      <c r="G1090" s="181">
        <f t="shared" si="77"/>
        <v>34536</v>
      </c>
    </row>
    <row r="1091" spans="1:7" s="7" customFormat="1" ht="13.5" thickBot="1">
      <c r="A1091" s="178"/>
      <c r="B1091" s="926" t="s">
        <v>573</v>
      </c>
      <c r="C1091" s="927"/>
      <c r="D1091" s="88" t="s">
        <v>55</v>
      </c>
      <c r="E1091" s="221">
        <f>275954*1.19</f>
        <v>328385.26</v>
      </c>
      <c r="F1091" s="180">
        <v>1</v>
      </c>
      <c r="G1091" s="181">
        <f t="shared" si="77"/>
        <v>328385</v>
      </c>
    </row>
    <row r="1092" spans="1:7" s="7" customFormat="1" ht="13.5" thickBot="1">
      <c r="A1092" s="178"/>
      <c r="B1092" s="926" t="s">
        <v>574</v>
      </c>
      <c r="C1092" s="927"/>
      <c r="D1092" s="88" t="s">
        <v>55</v>
      </c>
      <c r="E1092" s="221">
        <f>10883*1.19</f>
        <v>12950.769999999999</v>
      </c>
      <c r="F1092" s="180">
        <v>2</v>
      </c>
      <c r="G1092" s="181">
        <f t="shared" si="77"/>
        <v>25902</v>
      </c>
    </row>
    <row r="1093" spans="1:7" s="7" customFormat="1" ht="13.5" thickBot="1">
      <c r="A1093" s="178"/>
      <c r="B1093" s="926" t="s">
        <v>575</v>
      </c>
      <c r="C1093" s="927"/>
      <c r="D1093" s="88" t="s">
        <v>12</v>
      </c>
      <c r="E1093" s="221">
        <f>+(86096/8)*1.19</f>
        <v>12806.779999999999</v>
      </c>
      <c r="F1093" s="180">
        <v>8</v>
      </c>
      <c r="G1093" s="181">
        <f t="shared" si="77"/>
        <v>102454</v>
      </c>
    </row>
    <row r="1094" spans="1:7" s="7" customFormat="1" ht="13.5" thickBot="1">
      <c r="A1094" s="122"/>
      <c r="B1094" s="928"/>
      <c r="C1094" s="929"/>
      <c r="D1094" s="92"/>
      <c r="E1094" s="251"/>
      <c r="F1094" s="287"/>
      <c r="G1094" s="149">
        <f t="shared" ref="G1094:G1095" si="78">ROUND((E1094*F1094),0)</f>
        <v>0</v>
      </c>
    </row>
    <row r="1095" spans="1:7" s="7" customFormat="1" ht="13.5" thickBot="1">
      <c r="A1095" s="155"/>
      <c r="B1095" s="930"/>
      <c r="C1095" s="931"/>
      <c r="D1095" s="88"/>
      <c r="E1095" s="214"/>
      <c r="F1095" s="89"/>
      <c r="G1095" s="149">
        <f t="shared" si="78"/>
        <v>0</v>
      </c>
    </row>
    <row r="1096" spans="1:7" s="7" customFormat="1" ht="13.5" thickBot="1">
      <c r="A1096" s="932"/>
      <c r="B1096" s="933"/>
      <c r="C1096" s="934"/>
      <c r="D1096" s="935" t="s">
        <v>415</v>
      </c>
      <c r="E1096" s="936"/>
      <c r="F1096" s="937"/>
      <c r="G1096" s="18">
        <f>SUM(G1087:G1095)</f>
        <v>845699</v>
      </c>
    </row>
    <row r="1097" spans="1:7" s="7" customFormat="1" ht="13.5" thickBot="1">
      <c r="A1097" s="908" t="s">
        <v>1</v>
      </c>
      <c r="B1097" s="910" t="s">
        <v>416</v>
      </c>
      <c r="C1097" s="911"/>
      <c r="D1097" s="911"/>
      <c r="E1097" s="911"/>
      <c r="F1097" s="911"/>
      <c r="G1097" s="912"/>
    </row>
    <row r="1098" spans="1:7" s="7" customFormat="1" ht="13.5" thickBot="1">
      <c r="A1098" s="909"/>
      <c r="B1098" s="913" t="s">
        <v>396</v>
      </c>
      <c r="C1098" s="914"/>
      <c r="D1098" s="95" t="s">
        <v>3</v>
      </c>
      <c r="E1098" s="207" t="s">
        <v>398</v>
      </c>
      <c r="F1098" s="95" t="s">
        <v>397</v>
      </c>
      <c r="G1098" s="113" t="s">
        <v>399</v>
      </c>
    </row>
    <row r="1099" spans="1:7" s="7" customFormat="1" ht="13.5" thickBot="1">
      <c r="A1099" s="127"/>
      <c r="B1099" s="938" t="s">
        <v>436</v>
      </c>
      <c r="C1099" s="939"/>
      <c r="D1099" s="104" t="s">
        <v>28</v>
      </c>
      <c r="E1099" s="212">
        <v>22500</v>
      </c>
      <c r="F1099" s="89">
        <v>1</v>
      </c>
      <c r="G1099" s="159">
        <f>ROUND(F1099*E1099,)</f>
        <v>22500</v>
      </c>
    </row>
    <row r="1100" spans="1:7" s="7" customFormat="1" ht="12.75">
      <c r="A1100" s="156"/>
      <c r="B1100" s="940" t="s">
        <v>402</v>
      </c>
      <c r="C1100" s="941"/>
      <c r="D1100" s="157" t="s">
        <v>402</v>
      </c>
      <c r="E1100" s="219"/>
      <c r="F1100" s="158"/>
      <c r="G1100" s="159">
        <f>ROUND(F1100*E1100,)</f>
        <v>0</v>
      </c>
    </row>
    <row r="1101" spans="1:7" s="7" customFormat="1" ht="13.5" thickBot="1">
      <c r="A1101" s="130"/>
      <c r="B1101" s="942" t="s">
        <v>402</v>
      </c>
      <c r="C1101" s="943"/>
      <c r="D1101" s="104" t="s">
        <v>402</v>
      </c>
      <c r="E1101" s="212"/>
      <c r="F1101" s="105"/>
      <c r="G1101" s="131">
        <f>ROUND(F1101*E1101,)</f>
        <v>0</v>
      </c>
    </row>
    <row r="1102" spans="1:7" s="7" customFormat="1" ht="13.5" thickBot="1">
      <c r="A1102" s="944"/>
      <c r="B1102" s="945"/>
      <c r="C1102" s="946"/>
      <c r="D1102" s="947" t="s">
        <v>418</v>
      </c>
      <c r="E1102" s="948"/>
      <c r="F1102" s="949"/>
      <c r="G1102" s="11">
        <f>SUM(G1099:G1101)</f>
        <v>22500</v>
      </c>
    </row>
    <row r="1103" spans="1:7" s="7" customFormat="1" ht="13.5" thickBot="1">
      <c r="A1103" s="908" t="s">
        <v>1</v>
      </c>
      <c r="B1103" s="910" t="s">
        <v>419</v>
      </c>
      <c r="C1103" s="911"/>
      <c r="D1103" s="911"/>
      <c r="E1103" s="911"/>
      <c r="F1103" s="911"/>
      <c r="G1103" s="912"/>
    </row>
    <row r="1104" spans="1:7" s="7" customFormat="1" ht="13.5" thickBot="1">
      <c r="A1104" s="909"/>
      <c r="B1104" s="913" t="s">
        <v>396</v>
      </c>
      <c r="C1104" s="914"/>
      <c r="D1104" s="95" t="s">
        <v>3</v>
      </c>
      <c r="E1104" s="207" t="s">
        <v>398</v>
      </c>
      <c r="F1104" s="95" t="s">
        <v>397</v>
      </c>
      <c r="G1104" s="113" t="s">
        <v>399</v>
      </c>
    </row>
    <row r="1105" spans="1:7" s="7" customFormat="1" ht="12.75">
      <c r="A1105" s="122"/>
      <c r="B1105" s="160" t="s">
        <v>466</v>
      </c>
      <c r="C1105" s="161"/>
      <c r="D1105" s="109" t="s">
        <v>422</v>
      </c>
      <c r="E1105" s="82">
        <f>_xlfn.IFNA(VLOOKUP(B1105,'sub M. DE OBRA'!$B$4:$E$19997,4,FALSE),0)</f>
        <v>290909.73333333334</v>
      </c>
      <c r="F1105" s="110">
        <v>0.5</v>
      </c>
      <c r="G1105" s="129">
        <f>ROUND(F1105*E1105,)</f>
        <v>145455</v>
      </c>
    </row>
    <row r="1106" spans="1:7" s="7" customFormat="1" ht="12.75">
      <c r="A1106" s="155"/>
      <c r="B1106" s="184"/>
      <c r="C1106" s="185"/>
      <c r="D1106" s="92"/>
      <c r="E1106" s="215"/>
      <c r="F1106" s="101"/>
      <c r="G1106" s="164">
        <f>ROUND(E1106*F1106*C1106,0)</f>
        <v>0</v>
      </c>
    </row>
    <row r="1107" spans="1:7" s="7" customFormat="1" ht="13.5" thickBot="1">
      <c r="A1107" s="165"/>
      <c r="B1107" s="166"/>
      <c r="C1107" s="167"/>
      <c r="D1107" s="168"/>
      <c r="E1107" s="222"/>
      <c r="F1107" s="169"/>
      <c r="G1107" s="170">
        <f>ROUND(E1107*F1107*C1107,0)</f>
        <v>0</v>
      </c>
    </row>
    <row r="1108" spans="1:7" s="7" customFormat="1" ht="13.5" thickBot="1">
      <c r="A1108" s="915" t="s">
        <v>424</v>
      </c>
      <c r="B1108" s="916"/>
      <c r="C1108" s="917"/>
      <c r="D1108" s="918" t="s">
        <v>425</v>
      </c>
      <c r="E1108" s="919"/>
      <c r="F1108" s="920"/>
      <c r="G1108" s="12">
        <f>SUM(G1105:G1107)</f>
        <v>145455</v>
      </c>
    </row>
    <row r="1109" spans="1:7" s="7" customFormat="1" ht="13.5" thickBot="1">
      <c r="A1109" s="921"/>
      <c r="B1109" s="922"/>
      <c r="C1109" s="922"/>
      <c r="D1109" s="923" t="s">
        <v>426</v>
      </c>
      <c r="E1109" s="924"/>
      <c r="F1109" s="925"/>
      <c r="G1109" s="153">
        <f>+G1084+G1096+G1102+G1108</f>
        <v>1020927</v>
      </c>
    </row>
    <row r="1110" spans="1:7" s="7" customFormat="1" ht="13.5" thickBot="1"/>
    <row r="1111" spans="1:7" s="7" customFormat="1" ht="13.5" thickBot="1">
      <c r="A1111" s="950" t="s">
        <v>390</v>
      </c>
      <c r="B1111" s="951"/>
      <c r="C1111" s="951"/>
      <c r="D1111" s="951"/>
      <c r="E1111" s="952"/>
      <c r="F1111" s="42" t="s">
        <v>391</v>
      </c>
      <c r="G1111" s="191">
        <f ca="1">TODAY()</f>
        <v>46071</v>
      </c>
    </row>
    <row r="1112" spans="1:7" s="7" customFormat="1" ht="13.5" thickBot="1">
      <c r="A1112" s="953" t="str">
        <f>+'OFERTA ECONOMICA'!B54</f>
        <v>Suministro e instalación de caja 20x20 con tomacorriente GFCI en tuberías IMC 1⁄2", incluyendo todos los elementos y accesorios necesarios para garantizar una instalación segura y funcional.</v>
      </c>
      <c r="B1112" s="954"/>
      <c r="C1112" s="954"/>
      <c r="D1112" s="954"/>
      <c r="E1112" s="955"/>
      <c r="F1112" s="44" t="s">
        <v>392</v>
      </c>
      <c r="G1112" s="45" t="str">
        <f>+'OFERTA ECONOMICA'!C54</f>
        <v>un</v>
      </c>
    </row>
    <row r="1113" spans="1:7" s="7" customFormat="1" ht="13.5" thickBot="1">
      <c r="A1113" s="956"/>
      <c r="B1113" s="957"/>
      <c r="C1113" s="957"/>
      <c r="D1113" s="957"/>
      <c r="E1113" s="958"/>
      <c r="F1113" s="44" t="s">
        <v>393</v>
      </c>
      <c r="G1113" s="46">
        <f>+'OFERTA ECONOMICA'!D54</f>
        <v>4</v>
      </c>
    </row>
    <row r="1114" spans="1:7" s="7" customFormat="1" ht="13.5" thickBot="1">
      <c r="A1114" s="959"/>
      <c r="B1114" s="960"/>
      <c r="C1114" s="960"/>
      <c r="D1114" s="960"/>
      <c r="E1114" s="961"/>
      <c r="F1114" s="47" t="s">
        <v>394</v>
      </c>
      <c r="G1114" s="48" t="str">
        <f>+'OFERTA ECONOMICA'!A54</f>
        <v>1.10.7</v>
      </c>
    </row>
    <row r="1115" spans="1:7" s="7" customFormat="1" ht="13.5" thickBot="1">
      <c r="A1115" s="962" t="s">
        <v>1</v>
      </c>
      <c r="B1115" s="963" t="s">
        <v>395</v>
      </c>
      <c r="C1115" s="964"/>
      <c r="D1115" s="964"/>
      <c r="E1115" s="964"/>
      <c r="F1115" s="964"/>
      <c r="G1115" s="965"/>
    </row>
    <row r="1116" spans="1:7" s="7" customFormat="1" ht="13.5" thickBot="1">
      <c r="A1116" s="909"/>
      <c r="B1116" s="913" t="s">
        <v>396</v>
      </c>
      <c r="C1116" s="914"/>
      <c r="D1116" s="95" t="s">
        <v>3</v>
      </c>
      <c r="E1116" s="207" t="s">
        <v>398</v>
      </c>
      <c r="F1116" s="95" t="s">
        <v>439</v>
      </c>
      <c r="G1116" s="113" t="s">
        <v>399</v>
      </c>
    </row>
    <row r="1117" spans="1:7" s="7" customFormat="1" ht="13.5" thickBot="1">
      <c r="A1117" s="114"/>
      <c r="B1117" s="966" t="s">
        <v>538</v>
      </c>
      <c r="C1117" s="967"/>
      <c r="D1117" s="88" t="s">
        <v>539</v>
      </c>
      <c r="E1117" s="214">
        <f>+G1146</f>
        <v>53236</v>
      </c>
      <c r="F1117" s="89">
        <v>0.05</v>
      </c>
      <c r="G1117" s="117">
        <f t="shared" ref="G1117:G1118" si="79">ROUND((E1117*F1117),0)</f>
        <v>2662</v>
      </c>
    </row>
    <row r="1118" spans="1:7" s="7" customFormat="1" ht="12.75">
      <c r="A1118" s="154"/>
      <c r="B1118" s="968"/>
      <c r="C1118" s="969"/>
      <c r="D1118" s="171"/>
      <c r="E1118" s="220"/>
      <c r="F1118" s="93"/>
      <c r="G1118" s="149">
        <f t="shared" si="79"/>
        <v>0</v>
      </c>
    </row>
    <row r="1119" spans="1:7" s="7" customFormat="1" ht="13.5" thickBot="1">
      <c r="A1119" s="970"/>
      <c r="B1119" s="971"/>
      <c r="C1119" s="972"/>
      <c r="D1119" s="973" t="s">
        <v>403</v>
      </c>
      <c r="E1119" s="974"/>
      <c r="F1119" s="975"/>
      <c r="G1119" s="11">
        <f>SUM(G1117:G1118)</f>
        <v>2662</v>
      </c>
    </row>
    <row r="1120" spans="1:7" s="7" customFormat="1" ht="13.5" thickBot="1">
      <c r="A1120" s="908" t="s">
        <v>1</v>
      </c>
      <c r="B1120" s="910" t="s">
        <v>404</v>
      </c>
      <c r="C1120" s="911"/>
      <c r="D1120" s="911"/>
      <c r="E1120" s="911"/>
      <c r="F1120" s="911"/>
      <c r="G1120" s="912"/>
    </row>
    <row r="1121" spans="1:7" s="7" customFormat="1" ht="13.5" thickBot="1">
      <c r="A1121" s="909"/>
      <c r="B1121" s="913" t="s">
        <v>396</v>
      </c>
      <c r="C1121" s="914"/>
      <c r="D1121" s="95" t="s">
        <v>3</v>
      </c>
      <c r="E1121" s="207" t="s">
        <v>398</v>
      </c>
      <c r="F1121" s="95" t="s">
        <v>397</v>
      </c>
      <c r="G1121" s="113" t="s">
        <v>399</v>
      </c>
    </row>
    <row r="1122" spans="1:7" s="7" customFormat="1" ht="13.5" thickBot="1">
      <c r="A1122" s="178"/>
      <c r="B1122" s="926" t="s">
        <v>576</v>
      </c>
      <c r="C1122" s="927"/>
      <c r="D1122" s="88" t="s">
        <v>496</v>
      </c>
      <c r="E1122" s="221">
        <v>109900</v>
      </c>
      <c r="F1122" s="180">
        <v>1</v>
      </c>
      <c r="G1122" s="181">
        <f t="shared" ref="G1122:G1131" si="80">ROUND(E1122*F1122,)</f>
        <v>109900</v>
      </c>
    </row>
    <row r="1123" spans="1:7" s="7" customFormat="1" ht="13.5" thickBot="1">
      <c r="A1123" s="178"/>
      <c r="B1123" s="926" t="s">
        <v>562</v>
      </c>
      <c r="C1123" s="927"/>
      <c r="D1123" s="88" t="s">
        <v>496</v>
      </c>
      <c r="E1123" s="221">
        <f>+(154188/9)*1.19</f>
        <v>20387.079999999998</v>
      </c>
      <c r="F1123" s="180">
        <v>3</v>
      </c>
      <c r="G1123" s="181">
        <f t="shared" si="80"/>
        <v>61161</v>
      </c>
    </row>
    <row r="1124" spans="1:7" s="7" customFormat="1" ht="13.5" thickBot="1">
      <c r="A1124" s="178"/>
      <c r="B1124" s="926" t="s">
        <v>563</v>
      </c>
      <c r="C1124" s="927"/>
      <c r="D1124" s="88" t="s">
        <v>496</v>
      </c>
      <c r="E1124" s="221">
        <f>+(13062/3)*1.19</f>
        <v>5181.26</v>
      </c>
      <c r="F1124" s="180">
        <v>0.5</v>
      </c>
      <c r="G1124" s="181">
        <f t="shared" si="80"/>
        <v>2591</v>
      </c>
    </row>
    <row r="1125" spans="1:7" s="7" customFormat="1" ht="13.5" thickBot="1">
      <c r="A1125" s="178"/>
      <c r="B1125" s="926" t="s">
        <v>564</v>
      </c>
      <c r="C1125" s="927"/>
      <c r="D1125" s="88" t="s">
        <v>496</v>
      </c>
      <c r="E1125" s="221">
        <f>+(5800/4)*1.19</f>
        <v>1725.5</v>
      </c>
      <c r="F1125" s="180">
        <v>0.11</v>
      </c>
      <c r="G1125" s="181">
        <f t="shared" si="80"/>
        <v>190</v>
      </c>
    </row>
    <row r="1126" spans="1:7" s="7" customFormat="1" ht="13.5" thickBot="1">
      <c r="A1126" s="178"/>
      <c r="B1126" s="926" t="s">
        <v>565</v>
      </c>
      <c r="C1126" s="927"/>
      <c r="D1126" s="88" t="s">
        <v>496</v>
      </c>
      <c r="E1126" s="221">
        <f>+(3000/2)*1.19</f>
        <v>1785</v>
      </c>
      <c r="F1126" s="180">
        <v>1</v>
      </c>
      <c r="G1126" s="181">
        <f t="shared" si="80"/>
        <v>1785</v>
      </c>
    </row>
    <row r="1127" spans="1:7" s="7" customFormat="1" ht="13.5" thickBot="1">
      <c r="A1127" s="178"/>
      <c r="B1127" s="926" t="s">
        <v>552</v>
      </c>
      <c r="C1127" s="927"/>
      <c r="D1127" s="88" t="s">
        <v>496</v>
      </c>
      <c r="E1127" s="221">
        <f>+(190465/5)*1.19</f>
        <v>45330.67</v>
      </c>
      <c r="F1127" s="180">
        <v>1</v>
      </c>
      <c r="G1127" s="181">
        <f t="shared" si="80"/>
        <v>45331</v>
      </c>
    </row>
    <row r="1128" spans="1:7" s="7" customFormat="1" ht="13.5" thickBot="1">
      <c r="A1128" s="178"/>
      <c r="B1128" s="926" t="s">
        <v>553</v>
      </c>
      <c r="C1128" s="927"/>
      <c r="D1128" s="88" t="s">
        <v>496</v>
      </c>
      <c r="E1128" s="221">
        <f>+(11080/5)*1.19</f>
        <v>2637.04</v>
      </c>
      <c r="F1128" s="180">
        <v>3</v>
      </c>
      <c r="G1128" s="181">
        <f t="shared" si="80"/>
        <v>7911</v>
      </c>
    </row>
    <row r="1129" spans="1:7" s="7" customFormat="1" ht="13.5" thickBot="1">
      <c r="A1129" s="178"/>
      <c r="B1129" s="926" t="s">
        <v>554</v>
      </c>
      <c r="C1129" s="927"/>
      <c r="D1129" s="88" t="s">
        <v>70</v>
      </c>
      <c r="E1129" s="221">
        <f>+(3068416/208)*1.19</f>
        <v>17554.88</v>
      </c>
      <c r="F1129" s="180">
        <v>4</v>
      </c>
      <c r="G1129" s="181">
        <f t="shared" si="80"/>
        <v>70220</v>
      </c>
    </row>
    <row r="1130" spans="1:7" s="7" customFormat="1" ht="13.5" thickBot="1">
      <c r="A1130" s="178"/>
      <c r="B1130" s="926" t="s">
        <v>555</v>
      </c>
      <c r="C1130" s="927"/>
      <c r="D1130" s="88" t="s">
        <v>12</v>
      </c>
      <c r="E1130" s="221">
        <f>+(776160/72)*1.19</f>
        <v>12828.199999999999</v>
      </c>
      <c r="F1130" s="180">
        <v>4</v>
      </c>
      <c r="G1130" s="181">
        <f t="shared" si="80"/>
        <v>51313</v>
      </c>
    </row>
    <row r="1131" spans="1:7" s="7" customFormat="1" ht="13.5" thickBot="1">
      <c r="A1131" s="178"/>
      <c r="B1131" s="926" t="s">
        <v>556</v>
      </c>
      <c r="C1131" s="927"/>
      <c r="D1131" s="88" t="s">
        <v>496</v>
      </c>
      <c r="E1131" s="221">
        <f>+(7632/18)*1.19</f>
        <v>504.56</v>
      </c>
      <c r="F1131" s="180">
        <v>1.5</v>
      </c>
      <c r="G1131" s="181">
        <f t="shared" si="80"/>
        <v>757</v>
      </c>
    </row>
    <row r="1132" spans="1:7" s="7" customFormat="1" ht="13.5" thickBot="1">
      <c r="A1132" s="122"/>
      <c r="B1132" s="928"/>
      <c r="C1132" s="929"/>
      <c r="D1132" s="92"/>
      <c r="E1132" s="251"/>
      <c r="F1132" s="287"/>
      <c r="G1132" s="149">
        <f t="shared" ref="G1132:G1133" si="81">ROUND((E1132*F1132),0)</f>
        <v>0</v>
      </c>
    </row>
    <row r="1133" spans="1:7" s="7" customFormat="1" ht="13.5" thickBot="1">
      <c r="A1133" s="155"/>
      <c r="B1133" s="930"/>
      <c r="C1133" s="931"/>
      <c r="D1133" s="88"/>
      <c r="E1133" s="214"/>
      <c r="F1133" s="89"/>
      <c r="G1133" s="149">
        <f t="shared" si="81"/>
        <v>0</v>
      </c>
    </row>
    <row r="1134" spans="1:7" s="7" customFormat="1" ht="13.5" thickBot="1">
      <c r="A1134" s="932"/>
      <c r="B1134" s="933"/>
      <c r="C1134" s="934"/>
      <c r="D1134" s="935" t="s">
        <v>415</v>
      </c>
      <c r="E1134" s="936"/>
      <c r="F1134" s="937"/>
      <c r="G1134" s="18">
        <f>SUM(G1122:G1133)</f>
        <v>351159</v>
      </c>
    </row>
    <row r="1135" spans="1:7" s="7" customFormat="1" ht="13.5" thickBot="1">
      <c r="A1135" s="908" t="s">
        <v>1</v>
      </c>
      <c r="B1135" s="910" t="s">
        <v>416</v>
      </c>
      <c r="C1135" s="911"/>
      <c r="D1135" s="911"/>
      <c r="E1135" s="911"/>
      <c r="F1135" s="911"/>
      <c r="G1135" s="912"/>
    </row>
    <row r="1136" spans="1:7" s="7" customFormat="1" ht="13.5" thickBot="1">
      <c r="A1136" s="909"/>
      <c r="B1136" s="913" t="s">
        <v>396</v>
      </c>
      <c r="C1136" s="914"/>
      <c r="D1136" s="95" t="s">
        <v>3</v>
      </c>
      <c r="E1136" s="207" t="s">
        <v>398</v>
      </c>
      <c r="F1136" s="95" t="s">
        <v>397</v>
      </c>
      <c r="G1136" s="113" t="s">
        <v>399</v>
      </c>
    </row>
    <row r="1137" spans="1:7" s="7" customFormat="1" ht="13.5" thickBot="1">
      <c r="A1137" s="127"/>
      <c r="B1137" s="938" t="s">
        <v>436</v>
      </c>
      <c r="C1137" s="939"/>
      <c r="D1137" s="104" t="s">
        <v>28</v>
      </c>
      <c r="E1137" s="212">
        <v>22500</v>
      </c>
      <c r="F1137" s="89">
        <v>0.3</v>
      </c>
      <c r="G1137" s="159">
        <f>ROUND(F1137*E1137,)</f>
        <v>6750</v>
      </c>
    </row>
    <row r="1138" spans="1:7" s="7" customFormat="1" ht="12.75">
      <c r="A1138" s="156"/>
      <c r="B1138" s="940" t="s">
        <v>402</v>
      </c>
      <c r="C1138" s="941"/>
      <c r="D1138" s="157" t="s">
        <v>402</v>
      </c>
      <c r="E1138" s="219"/>
      <c r="F1138" s="158"/>
      <c r="G1138" s="159">
        <f>ROUND(F1138*E1138,)</f>
        <v>0</v>
      </c>
    </row>
    <row r="1139" spans="1:7" s="7" customFormat="1" ht="13.5" thickBot="1">
      <c r="A1139" s="130"/>
      <c r="B1139" s="942" t="s">
        <v>402</v>
      </c>
      <c r="C1139" s="943"/>
      <c r="D1139" s="104" t="s">
        <v>402</v>
      </c>
      <c r="E1139" s="212"/>
      <c r="F1139" s="105"/>
      <c r="G1139" s="131">
        <f>ROUND(F1139*E1139,)</f>
        <v>0</v>
      </c>
    </row>
    <row r="1140" spans="1:7" s="7" customFormat="1" ht="13.5" thickBot="1">
      <c r="A1140" s="944"/>
      <c r="B1140" s="945"/>
      <c r="C1140" s="946"/>
      <c r="D1140" s="947" t="s">
        <v>418</v>
      </c>
      <c r="E1140" s="948"/>
      <c r="F1140" s="949"/>
      <c r="G1140" s="11">
        <f>SUM(G1137:G1139)</f>
        <v>6750</v>
      </c>
    </row>
    <row r="1141" spans="1:7" s="7" customFormat="1" ht="13.5" thickBot="1">
      <c r="A1141" s="908" t="s">
        <v>1</v>
      </c>
      <c r="B1141" s="910" t="s">
        <v>419</v>
      </c>
      <c r="C1141" s="911"/>
      <c r="D1141" s="911"/>
      <c r="E1141" s="911"/>
      <c r="F1141" s="911"/>
      <c r="G1141" s="912"/>
    </row>
    <row r="1142" spans="1:7" s="7" customFormat="1" ht="13.5" thickBot="1">
      <c r="A1142" s="909"/>
      <c r="B1142" s="913" t="s">
        <v>396</v>
      </c>
      <c r="C1142" s="914"/>
      <c r="D1142" s="95" t="s">
        <v>3</v>
      </c>
      <c r="E1142" s="207" t="s">
        <v>398</v>
      </c>
      <c r="F1142" s="95" t="s">
        <v>397</v>
      </c>
      <c r="G1142" s="113" t="s">
        <v>399</v>
      </c>
    </row>
    <row r="1143" spans="1:7" s="7" customFormat="1" ht="12.75">
      <c r="A1143" s="122"/>
      <c r="B1143" s="160" t="s">
        <v>557</v>
      </c>
      <c r="C1143" s="161"/>
      <c r="D1143" s="109" t="s">
        <v>422</v>
      </c>
      <c r="E1143" s="82">
        <f>_xlfn.IFNA(VLOOKUP(B1143,'sub M. DE OBRA'!$B$4:$E$19997,4,FALSE),0)</f>
        <v>290909.73333333334</v>
      </c>
      <c r="F1143" s="110">
        <v>0.183</v>
      </c>
      <c r="G1143" s="129">
        <f>ROUND(F1143*E1143,)</f>
        <v>53236</v>
      </c>
    </row>
    <row r="1144" spans="1:7" s="7" customFormat="1" ht="12.75">
      <c r="A1144" s="155"/>
      <c r="B1144" s="184"/>
      <c r="C1144" s="185"/>
      <c r="D1144" s="92"/>
      <c r="E1144" s="215"/>
      <c r="F1144" s="101"/>
      <c r="G1144" s="164">
        <f>ROUND(E1144*F1144*C1144,0)</f>
        <v>0</v>
      </c>
    </row>
    <row r="1145" spans="1:7" s="7" customFormat="1" ht="13.5" thickBot="1">
      <c r="A1145" s="165"/>
      <c r="B1145" s="166"/>
      <c r="C1145" s="167"/>
      <c r="D1145" s="168"/>
      <c r="E1145" s="222"/>
      <c r="F1145" s="169"/>
      <c r="G1145" s="170">
        <f>ROUND(E1145*F1145*C1145,0)</f>
        <v>0</v>
      </c>
    </row>
    <row r="1146" spans="1:7" s="7" customFormat="1" ht="13.5" thickBot="1">
      <c r="A1146" s="915" t="s">
        <v>424</v>
      </c>
      <c r="B1146" s="916"/>
      <c r="C1146" s="917"/>
      <c r="D1146" s="918" t="s">
        <v>425</v>
      </c>
      <c r="E1146" s="919"/>
      <c r="F1146" s="920"/>
      <c r="G1146" s="12">
        <f>SUM(G1143:G1145)</f>
        <v>53236</v>
      </c>
    </row>
    <row r="1147" spans="1:7" s="7" customFormat="1" ht="13.5" thickBot="1">
      <c r="A1147" s="921"/>
      <c r="B1147" s="922"/>
      <c r="C1147" s="922"/>
      <c r="D1147" s="923" t="s">
        <v>426</v>
      </c>
      <c r="E1147" s="924"/>
      <c r="F1147" s="925"/>
      <c r="G1147" s="153">
        <f>+G1119+G1134+G1140+G1146</f>
        <v>413807</v>
      </c>
    </row>
    <row r="1148" spans="1:7" s="7" customFormat="1" ht="13.5" thickBot="1"/>
    <row r="1149" spans="1:7" ht="15" thickBot="1">
      <c r="A1149" s="1006" t="s">
        <v>390</v>
      </c>
      <c r="B1149" s="1007"/>
      <c r="C1149" s="1007"/>
      <c r="D1149" s="1007"/>
      <c r="E1149" s="1007"/>
      <c r="F1149" s="272" t="s">
        <v>391</v>
      </c>
      <c r="G1149" s="43">
        <f ca="1">TODAY()</f>
        <v>46071</v>
      </c>
    </row>
    <row r="1150" spans="1:7" ht="15" thickBot="1">
      <c r="A1150" s="953" t="str">
        <f>+'OFERTA ECONOMICA'!B57</f>
        <v>Retiro de ruanas en mal estado. Incluye transporte interno al sitio de acopio para el cargue.</v>
      </c>
      <c r="B1150" s="954"/>
      <c r="C1150" s="954"/>
      <c r="D1150" s="954"/>
      <c r="E1150" s="955"/>
      <c r="F1150" s="273" t="s">
        <v>392</v>
      </c>
      <c r="G1150" s="45" t="s">
        <v>15</v>
      </c>
    </row>
    <row r="1151" spans="1:7" ht="15" thickBot="1">
      <c r="A1151" s="956"/>
      <c r="B1151" s="957"/>
      <c r="C1151" s="957"/>
      <c r="D1151" s="957"/>
      <c r="E1151" s="958"/>
      <c r="F1151" s="273" t="s">
        <v>393</v>
      </c>
      <c r="G1151" s="46">
        <v>1</v>
      </c>
    </row>
    <row r="1152" spans="1:7" ht="15" thickBot="1">
      <c r="A1152" s="959"/>
      <c r="B1152" s="960"/>
      <c r="C1152" s="960"/>
      <c r="D1152" s="960"/>
      <c r="E1152" s="961"/>
      <c r="F1152" s="274" t="s">
        <v>394</v>
      </c>
      <c r="G1152" s="48" t="s">
        <v>577</v>
      </c>
    </row>
    <row r="1153" spans="1:11" ht="15" thickBot="1">
      <c r="A1153" s="909" t="s">
        <v>1</v>
      </c>
      <c r="B1153" s="1009" t="s">
        <v>438</v>
      </c>
      <c r="C1153" s="1009"/>
      <c r="D1153" s="1009"/>
      <c r="E1153" s="1009"/>
      <c r="F1153" s="1009"/>
      <c r="G1153" s="1011"/>
    </row>
    <row r="1154" spans="1:11" ht="15" thickBot="1">
      <c r="A1154" s="1002"/>
      <c r="B1154" s="913" t="s">
        <v>396</v>
      </c>
      <c r="C1154" s="914"/>
      <c r="D1154" s="95" t="s">
        <v>3</v>
      </c>
      <c r="E1154" s="242" t="s">
        <v>439</v>
      </c>
      <c r="F1154" s="292" t="s">
        <v>398</v>
      </c>
      <c r="G1154" s="113" t="s">
        <v>399</v>
      </c>
    </row>
    <row r="1155" spans="1:11">
      <c r="A1155" s="114"/>
      <c r="B1155" s="930" t="s">
        <v>427</v>
      </c>
      <c r="C1155" s="931"/>
      <c r="D1155" s="88" t="s">
        <v>428</v>
      </c>
      <c r="E1155" s="243">
        <v>0.05</v>
      </c>
      <c r="F1155" s="293">
        <f>+G1172</f>
        <v>6331.384</v>
      </c>
      <c r="G1155" s="117">
        <f t="shared" ref="G1155:G1156" si="82">ROUND((E1155*F1155),0)</f>
        <v>317</v>
      </c>
    </row>
    <row r="1156" spans="1:11" ht="15" thickBot="1">
      <c r="A1156" s="118"/>
      <c r="B1156" s="1012" t="s">
        <v>402</v>
      </c>
      <c r="C1156" s="1013"/>
      <c r="D1156" s="119" t="s">
        <v>402</v>
      </c>
      <c r="E1156" s="244"/>
      <c r="F1156" s="294"/>
      <c r="G1156" s="121">
        <f t="shared" si="82"/>
        <v>0</v>
      </c>
    </row>
    <row r="1157" spans="1:11" ht="15" thickBot="1">
      <c r="A1157" s="1014"/>
      <c r="B1157" s="995"/>
      <c r="C1157" s="995"/>
      <c r="D1157" s="981" t="s">
        <v>415</v>
      </c>
      <c r="E1157" s="981"/>
      <c r="F1157" s="981"/>
      <c r="G1157" s="11">
        <f>SUM(G1155:G1156)</f>
        <v>317</v>
      </c>
    </row>
    <row r="1158" spans="1:11" ht="15" thickBot="1">
      <c r="A1158" s="1002" t="s">
        <v>1</v>
      </c>
      <c r="B1158" s="983" t="s">
        <v>395</v>
      </c>
      <c r="C1158" s="983"/>
      <c r="D1158" s="983"/>
      <c r="E1158" s="983"/>
      <c r="F1158" s="983"/>
      <c r="G1158" s="1003"/>
    </row>
    <row r="1159" spans="1:11" s="7" customFormat="1" ht="13.5" thickBot="1">
      <c r="A1159" s="1002"/>
      <c r="B1159" s="913" t="s">
        <v>396</v>
      </c>
      <c r="C1159" s="914"/>
      <c r="D1159" s="95" t="s">
        <v>3</v>
      </c>
      <c r="E1159" s="242" t="s">
        <v>439</v>
      </c>
      <c r="F1159" s="292" t="s">
        <v>398</v>
      </c>
      <c r="G1159" s="113" t="s">
        <v>399</v>
      </c>
    </row>
    <row r="1160" spans="1:11" ht="15" thickBot="1">
      <c r="A1160" s="122"/>
      <c r="B1160" s="930"/>
      <c r="C1160" s="931"/>
      <c r="D1160" s="88"/>
      <c r="E1160" s="243"/>
      <c r="F1160" s="293"/>
      <c r="G1160" s="117">
        <f t="shared" ref="G1160" si="83">ROUND((E1160*F1160),0)</f>
        <v>0</v>
      </c>
    </row>
    <row r="1161" spans="1:11" ht="15" thickBot="1">
      <c r="A1161" s="123"/>
      <c r="B1161" s="976"/>
      <c r="C1161" s="977"/>
      <c r="D1161" s="88"/>
      <c r="E1161" s="243"/>
      <c r="F1161" s="293"/>
      <c r="G1161" s="124">
        <f t="shared" ref="G1161" si="84">ROUND(E1161*F1161,)</f>
        <v>0</v>
      </c>
    </row>
    <row r="1162" spans="1:11" ht="15" thickBot="1">
      <c r="A1162" s="1017"/>
      <c r="B1162" s="997"/>
      <c r="C1162" s="998"/>
      <c r="D1162" s="981" t="s">
        <v>403</v>
      </c>
      <c r="E1162" s="981"/>
      <c r="F1162" s="981"/>
      <c r="G1162" s="11">
        <f>SUM(G1160:G1161)</f>
        <v>0</v>
      </c>
      <c r="J1162" s="125"/>
      <c r="K1162" s="126"/>
    </row>
    <row r="1163" spans="1:11" ht="15" thickBot="1">
      <c r="A1163" s="1002" t="s">
        <v>1</v>
      </c>
      <c r="B1163" s="983" t="s">
        <v>416</v>
      </c>
      <c r="C1163" s="983"/>
      <c r="D1163" s="983"/>
      <c r="E1163" s="983"/>
      <c r="F1163" s="983"/>
      <c r="G1163" s="1003"/>
    </row>
    <row r="1164" spans="1:11" ht="15" thickBot="1">
      <c r="A1164" s="1002"/>
      <c r="B1164" s="913" t="s">
        <v>396</v>
      </c>
      <c r="C1164" s="914"/>
      <c r="D1164" s="95" t="s">
        <v>3</v>
      </c>
      <c r="E1164" s="242" t="s">
        <v>398</v>
      </c>
      <c r="F1164" s="286" t="s">
        <v>397</v>
      </c>
      <c r="G1164" s="113" t="s">
        <v>399</v>
      </c>
    </row>
    <row r="1165" spans="1:11">
      <c r="A1165" s="127"/>
      <c r="B1165" s="999" t="s">
        <v>435</v>
      </c>
      <c r="C1165" s="1000"/>
      <c r="D1165" s="128" t="s">
        <v>28</v>
      </c>
      <c r="E1165" s="246">
        <v>55000</v>
      </c>
      <c r="F1165" s="295">
        <v>0.02</v>
      </c>
      <c r="G1165" s="129">
        <f>ROUND(F1165*E1165,)</f>
        <v>1100</v>
      </c>
    </row>
    <row r="1166" spans="1:11" ht="15" thickBot="1">
      <c r="A1166" s="130"/>
      <c r="B1166" s="942" t="s">
        <v>436</v>
      </c>
      <c r="C1166" s="943"/>
      <c r="D1166" s="104" t="s">
        <v>28</v>
      </c>
      <c r="E1166" s="247">
        <v>22500</v>
      </c>
      <c r="F1166" s="288">
        <f>+F1165</f>
        <v>0.02</v>
      </c>
      <c r="G1166" s="131">
        <f>ROUND(F1166*E1166,)</f>
        <v>450</v>
      </c>
    </row>
    <row r="1167" spans="1:11" ht="15" thickBot="1">
      <c r="A1167" s="1001"/>
      <c r="B1167" s="979"/>
      <c r="C1167" s="980"/>
      <c r="D1167" s="981" t="s">
        <v>418</v>
      </c>
      <c r="E1167" s="981"/>
      <c r="F1167" s="981"/>
      <c r="G1167" s="11">
        <f>SUM(G1165:G1166)</f>
        <v>1550</v>
      </c>
    </row>
    <row r="1168" spans="1:11" ht="15" thickBot="1">
      <c r="A1168" s="1002" t="s">
        <v>1</v>
      </c>
      <c r="B1168" s="983" t="s">
        <v>419</v>
      </c>
      <c r="C1168" s="983"/>
      <c r="D1168" s="983"/>
      <c r="E1168" s="983"/>
      <c r="F1168" s="983"/>
      <c r="G1168" s="1003"/>
    </row>
    <row r="1169" spans="1:7" ht="15" thickBot="1">
      <c r="A1169" s="1002"/>
      <c r="B1169" s="913" t="s">
        <v>396</v>
      </c>
      <c r="C1169" s="914"/>
      <c r="D1169" s="95" t="s">
        <v>3</v>
      </c>
      <c r="E1169" s="242" t="s">
        <v>4</v>
      </c>
      <c r="F1169" s="289" t="s">
        <v>420</v>
      </c>
      <c r="G1169" s="113" t="s">
        <v>399</v>
      </c>
    </row>
    <row r="1170" spans="1:7" ht="15" thickBot="1">
      <c r="A1170" s="127"/>
      <c r="B1170" s="1075" t="s">
        <v>442</v>
      </c>
      <c r="C1170" s="1076"/>
      <c r="D1170" s="128" t="s">
        <v>422</v>
      </c>
      <c r="E1170" s="243">
        <v>0.02</v>
      </c>
      <c r="F1170" s="82">
        <f>_xlfn.IFNA(VLOOKUP(B1170,'sub M. DE OBRA'!$B$4:$E$19997,4,FALSE),0)</f>
        <v>316569.2</v>
      </c>
      <c r="G1170" s="129">
        <f>+E1170*F1170</f>
        <v>6331.384</v>
      </c>
    </row>
    <row r="1171" spans="1:7">
      <c r="A1171" s="132"/>
      <c r="B1171" s="133"/>
      <c r="C1171" s="134"/>
      <c r="D1171" s="135"/>
      <c r="E1171" s="248"/>
      <c r="F1171" s="296"/>
      <c r="G1171" s="129">
        <f>+E1171*F1171</f>
        <v>0</v>
      </c>
    </row>
    <row r="1172" spans="1:7" ht="15" thickBot="1">
      <c r="A1172" s="1004" t="s">
        <v>424</v>
      </c>
      <c r="B1172" s="988"/>
      <c r="C1172" s="989"/>
      <c r="D1172" s="990" t="s">
        <v>425</v>
      </c>
      <c r="E1172" s="990"/>
      <c r="F1172" s="990"/>
      <c r="G1172" s="12">
        <f>SUM(G1170:G1171)</f>
        <v>6331.384</v>
      </c>
    </row>
    <row r="1173" spans="1:7" ht="15" thickBot="1">
      <c r="A1173" s="1005"/>
      <c r="B1173" s="1005"/>
      <c r="C1173" s="921"/>
      <c r="D1173" s="1041" t="s">
        <v>426</v>
      </c>
      <c r="E1173" s="1041"/>
      <c r="F1173" s="1041"/>
      <c r="G1173" s="137">
        <f>ROUND(G1157+G1162+G1167+G1172,0)</f>
        <v>8198</v>
      </c>
    </row>
    <row r="1174" spans="1:7" ht="15" thickBot="1">
      <c r="E1174" s="41"/>
      <c r="F1174" s="41"/>
    </row>
    <row r="1175" spans="1:7" ht="15" thickBot="1">
      <c r="A1175" s="1077" t="s">
        <v>389</v>
      </c>
      <c r="B1175" s="1078"/>
      <c r="C1175" s="1078"/>
      <c r="D1175" s="1078"/>
      <c r="E1175" s="1078"/>
      <c r="F1175" s="1078"/>
      <c r="G1175" s="1079"/>
    </row>
    <row r="1176" spans="1:7" ht="15" thickBot="1">
      <c r="A1176" s="1006" t="s">
        <v>390</v>
      </c>
      <c r="B1176" s="1007"/>
      <c r="C1176" s="1007"/>
      <c r="D1176" s="1007"/>
      <c r="E1176" s="1007"/>
      <c r="F1176" s="42" t="s">
        <v>391</v>
      </c>
      <c r="G1176" s="43">
        <f ca="1">TODAY()</f>
        <v>46071</v>
      </c>
    </row>
    <row r="1177" spans="1:7" ht="15" thickBot="1">
      <c r="A1177" s="953" t="str">
        <f>+'OFERTA ECONOMICA'!B58</f>
        <v>Cargue manual, transporte y botada de material sobrante de movimientos de tierra, excavaciones, demoliciones y otros retiros. Incluye transportes internos, paleros, derecho de botadero. Se debe hacer en botaderos oficiales autorizados por la entidad competente o hasta el sitio que indique la interventoría. Su medida será en sitio.</v>
      </c>
      <c r="B1177" s="954"/>
      <c r="C1177" s="954"/>
      <c r="D1177" s="954"/>
      <c r="E1177" s="955"/>
      <c r="F1177" s="44" t="s">
        <v>392</v>
      </c>
      <c r="G1177" s="45" t="s">
        <v>28</v>
      </c>
    </row>
    <row r="1178" spans="1:7" ht="15" thickBot="1">
      <c r="A1178" s="956"/>
      <c r="B1178" s="957"/>
      <c r="C1178" s="957"/>
      <c r="D1178" s="957"/>
      <c r="E1178" s="958"/>
      <c r="F1178" s="44" t="s">
        <v>393</v>
      </c>
      <c r="G1178" s="46">
        <v>1</v>
      </c>
    </row>
    <row r="1179" spans="1:7" ht="15" thickBot="1">
      <c r="A1179" s="959"/>
      <c r="B1179" s="960"/>
      <c r="C1179" s="960"/>
      <c r="D1179" s="960"/>
      <c r="E1179" s="961"/>
      <c r="F1179" s="47" t="s">
        <v>394</v>
      </c>
      <c r="G1179" s="48" t="s">
        <v>110</v>
      </c>
    </row>
    <row r="1180" spans="1:7" ht="15" thickBot="1">
      <c r="A1180" s="909" t="s">
        <v>1</v>
      </c>
      <c r="B1180" s="1009" t="s">
        <v>395</v>
      </c>
      <c r="C1180" s="1009"/>
      <c r="D1180" s="1009"/>
      <c r="E1180" s="1009"/>
      <c r="F1180" s="1009"/>
      <c r="G1180" s="1011"/>
    </row>
    <row r="1181" spans="1:7" ht="15" thickBot="1">
      <c r="A1181" s="1002"/>
      <c r="B1181" s="913" t="s">
        <v>396</v>
      </c>
      <c r="C1181" s="914"/>
      <c r="D1181" s="95" t="s">
        <v>3</v>
      </c>
      <c r="E1181" s="207" t="s">
        <v>439</v>
      </c>
      <c r="F1181" s="95" t="s">
        <v>478</v>
      </c>
      <c r="G1181" s="113" t="s">
        <v>399</v>
      </c>
    </row>
    <row r="1182" spans="1:7">
      <c r="A1182" s="114"/>
      <c r="B1182" s="930"/>
      <c r="C1182" s="931"/>
      <c r="D1182" s="88"/>
      <c r="E1182" s="208"/>
      <c r="F1182" s="116"/>
      <c r="G1182" s="117">
        <f>ROUND((E1182*F1182),0)</f>
        <v>0</v>
      </c>
    </row>
    <row r="1183" spans="1:7" ht="15" thickBot="1">
      <c r="A1183" s="1014"/>
      <c r="B1183" s="995"/>
      <c r="C1183" s="995"/>
      <c r="D1183" s="981" t="s">
        <v>403</v>
      </c>
      <c r="E1183" s="981"/>
      <c r="F1183" s="981"/>
      <c r="G1183" s="11">
        <f>SUM(G1182:G1182)</f>
        <v>0</v>
      </c>
    </row>
    <row r="1184" spans="1:7" ht="15" thickBot="1">
      <c r="A1184" s="1002" t="s">
        <v>1</v>
      </c>
      <c r="B1184" s="983" t="s">
        <v>404</v>
      </c>
      <c r="C1184" s="983"/>
      <c r="D1184" s="983"/>
      <c r="E1184" s="983"/>
      <c r="F1184" s="983"/>
      <c r="G1184" s="1003"/>
    </row>
    <row r="1185" spans="1:11" ht="15" thickBot="1">
      <c r="A1185" s="1002"/>
      <c r="B1185" s="913" t="s">
        <v>396</v>
      </c>
      <c r="C1185" s="914"/>
      <c r="D1185" s="95" t="s">
        <v>3</v>
      </c>
      <c r="E1185" s="207" t="s">
        <v>439</v>
      </c>
      <c r="F1185" s="95" t="s">
        <v>478</v>
      </c>
      <c r="G1185" s="113" t="s">
        <v>399</v>
      </c>
    </row>
    <row r="1186" spans="1:11">
      <c r="A1186" s="122"/>
      <c r="B1186" s="976"/>
      <c r="C1186" s="977"/>
      <c r="D1186" s="139"/>
      <c r="E1186" s="208"/>
      <c r="F1186" s="116"/>
      <c r="G1186" s="140">
        <f>ROUND(E1186*F1186,)</f>
        <v>0</v>
      </c>
    </row>
    <row r="1187" spans="1:11" ht="15" thickBot="1">
      <c r="A1187" s="1017"/>
      <c r="B1187" s="997"/>
      <c r="C1187" s="998"/>
      <c r="D1187" s="981" t="s">
        <v>415</v>
      </c>
      <c r="E1187" s="981"/>
      <c r="F1187" s="981"/>
      <c r="G1187" s="11">
        <f>SUM(G1186:G1186)</f>
        <v>0</v>
      </c>
    </row>
    <row r="1188" spans="1:11" ht="15" thickBot="1">
      <c r="A1188" s="1002" t="s">
        <v>1</v>
      </c>
      <c r="B1188" s="983" t="s">
        <v>416</v>
      </c>
      <c r="C1188" s="983"/>
      <c r="D1188" s="983"/>
      <c r="E1188" s="983"/>
      <c r="F1188" s="983"/>
      <c r="G1188" s="1003"/>
    </row>
    <row r="1189" spans="1:11" ht="15" thickBot="1">
      <c r="A1189" s="1002"/>
      <c r="B1189" s="913" t="s">
        <v>396</v>
      </c>
      <c r="C1189" s="914"/>
      <c r="D1189" s="95" t="s">
        <v>3</v>
      </c>
      <c r="E1189" s="207" t="s">
        <v>398</v>
      </c>
      <c r="F1189" s="95" t="s">
        <v>397</v>
      </c>
      <c r="G1189" s="113" t="s">
        <v>399</v>
      </c>
    </row>
    <row r="1190" spans="1:11">
      <c r="A1190" s="127"/>
      <c r="B1190" s="999" t="s">
        <v>578</v>
      </c>
      <c r="C1190" s="1000"/>
      <c r="D1190" s="128" t="s">
        <v>28</v>
      </c>
      <c r="E1190" s="211">
        <v>54500</v>
      </c>
      <c r="F1190" s="115">
        <v>1.3</v>
      </c>
      <c r="G1190" s="129">
        <f>ROUND(F1190*E1190,)</f>
        <v>70850</v>
      </c>
    </row>
    <row r="1191" spans="1:11" ht="15" thickBot="1">
      <c r="A1191" s="130"/>
      <c r="B1191" s="942" t="s">
        <v>436</v>
      </c>
      <c r="C1191" s="943"/>
      <c r="D1191" s="104" t="s">
        <v>28</v>
      </c>
      <c r="E1191" s="212">
        <v>25500</v>
      </c>
      <c r="F1191" s="105">
        <v>1.3</v>
      </c>
      <c r="G1191" s="131">
        <f>ROUND(F1191*E1191,)</f>
        <v>33150</v>
      </c>
    </row>
    <row r="1192" spans="1:11" ht="15" thickBot="1">
      <c r="A1192" s="1001"/>
      <c r="B1192" s="979"/>
      <c r="C1192" s="980"/>
      <c r="D1192" s="981" t="s">
        <v>418</v>
      </c>
      <c r="E1192" s="981"/>
      <c r="F1192" s="981"/>
      <c r="G1192" s="11">
        <f>SUM(G1190:G1191)</f>
        <v>104000</v>
      </c>
    </row>
    <row r="1193" spans="1:11" ht="15" thickBot="1">
      <c r="A1193" s="1002" t="s">
        <v>1</v>
      </c>
      <c r="B1193" s="983" t="s">
        <v>419</v>
      </c>
      <c r="C1193" s="983"/>
      <c r="D1193" s="983"/>
      <c r="E1193" s="983"/>
      <c r="F1193" s="983"/>
      <c r="G1193" s="1003"/>
    </row>
    <row r="1194" spans="1:11" ht="15" thickBot="1">
      <c r="A1194" s="1002"/>
      <c r="B1194" s="913" t="s">
        <v>396</v>
      </c>
      <c r="C1194" s="914"/>
      <c r="D1194" s="95" t="s">
        <v>3</v>
      </c>
      <c r="E1194" s="207" t="s">
        <v>4</v>
      </c>
      <c r="F1194" s="107" t="s">
        <v>420</v>
      </c>
      <c r="G1194" s="113" t="s">
        <v>399</v>
      </c>
    </row>
    <row r="1195" spans="1:11">
      <c r="A1195" s="127"/>
      <c r="B1195" s="1075"/>
      <c r="C1195" s="1076"/>
      <c r="D1195" s="128"/>
      <c r="E1195" s="228"/>
      <c r="F1195" s="115"/>
      <c r="G1195" s="129"/>
    </row>
    <row r="1196" spans="1:11" ht="15" thickBot="1">
      <c r="A1196" s="1004" t="s">
        <v>424</v>
      </c>
      <c r="B1196" s="988"/>
      <c r="C1196" s="989"/>
      <c r="D1196" s="990" t="s">
        <v>425</v>
      </c>
      <c r="E1196" s="990"/>
      <c r="F1196" s="990"/>
      <c r="G1196" s="12">
        <f>SUM(G1195:G1195)</f>
        <v>0</v>
      </c>
    </row>
    <row r="1197" spans="1:11" ht="15" thickBot="1">
      <c r="A1197" s="1005"/>
      <c r="B1197" s="1005"/>
      <c r="C1197" s="1005"/>
      <c r="D1197" s="1041" t="s">
        <v>426</v>
      </c>
      <c r="E1197" s="1041"/>
      <c r="F1197" s="1041"/>
      <c r="G1197" s="141">
        <f>+G1183+G1187+G1192+G1196</f>
        <v>104000</v>
      </c>
    </row>
    <row r="1198" spans="1:11" s="7" customFormat="1" ht="15" thickBot="1">
      <c r="A1198" s="49"/>
      <c r="B1198" s="49"/>
      <c r="C1198" s="49"/>
      <c r="D1198" s="49"/>
      <c r="E1198" s="49"/>
      <c r="F1198" s="49"/>
      <c r="G1198" s="49"/>
      <c r="H1198" s="49"/>
      <c r="I1198" s="49"/>
      <c r="J1198" s="49"/>
      <c r="K1198" s="49"/>
    </row>
    <row r="1199" spans="1:11" ht="15" thickBot="1">
      <c r="A1199" s="1006" t="s">
        <v>390</v>
      </c>
      <c r="B1199" s="1007"/>
      <c r="C1199" s="1007"/>
      <c r="D1199" s="1007"/>
      <c r="E1199" s="1007"/>
      <c r="F1199" s="272" t="s">
        <v>391</v>
      </c>
      <c r="G1199" s="43">
        <f ca="1">TODAY()</f>
        <v>46071</v>
      </c>
    </row>
    <row r="1200" spans="1:11" ht="15" thickBot="1">
      <c r="A1200" s="953" t="str">
        <f>+'OFERTA ECONOMICA'!B60</f>
        <v>Desmonte y retiro de remates laterales, frontales y canoas metálicas en mal estado existentes en cubiertas; Incluye el retiro y el  traslado  del  material  al  sitio  donde indique  la interventoría y/o su disposición final. Trabajos en  alturas mayores  a  10  mts.  Incluye  personal  certificado  para trabajos en alturas.</v>
      </c>
      <c r="B1200" s="954"/>
      <c r="C1200" s="954"/>
      <c r="D1200" s="954"/>
      <c r="E1200" s="955"/>
      <c r="F1200" s="273" t="s">
        <v>392</v>
      </c>
      <c r="G1200" s="45" t="s">
        <v>12</v>
      </c>
    </row>
    <row r="1201" spans="1:12" ht="15" thickBot="1">
      <c r="A1201" s="956"/>
      <c r="B1201" s="957"/>
      <c r="C1201" s="957"/>
      <c r="D1201" s="957"/>
      <c r="E1201" s="958"/>
      <c r="F1201" s="273" t="s">
        <v>393</v>
      </c>
      <c r="G1201" s="46">
        <v>1</v>
      </c>
    </row>
    <row r="1202" spans="1:12" ht="15" thickBot="1">
      <c r="A1202" s="959"/>
      <c r="B1202" s="960"/>
      <c r="C1202" s="960"/>
      <c r="D1202" s="960"/>
      <c r="E1202" s="961"/>
      <c r="F1202" s="274" t="s">
        <v>394</v>
      </c>
      <c r="G1202" s="48" t="s">
        <v>114</v>
      </c>
    </row>
    <row r="1203" spans="1:12" s="7" customFormat="1" ht="15" thickBot="1">
      <c r="A1203" s="1063" t="s">
        <v>1</v>
      </c>
      <c r="B1203" s="1064" t="s">
        <v>395</v>
      </c>
      <c r="C1203" s="1064"/>
      <c r="D1203" s="1064"/>
      <c r="E1203" s="1064"/>
      <c r="F1203" s="1064"/>
      <c r="G1203" s="1065"/>
      <c r="H1203" s="49"/>
      <c r="I1203" s="49"/>
      <c r="J1203" s="49"/>
      <c r="K1203" s="49"/>
    </row>
    <row r="1204" spans="1:12" s="7" customFormat="1" ht="15" thickBot="1">
      <c r="A1204" s="1042"/>
      <c r="B1204" s="1045" t="s">
        <v>396</v>
      </c>
      <c r="C1204" s="1046"/>
      <c r="D1204" s="50" t="s">
        <v>3</v>
      </c>
      <c r="E1204" s="242" t="s">
        <v>397</v>
      </c>
      <c r="F1204" s="275" t="s">
        <v>398</v>
      </c>
      <c r="G1204" s="52" t="s">
        <v>399</v>
      </c>
      <c r="H1204" s="49"/>
      <c r="I1204" s="49"/>
      <c r="J1204" s="49"/>
      <c r="K1204" s="49"/>
    </row>
    <row r="1205" spans="1:12" s="7" customFormat="1" ht="15" thickBot="1">
      <c r="A1205" s="87"/>
      <c r="B1205" s="930" t="s">
        <v>427</v>
      </c>
      <c r="C1205" s="931"/>
      <c r="D1205" s="88" t="s">
        <v>428</v>
      </c>
      <c r="E1205" s="251">
        <f>+G1223</f>
        <v>25312.649720006368</v>
      </c>
      <c r="F1205" s="284">
        <v>0.05</v>
      </c>
      <c r="G1205" s="90">
        <f t="shared" ref="G1205" si="85">ROUND((E1205*F1205),0)</f>
        <v>1266</v>
      </c>
      <c r="H1205" s="49"/>
      <c r="I1205" s="49"/>
      <c r="J1205" s="49"/>
      <c r="K1205" s="49"/>
    </row>
    <row r="1206" spans="1:12" s="203" customFormat="1" ht="12.75">
      <c r="A1206" s="200"/>
      <c r="B1206" s="968" t="s">
        <v>429</v>
      </c>
      <c r="C1206" s="969"/>
      <c r="D1206" s="92" t="s">
        <v>430</v>
      </c>
      <c r="E1206" s="252">
        <v>4.546E-2</v>
      </c>
      <c r="F1206" s="285">
        <v>101853</v>
      </c>
      <c r="G1206" s="94">
        <f>ROUND((E1206*F1206),0)</f>
        <v>4630</v>
      </c>
      <c r="H1206" s="201"/>
      <c r="I1206" s="202"/>
      <c r="J1206" s="202"/>
      <c r="K1206" s="202"/>
      <c r="L1206" s="202"/>
    </row>
    <row r="1207" spans="1:12" s="7" customFormat="1" ht="15">
      <c r="A1207" s="206"/>
      <c r="B1207" s="968" t="s">
        <v>431</v>
      </c>
      <c r="C1207" s="969"/>
      <c r="D1207" s="92" t="s">
        <v>430</v>
      </c>
      <c r="E1207" s="252">
        <f>0.04546*30</f>
        <v>1.3637999999999999</v>
      </c>
      <c r="F1207" s="328">
        <v>850</v>
      </c>
      <c r="G1207" s="94">
        <f t="shared" ref="G1207:G1209" si="86">ROUND((E1207*F1207),0)</f>
        <v>1159</v>
      </c>
      <c r="H1207" s="204"/>
      <c r="I1207" s="205"/>
      <c r="J1207" s="205"/>
      <c r="K1207" s="205"/>
      <c r="L1207" s="205"/>
    </row>
    <row r="1208" spans="1:12" s="7" customFormat="1">
      <c r="A1208" s="91"/>
      <c r="B1208" s="968" t="s">
        <v>432</v>
      </c>
      <c r="C1208" s="969"/>
      <c r="D1208" s="92" t="s">
        <v>430</v>
      </c>
      <c r="E1208" s="252">
        <v>4.546E-2</v>
      </c>
      <c r="F1208" s="285">
        <v>36500</v>
      </c>
      <c r="G1208" s="94">
        <f t="shared" si="86"/>
        <v>1659</v>
      </c>
      <c r="H1208" s="49"/>
      <c r="I1208" s="49"/>
      <c r="J1208" s="49"/>
      <c r="K1208" s="49"/>
    </row>
    <row r="1209" spans="1:12" s="7" customFormat="1">
      <c r="A1209" s="91"/>
      <c r="B1209" s="968" t="s">
        <v>433</v>
      </c>
      <c r="C1209" s="969"/>
      <c r="D1209" s="92" t="s">
        <v>430</v>
      </c>
      <c r="E1209" s="252">
        <v>4.546E-2</v>
      </c>
      <c r="F1209" s="328">
        <v>448</v>
      </c>
      <c r="G1209" s="94">
        <f t="shared" si="86"/>
        <v>20</v>
      </c>
      <c r="H1209" s="49"/>
      <c r="I1209" s="49"/>
      <c r="J1209" s="49"/>
      <c r="K1209" s="49"/>
    </row>
    <row r="1210" spans="1:12" s="7" customFormat="1" ht="15" thickBot="1">
      <c r="A1210" s="994"/>
      <c r="B1210" s="995"/>
      <c r="C1210" s="995"/>
      <c r="D1210" s="981" t="s">
        <v>403</v>
      </c>
      <c r="E1210" s="981"/>
      <c r="F1210" s="981"/>
      <c r="G1210" s="13">
        <f>SUM(G1205:G1209)</f>
        <v>8734</v>
      </c>
      <c r="H1210" s="49"/>
      <c r="I1210" s="49"/>
      <c r="J1210" s="49"/>
      <c r="K1210" s="49"/>
    </row>
    <row r="1211" spans="1:12" s="7" customFormat="1" ht="15" thickBot="1">
      <c r="A1211" s="982" t="s">
        <v>1</v>
      </c>
      <c r="B1211" s="983" t="s">
        <v>404</v>
      </c>
      <c r="C1211" s="983"/>
      <c r="D1211" s="983"/>
      <c r="E1211" s="983"/>
      <c r="F1211" s="983"/>
      <c r="G1211" s="984"/>
      <c r="H1211" s="49"/>
      <c r="I1211" s="49"/>
      <c r="J1211" s="49"/>
      <c r="K1211" s="49"/>
    </row>
    <row r="1212" spans="1:12" s="7" customFormat="1" ht="15" thickBot="1">
      <c r="A1212" s="982"/>
      <c r="B1212" s="913" t="s">
        <v>396</v>
      </c>
      <c r="C1212" s="914"/>
      <c r="D1212" s="95" t="s">
        <v>3</v>
      </c>
      <c r="E1212" s="242" t="s">
        <v>398</v>
      </c>
      <c r="F1212" s="286" t="s">
        <v>397</v>
      </c>
      <c r="G1212" s="97" t="s">
        <v>399</v>
      </c>
      <c r="H1212" s="49"/>
      <c r="I1212" s="49"/>
      <c r="J1212" s="49"/>
      <c r="K1212" s="49"/>
    </row>
    <row r="1213" spans="1:12" s="7" customFormat="1">
      <c r="A1213" s="98"/>
      <c r="B1213" s="928" t="s">
        <v>434</v>
      </c>
      <c r="C1213" s="929"/>
      <c r="D1213" s="99" t="s">
        <v>55</v>
      </c>
      <c r="E1213" s="253">
        <v>0.3</v>
      </c>
      <c r="F1213" s="287">
        <v>1300</v>
      </c>
      <c r="G1213" s="102">
        <f t="shared" ref="G1213" si="87">ROUND(E1213*F1213,)</f>
        <v>390</v>
      </c>
      <c r="H1213" s="49"/>
      <c r="I1213" s="49"/>
      <c r="J1213" s="49"/>
      <c r="K1213" s="49"/>
    </row>
    <row r="1214" spans="1:12" s="7" customFormat="1" ht="15" thickBot="1">
      <c r="A1214" s="996"/>
      <c r="B1214" s="997"/>
      <c r="C1214" s="998"/>
      <c r="D1214" s="981" t="s">
        <v>415</v>
      </c>
      <c r="E1214" s="981"/>
      <c r="F1214" s="981"/>
      <c r="G1214" s="13">
        <f>SUM(G1213:G1213)</f>
        <v>390</v>
      </c>
      <c r="H1214" s="49"/>
      <c r="I1214" s="49"/>
      <c r="J1214" s="49"/>
      <c r="K1214" s="49"/>
    </row>
    <row r="1215" spans="1:12" s="7" customFormat="1" ht="15" thickBot="1">
      <c r="A1215" s="982" t="s">
        <v>1</v>
      </c>
      <c r="B1215" s="983" t="s">
        <v>416</v>
      </c>
      <c r="C1215" s="983"/>
      <c r="D1215" s="983"/>
      <c r="E1215" s="983"/>
      <c r="F1215" s="983"/>
      <c r="G1215" s="984"/>
      <c r="H1215" s="49"/>
      <c r="I1215" s="49"/>
      <c r="J1215" s="49"/>
      <c r="K1215" s="49"/>
    </row>
    <row r="1216" spans="1:12" s="7" customFormat="1" ht="15" thickBot="1">
      <c r="A1216" s="982"/>
      <c r="B1216" s="913" t="s">
        <v>396</v>
      </c>
      <c r="C1216" s="914"/>
      <c r="D1216" s="95" t="s">
        <v>3</v>
      </c>
      <c r="E1216" s="242" t="s">
        <v>398</v>
      </c>
      <c r="F1216" s="286" t="s">
        <v>397</v>
      </c>
      <c r="G1216" s="97" t="s">
        <v>399</v>
      </c>
      <c r="H1216" s="49"/>
      <c r="I1216" s="49"/>
      <c r="J1216" s="49"/>
      <c r="K1216" s="49"/>
    </row>
    <row r="1217" spans="1:11" s="7" customFormat="1" ht="15" thickBot="1">
      <c r="A1217" s="103"/>
      <c r="B1217" s="942" t="s">
        <v>435</v>
      </c>
      <c r="C1217" s="943"/>
      <c r="D1217" s="104" t="s">
        <v>28</v>
      </c>
      <c r="E1217" s="247">
        <v>55083</v>
      </c>
      <c r="F1217" s="288">
        <v>2.4E-2</v>
      </c>
      <c r="G1217" s="106">
        <f>ROUND(F1217*E1217,)</f>
        <v>1322</v>
      </c>
      <c r="H1217" s="49"/>
      <c r="I1217" s="49"/>
      <c r="J1217" s="49"/>
      <c r="K1217" s="49"/>
    </row>
    <row r="1218" spans="1:11" s="7" customFormat="1" ht="15" thickBot="1">
      <c r="A1218" s="103"/>
      <c r="B1218" s="942" t="s">
        <v>436</v>
      </c>
      <c r="C1218" s="943"/>
      <c r="D1218" s="104" t="s">
        <v>28</v>
      </c>
      <c r="E1218" s="247">
        <v>22500</v>
      </c>
      <c r="F1218" s="288">
        <v>2.4E-2</v>
      </c>
      <c r="G1218" s="106">
        <f>ROUND(F1218*E1218,)</f>
        <v>540</v>
      </c>
      <c r="H1218" s="49"/>
      <c r="I1218" s="49"/>
      <c r="J1218" s="49"/>
      <c r="K1218" s="49"/>
    </row>
    <row r="1219" spans="1:11" s="7" customFormat="1" ht="15" thickBot="1">
      <c r="A1219" s="978"/>
      <c r="B1219" s="979"/>
      <c r="C1219" s="980"/>
      <c r="D1219" s="981" t="s">
        <v>418</v>
      </c>
      <c r="E1219" s="981"/>
      <c r="F1219" s="981"/>
      <c r="G1219" s="13">
        <f>SUM(G1217:G1218)</f>
        <v>1862</v>
      </c>
      <c r="H1219" s="49"/>
      <c r="I1219" s="49"/>
      <c r="J1219" s="49"/>
      <c r="K1219" s="49"/>
    </row>
    <row r="1220" spans="1:11" s="7" customFormat="1" ht="15" thickBot="1">
      <c r="A1220" s="982" t="s">
        <v>1</v>
      </c>
      <c r="B1220" s="983" t="s">
        <v>419</v>
      </c>
      <c r="C1220" s="983"/>
      <c r="D1220" s="983"/>
      <c r="E1220" s="983"/>
      <c r="F1220" s="983"/>
      <c r="G1220" s="984"/>
      <c r="H1220" s="49"/>
      <c r="I1220" s="49"/>
      <c r="J1220" s="49"/>
      <c r="K1220" s="49"/>
    </row>
    <row r="1221" spans="1:11" s="7" customFormat="1" ht="15" thickBot="1">
      <c r="A1221" s="982"/>
      <c r="B1221" s="913" t="s">
        <v>396</v>
      </c>
      <c r="C1221" s="914"/>
      <c r="D1221" s="95" t="s">
        <v>3</v>
      </c>
      <c r="E1221" s="242" t="s">
        <v>4</v>
      </c>
      <c r="F1221" s="289" t="s">
        <v>420</v>
      </c>
      <c r="G1221" s="97" t="s">
        <v>399</v>
      </c>
      <c r="H1221" s="49"/>
      <c r="I1221" s="49"/>
      <c r="J1221" s="49"/>
      <c r="K1221" s="49"/>
    </row>
    <row r="1222" spans="1:11" s="7" customFormat="1">
      <c r="A1222" s="108"/>
      <c r="B1222" s="985" t="s">
        <v>437</v>
      </c>
      <c r="C1222" s="986"/>
      <c r="D1222" s="109" t="s">
        <v>422</v>
      </c>
      <c r="E1222" s="254">
        <v>6.3851047945594736E-2</v>
      </c>
      <c r="F1222" s="82">
        <f>_xlfn.IFNA(VLOOKUP(B1222,'sub M. DE OBRA'!$B$4:$E$19997,4,FALSE),0)</f>
        <v>396432.8</v>
      </c>
      <c r="G1222" s="111">
        <f>+E1222*F1222</f>
        <v>25312.649720006368</v>
      </c>
      <c r="H1222" s="49"/>
      <c r="I1222" s="49"/>
      <c r="J1222" s="49"/>
      <c r="K1222" s="49"/>
    </row>
    <row r="1223" spans="1:11" s="7" customFormat="1" ht="15" thickBot="1">
      <c r="A1223" s="987" t="s">
        <v>424</v>
      </c>
      <c r="B1223" s="988"/>
      <c r="C1223" s="989"/>
      <c r="D1223" s="990" t="s">
        <v>425</v>
      </c>
      <c r="E1223" s="990"/>
      <c r="F1223" s="990"/>
      <c r="G1223" s="14">
        <f>SUM(G1222:G1222)</f>
        <v>25312.649720006368</v>
      </c>
      <c r="H1223" s="49"/>
      <c r="I1223" s="49"/>
      <c r="J1223" s="49"/>
      <c r="K1223" s="49"/>
    </row>
    <row r="1224" spans="1:11" s="7" customFormat="1" ht="15" thickBot="1">
      <c r="A1224" s="991"/>
      <c r="B1224" s="991"/>
      <c r="C1224" s="991"/>
      <c r="D1224" s="992" t="s">
        <v>426</v>
      </c>
      <c r="E1224" s="993"/>
      <c r="F1224" s="993"/>
      <c r="G1224" s="112">
        <f>ROUND(+G1210+G1214+G1219+G1223,)</f>
        <v>36299</v>
      </c>
      <c r="H1224" s="49"/>
      <c r="I1224" s="49"/>
      <c r="J1224" s="49"/>
      <c r="K1224" s="49"/>
    </row>
    <row r="1225" spans="1:11" ht="15" thickBot="1">
      <c r="E1225" s="41"/>
      <c r="F1225" s="41"/>
    </row>
    <row r="1226" spans="1:11" ht="15" thickBot="1">
      <c r="A1226" s="1006" t="s">
        <v>390</v>
      </c>
      <c r="B1226" s="1007"/>
      <c r="C1226" s="1007"/>
      <c r="D1226" s="1007"/>
      <c r="E1226" s="1007"/>
      <c r="F1226" s="42" t="s">
        <v>391</v>
      </c>
      <c r="G1226" s="43">
        <f ca="1">TODAY()</f>
        <v>46071</v>
      </c>
    </row>
    <row r="1227" spans="1:11" ht="20.25" customHeight="1" thickBot="1">
      <c r="A1227" s="953" t="str">
        <f>+'OFERTA ECONOMICA'!B62</f>
        <v>Demolición estructuras de concreto de cualquier resistencia, reforzado o ciclópeo, y en cualquier clase de estructura. incluye retiro de refuerzo y cualquier tipo de acabado (revoques y enchapes) o piso (en losas) e instalaciones embebidas, compresor neumático con martillo, además recuperación de los materiales aprovechables o su transporte hasta el sitio que lo indique la interventoría y/o el cargue, transporte y botada de escombros manual o mecánicamente.</v>
      </c>
      <c r="B1227" s="954"/>
      <c r="C1227" s="954"/>
      <c r="D1227" s="954"/>
      <c r="E1227" s="955"/>
      <c r="F1227" s="44" t="s">
        <v>392</v>
      </c>
      <c r="G1227" s="45" t="s">
        <v>28</v>
      </c>
    </row>
    <row r="1228" spans="1:11" ht="20.25" customHeight="1" thickBot="1">
      <c r="A1228" s="956"/>
      <c r="B1228" s="957"/>
      <c r="C1228" s="957"/>
      <c r="D1228" s="957"/>
      <c r="E1228" s="958"/>
      <c r="F1228" s="44" t="s">
        <v>393</v>
      </c>
      <c r="G1228" s="46">
        <v>1</v>
      </c>
    </row>
    <row r="1229" spans="1:11" ht="20.25" customHeight="1" thickBot="1">
      <c r="A1229" s="959"/>
      <c r="B1229" s="960"/>
      <c r="C1229" s="960"/>
      <c r="D1229" s="960"/>
      <c r="E1229" s="961"/>
      <c r="F1229" s="47" t="s">
        <v>394</v>
      </c>
      <c r="G1229" s="48" t="s">
        <v>117</v>
      </c>
    </row>
    <row r="1230" spans="1:11" s="7" customFormat="1" ht="15" thickBot="1">
      <c r="A1230" s="1063" t="s">
        <v>1</v>
      </c>
      <c r="B1230" s="1064" t="s">
        <v>395</v>
      </c>
      <c r="C1230" s="1064"/>
      <c r="D1230" s="1064"/>
      <c r="E1230" s="1064"/>
      <c r="F1230" s="1064"/>
      <c r="G1230" s="1065"/>
      <c r="H1230" s="49"/>
      <c r="I1230" s="49"/>
      <c r="J1230" s="49"/>
      <c r="K1230" s="49"/>
    </row>
    <row r="1231" spans="1:11" s="7" customFormat="1" ht="15" thickBot="1">
      <c r="A1231" s="1042"/>
      <c r="B1231" s="1045" t="s">
        <v>396</v>
      </c>
      <c r="C1231" s="1046"/>
      <c r="D1231" s="50" t="s">
        <v>3</v>
      </c>
      <c r="E1231" s="207" t="s">
        <v>397</v>
      </c>
      <c r="F1231" s="51" t="s">
        <v>398</v>
      </c>
      <c r="G1231" s="52" t="s">
        <v>399</v>
      </c>
      <c r="H1231" s="49"/>
      <c r="I1231" s="49"/>
      <c r="J1231" s="49"/>
      <c r="K1231" s="49"/>
    </row>
    <row r="1232" spans="1:11" s="7" customFormat="1" ht="15" thickBot="1">
      <c r="A1232" s="53"/>
      <c r="B1232" s="1066" t="s">
        <v>400</v>
      </c>
      <c r="C1232" s="1067"/>
      <c r="D1232" s="54" t="s">
        <v>445</v>
      </c>
      <c r="E1232" s="228">
        <v>0.05</v>
      </c>
      <c r="F1232" s="56">
        <f>+G1252</f>
        <v>198216.4</v>
      </c>
      <c r="G1232" s="57">
        <f t="shared" ref="G1232:G1236" si="88">ROUND((E1232*F1232),0)</f>
        <v>9911</v>
      </c>
      <c r="H1232" s="49"/>
      <c r="I1232" s="49"/>
      <c r="J1232" s="49"/>
      <c r="K1232" s="49"/>
    </row>
    <row r="1233" spans="1:11" s="7" customFormat="1" ht="15" thickBot="1">
      <c r="A1233" s="53"/>
      <c r="B1233" s="1066" t="s">
        <v>579</v>
      </c>
      <c r="C1233" s="1067"/>
      <c r="D1233" s="54" t="s">
        <v>458</v>
      </c>
      <c r="E1233" s="228">
        <v>0.5</v>
      </c>
      <c r="F1233" s="56">
        <v>128950</v>
      </c>
      <c r="G1233" s="57">
        <f t="shared" si="88"/>
        <v>64475</v>
      </c>
      <c r="H1233" s="49"/>
      <c r="I1233" s="49"/>
      <c r="J1233" s="49"/>
      <c r="K1233" s="49"/>
    </row>
    <row r="1234" spans="1:11" s="7" customFormat="1" ht="15" thickBot="1">
      <c r="A1234" s="53"/>
      <c r="B1234" s="1066" t="s">
        <v>580</v>
      </c>
      <c r="C1234" s="1067"/>
      <c r="D1234" s="54" t="s">
        <v>430</v>
      </c>
      <c r="E1234" s="228">
        <v>0.5</v>
      </c>
      <c r="F1234" s="56">
        <v>41650</v>
      </c>
      <c r="G1234" s="57">
        <f t="shared" si="88"/>
        <v>20825</v>
      </c>
      <c r="H1234" s="49"/>
      <c r="I1234" s="49"/>
      <c r="J1234" s="49"/>
      <c r="K1234" s="49"/>
    </row>
    <row r="1235" spans="1:11" s="7" customFormat="1" ht="15" thickBot="1">
      <c r="A1235" s="53"/>
      <c r="B1235" s="1066" t="s">
        <v>581</v>
      </c>
      <c r="C1235" s="1067"/>
      <c r="D1235" s="54" t="s">
        <v>458</v>
      </c>
      <c r="E1235" s="228">
        <v>0.15</v>
      </c>
      <c r="F1235" s="56">
        <v>123900</v>
      </c>
      <c r="G1235" s="57">
        <f t="shared" si="88"/>
        <v>18585</v>
      </c>
      <c r="H1235" s="49"/>
      <c r="I1235" s="49"/>
      <c r="J1235" s="49"/>
      <c r="K1235" s="49"/>
    </row>
    <row r="1236" spans="1:11" s="7" customFormat="1" ht="15" thickBot="1">
      <c r="A1236" s="61"/>
      <c r="B1236" s="1068"/>
      <c r="C1236" s="1069"/>
      <c r="D1236" s="62"/>
      <c r="E1236" s="208"/>
      <c r="F1236" s="56"/>
      <c r="G1236" s="63">
        <f t="shared" si="88"/>
        <v>0</v>
      </c>
      <c r="H1236" s="49"/>
      <c r="I1236" s="49"/>
      <c r="J1236" s="49"/>
      <c r="K1236" s="49"/>
    </row>
    <row r="1237" spans="1:11" s="7" customFormat="1" ht="15" thickBot="1">
      <c r="A1237" s="1070"/>
      <c r="B1237" s="1071"/>
      <c r="C1237" s="1071"/>
      <c r="D1237" s="1052" t="s">
        <v>403</v>
      </c>
      <c r="E1237" s="1052"/>
      <c r="F1237" s="1052"/>
      <c r="G1237" s="35">
        <f>SUM(G1232:G1235)</f>
        <v>113796</v>
      </c>
      <c r="H1237" s="49"/>
      <c r="I1237" s="49"/>
      <c r="J1237" s="49"/>
      <c r="K1237" s="49"/>
    </row>
    <row r="1238" spans="1:11" s="7" customFormat="1" ht="15" thickBot="1">
      <c r="A1238" s="1042" t="s">
        <v>1</v>
      </c>
      <c r="B1238" s="1043" t="s">
        <v>404</v>
      </c>
      <c r="C1238" s="1043"/>
      <c r="D1238" s="1043"/>
      <c r="E1238" s="1043"/>
      <c r="F1238" s="1043"/>
      <c r="G1238" s="1044"/>
      <c r="H1238" s="49"/>
      <c r="I1238" s="49"/>
      <c r="J1238" s="49"/>
      <c r="K1238" s="49"/>
    </row>
    <row r="1239" spans="1:11" s="7" customFormat="1" ht="15" thickBot="1">
      <c r="A1239" s="1042"/>
      <c r="B1239" s="1045" t="s">
        <v>396</v>
      </c>
      <c r="C1239" s="1046"/>
      <c r="D1239" s="50" t="s">
        <v>3</v>
      </c>
      <c r="E1239" s="207" t="s">
        <v>397</v>
      </c>
      <c r="F1239" s="51" t="s">
        <v>398</v>
      </c>
      <c r="G1239" s="52" t="s">
        <v>399</v>
      </c>
      <c r="H1239" s="49"/>
      <c r="I1239" s="49"/>
      <c r="J1239" s="49"/>
      <c r="K1239" s="49"/>
    </row>
    <row r="1240" spans="1:11" s="7" customFormat="1">
      <c r="A1240" s="64"/>
      <c r="B1240" s="1066"/>
      <c r="C1240" s="1067"/>
      <c r="D1240" s="54"/>
      <c r="E1240" s="210"/>
      <c r="F1240" s="56"/>
      <c r="G1240" s="65">
        <f t="shared" ref="G1240" si="89">ROUND(E1240*F1240,)</f>
        <v>0</v>
      </c>
      <c r="H1240" s="49"/>
      <c r="I1240" s="49"/>
      <c r="J1240" s="49"/>
      <c r="K1240" s="49"/>
    </row>
    <row r="1241" spans="1:11" s="7" customFormat="1" ht="15" thickBot="1">
      <c r="A1241" s="1072"/>
      <c r="B1241" s="1073"/>
      <c r="C1241" s="1074"/>
      <c r="D1241" s="1052" t="s">
        <v>415</v>
      </c>
      <c r="E1241" s="1052"/>
      <c r="F1241" s="1052"/>
      <c r="G1241" s="35">
        <f>SUM(G1240:G1240)</f>
        <v>0</v>
      </c>
      <c r="H1241" s="49"/>
      <c r="I1241" s="49"/>
      <c r="J1241" s="49"/>
      <c r="K1241" s="49"/>
    </row>
    <row r="1242" spans="1:11" s="7" customFormat="1" ht="15" thickBot="1">
      <c r="A1242" s="1042" t="s">
        <v>1</v>
      </c>
      <c r="B1242" s="1043" t="s">
        <v>416</v>
      </c>
      <c r="C1242" s="1043"/>
      <c r="D1242" s="1043"/>
      <c r="E1242" s="1043"/>
      <c r="F1242" s="1043"/>
      <c r="G1242" s="1044"/>
      <c r="H1242" s="49"/>
      <c r="I1242" s="49"/>
      <c r="J1242" s="49"/>
      <c r="K1242" s="49"/>
    </row>
    <row r="1243" spans="1:11" s="7" customFormat="1" ht="15" thickBot="1">
      <c r="A1243" s="1042"/>
      <c r="B1243" s="1045" t="s">
        <v>396</v>
      </c>
      <c r="C1243" s="1046"/>
      <c r="D1243" s="50" t="s">
        <v>3</v>
      </c>
      <c r="E1243" s="207" t="s">
        <v>397</v>
      </c>
      <c r="F1243" s="51" t="s">
        <v>398</v>
      </c>
      <c r="G1243" s="52" t="s">
        <v>399</v>
      </c>
      <c r="H1243" s="49"/>
      <c r="I1243" s="49"/>
      <c r="J1243" s="49"/>
      <c r="K1243" s="49"/>
    </row>
    <row r="1244" spans="1:11" s="7" customFormat="1" ht="15" thickBot="1">
      <c r="A1244" s="69"/>
      <c r="B1244" s="938" t="s">
        <v>447</v>
      </c>
      <c r="C1244" s="939"/>
      <c r="D1244" s="70" t="s">
        <v>28</v>
      </c>
      <c r="E1244" s="226">
        <v>1.4</v>
      </c>
      <c r="F1244" s="82">
        <v>55000</v>
      </c>
      <c r="G1244" s="71">
        <f>ROUND(F1244*E1244,)</f>
        <v>77000</v>
      </c>
      <c r="H1244" s="49"/>
      <c r="I1244" s="49"/>
      <c r="J1244" s="49"/>
      <c r="K1244" s="49"/>
    </row>
    <row r="1245" spans="1:11" s="7" customFormat="1" ht="15" thickBot="1">
      <c r="A1245" s="72"/>
      <c r="B1245" s="1047" t="s">
        <v>582</v>
      </c>
      <c r="C1245" s="1048"/>
      <c r="D1245" s="73" t="s">
        <v>28</v>
      </c>
      <c r="E1245" s="226">
        <v>1.4</v>
      </c>
      <c r="F1245" s="82">
        <v>22500</v>
      </c>
      <c r="G1245" s="74">
        <f>ROUND(F1245*E1245,)</f>
        <v>31500</v>
      </c>
      <c r="H1245" s="49"/>
      <c r="I1245" s="49"/>
      <c r="J1245" s="49"/>
      <c r="K1245" s="49"/>
    </row>
    <row r="1246" spans="1:11" s="7" customFormat="1" ht="15" thickBot="1">
      <c r="A1246" s="1049"/>
      <c r="B1246" s="1050"/>
      <c r="C1246" s="1051"/>
      <c r="D1246" s="1052" t="s">
        <v>418</v>
      </c>
      <c r="E1246" s="1052"/>
      <c r="F1246" s="1052"/>
      <c r="G1246" s="35">
        <f>SUM(G1244:G1245)</f>
        <v>108500</v>
      </c>
      <c r="H1246" s="49"/>
      <c r="I1246" s="49"/>
      <c r="J1246" s="49"/>
      <c r="K1246" s="49"/>
    </row>
    <row r="1247" spans="1:11" s="7" customFormat="1" ht="15" thickBot="1">
      <c r="A1247" s="1042" t="s">
        <v>1</v>
      </c>
      <c r="B1247" s="1043" t="s">
        <v>419</v>
      </c>
      <c r="C1247" s="1043"/>
      <c r="D1247" s="1043"/>
      <c r="E1247" s="1043"/>
      <c r="F1247" s="1043"/>
      <c r="G1247" s="1044"/>
      <c r="H1247" s="49"/>
      <c r="I1247" s="49"/>
      <c r="J1247" s="49"/>
      <c r="K1247" s="49"/>
    </row>
    <row r="1248" spans="1:11" s="7" customFormat="1" ht="15" thickBot="1">
      <c r="A1248" s="1042"/>
      <c r="B1248" s="1045" t="s">
        <v>396</v>
      </c>
      <c r="C1248" s="1046"/>
      <c r="D1248" s="50" t="s">
        <v>3</v>
      </c>
      <c r="E1248" s="207" t="s">
        <v>4</v>
      </c>
      <c r="F1248" s="75" t="s">
        <v>420</v>
      </c>
      <c r="G1248" s="52" t="s">
        <v>399</v>
      </c>
      <c r="H1248" s="49"/>
      <c r="I1248" s="49"/>
      <c r="J1248" s="49"/>
      <c r="K1248" s="49"/>
    </row>
    <row r="1249" spans="1:11" s="7" customFormat="1" ht="15" thickBot="1">
      <c r="A1249" s="69"/>
      <c r="B1249" s="985" t="s">
        <v>437</v>
      </c>
      <c r="C1249" s="986"/>
      <c r="D1249" s="70" t="s">
        <v>422</v>
      </c>
      <c r="E1249" s="208">
        <v>0.5</v>
      </c>
      <c r="F1249" s="82">
        <f>_xlfn.IFNA(VLOOKUP(B1249,'sub M. DE OBRA'!$B$4:$E$19997,4,FALSE),0)</f>
        <v>396432.8</v>
      </c>
      <c r="G1249" s="71">
        <f>+E1249*F1249</f>
        <v>198216.4</v>
      </c>
      <c r="H1249" s="49"/>
      <c r="I1249" s="49"/>
      <c r="J1249" s="49"/>
      <c r="K1249" s="49"/>
    </row>
    <row r="1250" spans="1:11" s="7" customFormat="1" ht="15" thickBot="1">
      <c r="A1250" s="69"/>
      <c r="B1250" s="1053"/>
      <c r="C1250" s="1054"/>
      <c r="D1250" s="70"/>
      <c r="E1250" s="208"/>
      <c r="F1250" s="55"/>
      <c r="G1250" s="71">
        <f>+E1250*F1250</f>
        <v>0</v>
      </c>
      <c r="H1250" s="49"/>
      <c r="I1250" s="49"/>
      <c r="J1250" s="49"/>
      <c r="K1250" s="49"/>
    </row>
    <row r="1251" spans="1:11" s="7" customFormat="1">
      <c r="A1251" s="76"/>
      <c r="B1251" s="1053"/>
      <c r="C1251" s="1054"/>
      <c r="D1251" s="70"/>
      <c r="E1251" s="213"/>
      <c r="F1251" s="77"/>
      <c r="G1251" s="71">
        <f>+E1251*F1251</f>
        <v>0</v>
      </c>
      <c r="H1251" s="49"/>
      <c r="I1251" s="49"/>
      <c r="J1251" s="49"/>
      <c r="K1251" s="49"/>
    </row>
    <row r="1252" spans="1:11" s="7" customFormat="1" ht="15" thickBot="1">
      <c r="A1252" s="1055" t="s">
        <v>424</v>
      </c>
      <c r="B1252" s="1056"/>
      <c r="C1252" s="1057"/>
      <c r="D1252" s="1058" t="s">
        <v>425</v>
      </c>
      <c r="E1252" s="1058"/>
      <c r="F1252" s="1058"/>
      <c r="G1252" s="36">
        <f>SUM(G1249:G1251)</f>
        <v>198216.4</v>
      </c>
      <c r="H1252" s="49"/>
      <c r="I1252" s="49"/>
      <c r="J1252" s="49"/>
      <c r="K1252" s="49"/>
    </row>
    <row r="1253" spans="1:11" s="7" customFormat="1" ht="15" thickBot="1">
      <c r="A1253" s="1059"/>
      <c r="B1253" s="1059"/>
      <c r="C1253" s="1060"/>
      <c r="D1253" s="1061" t="s">
        <v>426</v>
      </c>
      <c r="E1253" s="1062"/>
      <c r="F1253" s="1062"/>
      <c r="G1253" s="78">
        <f>ROUND(+G1237+G1241+G1246+G1252,)</f>
        <v>420512</v>
      </c>
      <c r="H1253" s="49"/>
      <c r="I1253" s="49"/>
      <c r="J1253" s="49"/>
      <c r="K1253" s="49"/>
    </row>
    <row r="1254" spans="1:11" s="7" customFormat="1" ht="15" thickBot="1">
      <c r="A1254" s="49"/>
      <c r="B1254" s="49"/>
      <c r="C1254" s="49"/>
      <c r="D1254" s="49"/>
      <c r="E1254" s="49"/>
      <c r="F1254" s="49"/>
      <c r="G1254" s="49"/>
      <c r="H1254" s="49"/>
      <c r="I1254" s="49"/>
      <c r="J1254" s="49"/>
      <c r="K1254" s="49"/>
    </row>
    <row r="1255" spans="1:11" ht="15" thickBot="1">
      <c r="A1255" s="1006" t="s">
        <v>390</v>
      </c>
      <c r="B1255" s="1007"/>
      <c r="C1255" s="1007"/>
      <c r="D1255" s="1007"/>
      <c r="E1255" s="1007"/>
      <c r="F1255" s="42" t="s">
        <v>391</v>
      </c>
      <c r="G1255" s="43">
        <f ca="1">TODAY()</f>
        <v>46071</v>
      </c>
    </row>
    <row r="1256" spans="1:11" ht="15" thickBot="1">
      <c r="A1256" s="953" t="str">
        <f>+'OFERTA ECONOMICA'!B63</f>
        <v>Demolición de muros en ladrillo de espesor  15 a 20 cm, en altura superior a 2.50 m. Incluye cortes con medio mecánico hasta 2", andamios y todos los elementos de protección personal requeridos, así como personal certificado cuando se trate de trabajo en alturas, el transporte y la botada del material.</v>
      </c>
      <c r="B1256" s="954"/>
      <c r="C1256" s="954"/>
      <c r="D1256" s="954"/>
      <c r="E1256" s="955"/>
      <c r="F1256" s="44" t="s">
        <v>392</v>
      </c>
      <c r="G1256" s="45" t="s">
        <v>15</v>
      </c>
    </row>
    <row r="1257" spans="1:11" ht="15" thickBot="1">
      <c r="A1257" s="956"/>
      <c r="B1257" s="957"/>
      <c r="C1257" s="957"/>
      <c r="D1257" s="957"/>
      <c r="E1257" s="958"/>
      <c r="F1257" s="44" t="s">
        <v>393</v>
      </c>
      <c r="G1257" s="46">
        <v>1</v>
      </c>
    </row>
    <row r="1258" spans="1:11" ht="15" thickBot="1">
      <c r="A1258" s="959"/>
      <c r="B1258" s="960"/>
      <c r="C1258" s="960"/>
      <c r="D1258" s="960"/>
      <c r="E1258" s="961"/>
      <c r="F1258" s="47" t="s">
        <v>394</v>
      </c>
      <c r="G1258" s="48" t="s">
        <v>119</v>
      </c>
    </row>
    <row r="1259" spans="1:11" ht="15" thickBot="1">
      <c r="A1259" s="909" t="s">
        <v>1</v>
      </c>
      <c r="B1259" s="1009" t="s">
        <v>438</v>
      </c>
      <c r="C1259" s="1009"/>
      <c r="D1259" s="1009"/>
      <c r="E1259" s="1009"/>
      <c r="F1259" s="1009"/>
      <c r="G1259" s="1011"/>
    </row>
    <row r="1260" spans="1:11" ht="15" thickBot="1">
      <c r="A1260" s="1002"/>
      <c r="B1260" s="913" t="s">
        <v>396</v>
      </c>
      <c r="C1260" s="914"/>
      <c r="D1260" s="95" t="s">
        <v>3</v>
      </c>
      <c r="E1260" s="207" t="s">
        <v>439</v>
      </c>
      <c r="F1260" s="96" t="s">
        <v>398</v>
      </c>
      <c r="G1260" s="113" t="s">
        <v>399</v>
      </c>
    </row>
    <row r="1261" spans="1:11" ht="15" thickBot="1">
      <c r="A1261" s="114"/>
      <c r="B1261" s="930" t="s">
        <v>427</v>
      </c>
      <c r="C1261" s="931"/>
      <c r="D1261" s="88" t="s">
        <v>428</v>
      </c>
      <c r="E1261" s="228">
        <v>0.05</v>
      </c>
      <c r="F1261" s="116">
        <f>+G1278</f>
        <v>33696.788</v>
      </c>
      <c r="G1261" s="117">
        <f t="shared" ref="G1261:G1262" si="90">ROUND((E1261*F1261),0)</f>
        <v>1685</v>
      </c>
    </row>
    <row r="1262" spans="1:11" ht="15" thickBot="1">
      <c r="A1262" s="118"/>
      <c r="B1262" s="1012" t="s">
        <v>441</v>
      </c>
      <c r="C1262" s="1013"/>
      <c r="D1262" s="119" t="s">
        <v>430</v>
      </c>
      <c r="E1262" s="228">
        <v>0.05</v>
      </c>
      <c r="F1262" s="116">
        <v>36500</v>
      </c>
      <c r="G1262" s="121">
        <f t="shared" si="90"/>
        <v>1825</v>
      </c>
    </row>
    <row r="1263" spans="1:11" ht="15" thickBot="1">
      <c r="A1263" s="1014"/>
      <c r="B1263" s="995"/>
      <c r="C1263" s="995"/>
      <c r="D1263" s="981" t="s">
        <v>415</v>
      </c>
      <c r="E1263" s="981"/>
      <c r="F1263" s="981"/>
      <c r="G1263" s="11">
        <f>SUM(G1261:G1262)</f>
        <v>3510</v>
      </c>
    </row>
    <row r="1264" spans="1:11" ht="15" thickBot="1">
      <c r="A1264" s="1002" t="s">
        <v>1</v>
      </c>
      <c r="B1264" s="983" t="s">
        <v>395</v>
      </c>
      <c r="C1264" s="983"/>
      <c r="D1264" s="983"/>
      <c r="E1264" s="983"/>
      <c r="F1264" s="983"/>
      <c r="G1264" s="1003"/>
    </row>
    <row r="1265" spans="1:11" s="7" customFormat="1" ht="13.5" thickBot="1">
      <c r="A1265" s="1002"/>
      <c r="B1265" s="913" t="s">
        <v>396</v>
      </c>
      <c r="C1265" s="914"/>
      <c r="D1265" s="95" t="s">
        <v>3</v>
      </c>
      <c r="E1265" s="207" t="s">
        <v>439</v>
      </c>
      <c r="F1265" s="96" t="s">
        <v>398</v>
      </c>
      <c r="G1265" s="113" t="s">
        <v>399</v>
      </c>
    </row>
    <row r="1266" spans="1:11" ht="15" thickBot="1">
      <c r="A1266" s="122"/>
      <c r="B1266" s="930"/>
      <c r="C1266" s="931"/>
      <c r="D1266" s="88"/>
      <c r="E1266" s="208"/>
      <c r="F1266" s="116"/>
      <c r="G1266" s="117">
        <f t="shared" ref="G1266" si="91">ROUND((E1266*F1266),0)</f>
        <v>0</v>
      </c>
    </row>
    <row r="1267" spans="1:11" ht="15" thickBot="1">
      <c r="A1267" s="123"/>
      <c r="B1267" s="976"/>
      <c r="C1267" s="977"/>
      <c r="D1267" s="88"/>
      <c r="E1267" s="208"/>
      <c r="F1267" s="116"/>
      <c r="G1267" s="124">
        <f t="shared" ref="G1267" si="92">ROUND(E1267*F1267,)</f>
        <v>0</v>
      </c>
    </row>
    <row r="1268" spans="1:11" ht="15" thickBot="1">
      <c r="A1268" s="1017"/>
      <c r="B1268" s="997"/>
      <c r="C1268" s="998"/>
      <c r="D1268" s="981" t="s">
        <v>403</v>
      </c>
      <c r="E1268" s="981"/>
      <c r="F1268" s="981"/>
      <c r="G1268" s="11">
        <f>SUM(G1266:G1267)</f>
        <v>0</v>
      </c>
      <c r="J1268" s="125"/>
      <c r="K1268" s="126"/>
    </row>
    <row r="1269" spans="1:11" ht="15" thickBot="1">
      <c r="A1269" s="1002" t="s">
        <v>1</v>
      </c>
      <c r="B1269" s="983" t="s">
        <v>416</v>
      </c>
      <c r="C1269" s="983"/>
      <c r="D1269" s="983"/>
      <c r="E1269" s="983"/>
      <c r="F1269" s="983"/>
      <c r="G1269" s="1003"/>
    </row>
    <row r="1270" spans="1:11" ht="15" thickBot="1">
      <c r="A1270" s="1002"/>
      <c r="B1270" s="913" t="s">
        <v>396</v>
      </c>
      <c r="C1270" s="914"/>
      <c r="D1270" s="95" t="s">
        <v>3</v>
      </c>
      <c r="E1270" s="207" t="s">
        <v>398</v>
      </c>
      <c r="F1270" s="95" t="s">
        <v>397</v>
      </c>
      <c r="G1270" s="113" t="s">
        <v>399</v>
      </c>
    </row>
    <row r="1271" spans="1:11">
      <c r="A1271" s="127"/>
      <c r="B1271" s="999" t="s">
        <v>435</v>
      </c>
      <c r="C1271" s="1000"/>
      <c r="D1271" s="128" t="s">
        <v>28</v>
      </c>
      <c r="E1271" s="211">
        <v>55000</v>
      </c>
      <c r="F1271" s="115">
        <f>0.15*1.35</f>
        <v>0.20250000000000001</v>
      </c>
      <c r="G1271" s="129">
        <f>ROUND(F1271*E1271,)</f>
        <v>11138</v>
      </c>
    </row>
    <row r="1272" spans="1:11" ht="15" thickBot="1">
      <c r="A1272" s="130"/>
      <c r="B1272" s="942" t="s">
        <v>436</v>
      </c>
      <c r="C1272" s="943"/>
      <c r="D1272" s="104" t="s">
        <v>28</v>
      </c>
      <c r="E1272" s="212">
        <v>22500</v>
      </c>
      <c r="F1272" s="105">
        <f>+F1271</f>
        <v>0.20250000000000001</v>
      </c>
      <c r="G1272" s="131">
        <f>ROUND(F1272*E1272,)</f>
        <v>4556</v>
      </c>
    </row>
    <row r="1273" spans="1:11" ht="15" thickBot="1">
      <c r="A1273" s="1001"/>
      <c r="B1273" s="979"/>
      <c r="C1273" s="980"/>
      <c r="D1273" s="981" t="s">
        <v>418</v>
      </c>
      <c r="E1273" s="981"/>
      <c r="F1273" s="981"/>
      <c r="G1273" s="11">
        <f>SUM(G1271:G1272)</f>
        <v>15694</v>
      </c>
    </row>
    <row r="1274" spans="1:11" ht="15" thickBot="1">
      <c r="A1274" s="1002" t="s">
        <v>1</v>
      </c>
      <c r="B1274" s="983" t="s">
        <v>419</v>
      </c>
      <c r="C1274" s="983"/>
      <c r="D1274" s="983"/>
      <c r="E1274" s="983"/>
      <c r="F1274" s="983"/>
      <c r="G1274" s="1003"/>
    </row>
    <row r="1275" spans="1:11" ht="15" thickBot="1">
      <c r="A1275" s="1002"/>
      <c r="B1275" s="913" t="s">
        <v>396</v>
      </c>
      <c r="C1275" s="914"/>
      <c r="D1275" s="95" t="s">
        <v>3</v>
      </c>
      <c r="E1275" s="207" t="s">
        <v>4</v>
      </c>
      <c r="F1275" s="107" t="s">
        <v>420</v>
      </c>
      <c r="G1275" s="113" t="s">
        <v>399</v>
      </c>
    </row>
    <row r="1276" spans="1:11" ht="15" thickBot="1">
      <c r="A1276" s="127"/>
      <c r="B1276" s="985" t="s">
        <v>437</v>
      </c>
      <c r="C1276" s="986"/>
      <c r="D1276" s="128" t="s">
        <v>422</v>
      </c>
      <c r="E1276" s="228">
        <v>8.5000000000000006E-2</v>
      </c>
      <c r="F1276" s="82">
        <f>_xlfn.IFNA(VLOOKUP(B1276,'sub M. DE OBRA'!$B$4:$E$19997,4,FALSE),0)</f>
        <v>396432.8</v>
      </c>
      <c r="G1276" s="129">
        <f>+E1276*F1276</f>
        <v>33696.788</v>
      </c>
    </row>
    <row r="1277" spans="1:11">
      <c r="A1277" s="132"/>
      <c r="B1277" s="133"/>
      <c r="C1277" s="134"/>
      <c r="D1277" s="135"/>
      <c r="E1277" s="213"/>
      <c r="F1277" s="136"/>
      <c r="G1277" s="129">
        <f>+E1277*F1277</f>
        <v>0</v>
      </c>
    </row>
    <row r="1278" spans="1:11" ht="15" thickBot="1">
      <c r="A1278" s="1004" t="s">
        <v>424</v>
      </c>
      <c r="B1278" s="988"/>
      <c r="C1278" s="989"/>
      <c r="D1278" s="990" t="s">
        <v>425</v>
      </c>
      <c r="E1278" s="990"/>
      <c r="F1278" s="990"/>
      <c r="G1278" s="12">
        <f>SUM(G1276:G1277)</f>
        <v>33696.788</v>
      </c>
    </row>
    <row r="1279" spans="1:11" ht="15" thickBot="1">
      <c r="A1279" s="1005"/>
      <c r="B1279" s="1005"/>
      <c r="C1279" s="921"/>
      <c r="D1279" s="1041" t="s">
        <v>426</v>
      </c>
      <c r="E1279" s="1041"/>
      <c r="F1279" s="1041"/>
      <c r="G1279" s="137">
        <f>ROUND(G1263+G1268+G1273+G1278,0)</f>
        <v>52901</v>
      </c>
    </row>
    <row r="1280" spans="1:11">
      <c r="E1280" s="41"/>
      <c r="F1280" s="41"/>
    </row>
    <row r="1281" spans="1:7" s="7" customFormat="1" ht="13.5" thickBot="1">
      <c r="A1281" s="1036" t="s">
        <v>389</v>
      </c>
      <c r="B1281" s="1037"/>
      <c r="C1281" s="1037"/>
      <c r="D1281" s="1037"/>
      <c r="E1281" s="1037"/>
      <c r="F1281" s="1037"/>
      <c r="G1281" s="1038"/>
    </row>
    <row r="1282" spans="1:7" ht="15" thickBot="1">
      <c r="A1282" s="1006" t="s">
        <v>390</v>
      </c>
      <c r="B1282" s="1007"/>
      <c r="C1282" s="1007"/>
      <c r="D1282" s="1007"/>
      <c r="E1282" s="1007"/>
      <c r="F1282" s="42" t="s">
        <v>391</v>
      </c>
      <c r="G1282" s="43">
        <f ca="1">TODAY()</f>
        <v>46071</v>
      </c>
    </row>
    <row r="1283" spans="1:7" ht="15" thickBot="1">
      <c r="A1283" s="953" t="str">
        <f>+'OFERTA ECONOMICA'!B64</f>
        <v>Suministro, transporte y colocación de revoque para muros interiores,  mortero 1:4 impermeabilizado con Sika 1 o equivalente. Incluye fajas, ranuras, filetes, y todos los demás elementos necesarios para su correcta construcción.</v>
      </c>
      <c r="B1283" s="954"/>
      <c r="C1283" s="954"/>
      <c r="D1283" s="954"/>
      <c r="E1283" s="955"/>
      <c r="F1283" s="44" t="s">
        <v>392</v>
      </c>
      <c r="G1283" s="45" t="s">
        <v>15</v>
      </c>
    </row>
    <row r="1284" spans="1:7" ht="15" thickBot="1">
      <c r="A1284" s="956"/>
      <c r="B1284" s="957"/>
      <c r="C1284" s="957"/>
      <c r="D1284" s="957"/>
      <c r="E1284" s="958"/>
      <c r="F1284" s="44" t="s">
        <v>393</v>
      </c>
      <c r="G1284" s="46">
        <v>1</v>
      </c>
    </row>
    <row r="1285" spans="1:7" ht="15" thickBot="1">
      <c r="A1285" s="959"/>
      <c r="B1285" s="960"/>
      <c r="C1285" s="960"/>
      <c r="D1285" s="960"/>
      <c r="E1285" s="961"/>
      <c r="F1285" s="47" t="s">
        <v>394</v>
      </c>
      <c r="G1285" s="48" t="s">
        <v>121</v>
      </c>
    </row>
    <row r="1286" spans="1:7" ht="15" thickBot="1">
      <c r="A1286" s="1008" t="s">
        <v>1</v>
      </c>
      <c r="B1286" s="1009" t="s">
        <v>395</v>
      </c>
      <c r="C1286" s="1009"/>
      <c r="D1286" s="1009"/>
      <c r="E1286" s="1009"/>
      <c r="F1286" s="1009"/>
      <c r="G1286" s="1010"/>
    </row>
    <row r="1287" spans="1:7" ht="15" thickBot="1">
      <c r="A1287" s="982"/>
      <c r="B1287" s="913" t="s">
        <v>396</v>
      </c>
      <c r="C1287" s="914"/>
      <c r="D1287" s="95" t="s">
        <v>3</v>
      </c>
      <c r="E1287" s="207" t="s">
        <v>398</v>
      </c>
      <c r="F1287" s="95" t="s">
        <v>4</v>
      </c>
      <c r="G1287" s="97" t="s">
        <v>399</v>
      </c>
    </row>
    <row r="1288" spans="1:7">
      <c r="A1288" s="87"/>
      <c r="B1288" s="930" t="s">
        <v>427</v>
      </c>
      <c r="C1288" s="931"/>
      <c r="D1288" s="88" t="s">
        <v>428</v>
      </c>
      <c r="E1288" s="214">
        <f>+G1304</f>
        <v>43636.46</v>
      </c>
      <c r="F1288" s="89">
        <v>0.05</v>
      </c>
      <c r="G1288" s="90">
        <f>ROUND((E1288*F1288),0)</f>
        <v>2182</v>
      </c>
    </row>
    <row r="1289" spans="1:7">
      <c r="A1289" s="91"/>
      <c r="B1289" s="968" t="s">
        <v>462</v>
      </c>
      <c r="C1289" s="969"/>
      <c r="D1289" s="92" t="s">
        <v>430</v>
      </c>
      <c r="E1289" s="215">
        <v>36500</v>
      </c>
      <c r="F1289" s="93">
        <v>0.15</v>
      </c>
      <c r="G1289" s="94">
        <f>ROUND((E1289*F1289),0)</f>
        <v>5475</v>
      </c>
    </row>
    <row r="1290" spans="1:7">
      <c r="A1290" s="91"/>
      <c r="B1290" s="968" t="s">
        <v>463</v>
      </c>
      <c r="C1290" s="969"/>
      <c r="D1290" s="92" t="s">
        <v>430</v>
      </c>
      <c r="E1290" s="215">
        <v>107956</v>
      </c>
      <c r="F1290" s="93">
        <v>6.1149999999999998E-3</v>
      </c>
      <c r="G1290" s="94">
        <f>ROUND((E1290*F1290),0)</f>
        <v>660</v>
      </c>
    </row>
    <row r="1291" spans="1:7" ht="15" thickBot="1">
      <c r="A1291" s="994"/>
      <c r="B1291" s="995"/>
      <c r="C1291" s="995"/>
      <c r="D1291" s="981" t="s">
        <v>403</v>
      </c>
      <c r="E1291" s="981"/>
      <c r="F1291" s="981"/>
      <c r="G1291" s="13">
        <f>SUM(G1288:G1290)</f>
        <v>8317</v>
      </c>
    </row>
    <row r="1292" spans="1:7" ht="15" thickBot="1">
      <c r="A1292" s="982" t="s">
        <v>1</v>
      </c>
      <c r="B1292" s="983" t="s">
        <v>404</v>
      </c>
      <c r="C1292" s="983"/>
      <c r="D1292" s="983"/>
      <c r="E1292" s="983"/>
      <c r="F1292" s="983"/>
      <c r="G1292" s="984"/>
    </row>
    <row r="1293" spans="1:7" ht="15" thickBot="1">
      <c r="A1293" s="982"/>
      <c r="B1293" s="913" t="s">
        <v>396</v>
      </c>
      <c r="C1293" s="914"/>
      <c r="D1293" s="95" t="s">
        <v>3</v>
      </c>
      <c r="E1293" s="207" t="s">
        <v>398</v>
      </c>
      <c r="F1293" s="95" t="s">
        <v>397</v>
      </c>
      <c r="G1293" s="97" t="s">
        <v>399</v>
      </c>
    </row>
    <row r="1294" spans="1:7">
      <c r="A1294" s="98"/>
      <c r="B1294" s="928" t="s">
        <v>537</v>
      </c>
      <c r="C1294" s="929"/>
      <c r="D1294" s="99" t="s">
        <v>55</v>
      </c>
      <c r="E1294" s="216">
        <v>450763</v>
      </c>
      <c r="F1294" s="186">
        <f>0.02*1.05</f>
        <v>2.1000000000000001E-2</v>
      </c>
      <c r="G1294" s="102">
        <f>ROUND(E1294*F1294,)</f>
        <v>9466</v>
      </c>
    </row>
    <row r="1295" spans="1:7">
      <c r="A1295" s="224"/>
      <c r="B1295" s="1039" t="s">
        <v>465</v>
      </c>
      <c r="C1295" s="1040"/>
      <c r="D1295" s="99" t="s">
        <v>411</v>
      </c>
      <c r="E1295" s="216">
        <f>49177/2</f>
        <v>24588.5</v>
      </c>
      <c r="F1295" s="186">
        <f>1*8*F1294</f>
        <v>0.16800000000000001</v>
      </c>
      <c r="G1295" s="102">
        <f>ROUND(E1295*F1295,)</f>
        <v>4131</v>
      </c>
    </row>
    <row r="1296" spans="1:7" ht="15" thickBot="1">
      <c r="A1296" s="996"/>
      <c r="B1296" s="997"/>
      <c r="C1296" s="998"/>
      <c r="D1296" s="981" t="s">
        <v>415</v>
      </c>
      <c r="E1296" s="981"/>
      <c r="F1296" s="981"/>
      <c r="G1296" s="13">
        <f>SUM(G1294:G1295)</f>
        <v>13597</v>
      </c>
    </row>
    <row r="1297" spans="1:7" ht="15" thickBot="1">
      <c r="A1297" s="982" t="s">
        <v>1</v>
      </c>
      <c r="B1297" s="983" t="s">
        <v>416</v>
      </c>
      <c r="C1297" s="983"/>
      <c r="D1297" s="983"/>
      <c r="E1297" s="983"/>
      <c r="F1297" s="983"/>
      <c r="G1297" s="984"/>
    </row>
    <row r="1298" spans="1:7" ht="15" thickBot="1">
      <c r="A1298" s="982"/>
      <c r="B1298" s="913" t="s">
        <v>396</v>
      </c>
      <c r="C1298" s="914"/>
      <c r="D1298" s="95" t="s">
        <v>3</v>
      </c>
      <c r="E1298" s="207" t="s">
        <v>398</v>
      </c>
      <c r="F1298" s="95" t="s">
        <v>397</v>
      </c>
      <c r="G1298" s="97" t="s">
        <v>399</v>
      </c>
    </row>
    <row r="1299" spans="1:7" ht="15" thickBot="1">
      <c r="A1299" s="103"/>
      <c r="B1299" s="1039" t="s">
        <v>455</v>
      </c>
      <c r="C1299" s="1040"/>
      <c r="D1299" s="99" t="s">
        <v>28</v>
      </c>
      <c r="E1299" s="216">
        <v>22500</v>
      </c>
      <c r="F1299" s="186">
        <f>0.02*1.05</f>
        <v>2.1000000000000001E-2</v>
      </c>
      <c r="G1299" s="102">
        <f>ROUND(F1299*E1299,)</f>
        <v>473</v>
      </c>
    </row>
    <row r="1300" spans="1:7" ht="15" thickBot="1">
      <c r="A1300" s="978"/>
      <c r="B1300" s="979"/>
      <c r="C1300" s="980"/>
      <c r="D1300" s="981" t="s">
        <v>418</v>
      </c>
      <c r="E1300" s="981"/>
      <c r="F1300" s="981"/>
      <c r="G1300" s="13">
        <f>SUM(G1299:G1299)</f>
        <v>473</v>
      </c>
    </row>
    <row r="1301" spans="1:7" ht="15" thickBot="1">
      <c r="A1301" s="982" t="s">
        <v>1</v>
      </c>
      <c r="B1301" s="983" t="s">
        <v>419</v>
      </c>
      <c r="C1301" s="983"/>
      <c r="D1301" s="983"/>
      <c r="E1301" s="983"/>
      <c r="F1301" s="983"/>
      <c r="G1301" s="984"/>
    </row>
    <row r="1302" spans="1:7" ht="15" thickBot="1">
      <c r="A1302" s="982"/>
      <c r="B1302" s="913" t="s">
        <v>396</v>
      </c>
      <c r="C1302" s="914"/>
      <c r="D1302" s="95" t="s">
        <v>3</v>
      </c>
      <c r="E1302" s="207" t="s">
        <v>4</v>
      </c>
      <c r="F1302" s="107" t="s">
        <v>420</v>
      </c>
      <c r="G1302" s="97" t="s">
        <v>399</v>
      </c>
    </row>
    <row r="1303" spans="1:7">
      <c r="A1303" s="108"/>
      <c r="B1303" s="985" t="s">
        <v>466</v>
      </c>
      <c r="C1303" s="986"/>
      <c r="D1303" s="109" t="s">
        <v>467</v>
      </c>
      <c r="E1303" s="225">
        <v>0.15</v>
      </c>
      <c r="F1303" s="82">
        <f>_xlfn.IFNA(VLOOKUP(B1303,'sub M. DE OBRA'!$B$4:$E$19997,4,FALSE),0)</f>
        <v>290909.73333333334</v>
      </c>
      <c r="G1303" s="111">
        <f>+E1303*F1303</f>
        <v>43636.46</v>
      </c>
    </row>
    <row r="1304" spans="1:7" ht="15" thickBot="1">
      <c r="A1304" s="987" t="s">
        <v>424</v>
      </c>
      <c r="B1304" s="988"/>
      <c r="C1304" s="989"/>
      <c r="D1304" s="990" t="s">
        <v>425</v>
      </c>
      <c r="E1304" s="990"/>
      <c r="F1304" s="990"/>
      <c r="G1304" s="14">
        <f>SUM(G1303:G1303)</f>
        <v>43636.46</v>
      </c>
    </row>
    <row r="1305" spans="1:7" ht="15" thickBot="1">
      <c r="A1305" s="991"/>
      <c r="B1305" s="991"/>
      <c r="C1305" s="991"/>
      <c r="D1305" s="992" t="s">
        <v>426</v>
      </c>
      <c r="E1305" s="993"/>
      <c r="F1305" s="993"/>
      <c r="G1305" s="112">
        <f>ROUND(+G1291+G1296+G1300+G1304,)</f>
        <v>66023</v>
      </c>
    </row>
    <row r="1306" spans="1:7">
      <c r="E1306" s="41"/>
      <c r="F1306" s="41"/>
    </row>
    <row r="1307" spans="1:7" ht="15" thickBot="1">
      <c r="A1307" s="1036" t="s">
        <v>389</v>
      </c>
      <c r="B1307" s="1037"/>
      <c r="C1307" s="1037"/>
      <c r="D1307" s="1037"/>
      <c r="E1307" s="1037"/>
      <c r="F1307" s="1037"/>
      <c r="G1307" s="1038"/>
    </row>
    <row r="1308" spans="1:7" ht="15" thickBot="1">
      <c r="A1308" s="1006" t="s">
        <v>390</v>
      </c>
      <c r="B1308" s="1007"/>
      <c r="C1308" s="1007"/>
      <c r="D1308" s="1007"/>
      <c r="E1308" s="1007"/>
      <c r="F1308" s="272" t="s">
        <v>391</v>
      </c>
      <c r="G1308" s="43">
        <f ca="1">TODAY()</f>
        <v>46071</v>
      </c>
    </row>
    <row r="1309" spans="1:7" ht="24.75" customHeight="1" thickBot="1">
      <c r="A1309" s="953" t="str">
        <f>+'OFERTA ECONOMICA'!B65</f>
        <v>Aplicación de pintura vinilo tipo exterior Koraza profesional, en cielos o techos de madera en alturas hasta 5.0 m, incluye alfardas, tablilla tablas, en color requerido por diseño o especificación del proyecto; de acuerdo a especificación técnica del fabricante, en preparación de superficie, preparación del producto y aplicación en tres manos para obtener una superficie pareja y homogénea. Incluye andamiaje y todos los elementos necesarios para su correcta aplicación. Trabajos en altura hasta 5.0 m. Incluye personal y andamios certificados para trabajos en alturas.</v>
      </c>
      <c r="B1309" s="954"/>
      <c r="C1309" s="954"/>
      <c r="D1309" s="954"/>
      <c r="E1309" s="955"/>
      <c r="F1309" s="273" t="s">
        <v>392</v>
      </c>
      <c r="G1309" s="45" t="s">
        <v>15</v>
      </c>
    </row>
    <row r="1310" spans="1:7" ht="24.75" customHeight="1" thickBot="1">
      <c r="A1310" s="956"/>
      <c r="B1310" s="957"/>
      <c r="C1310" s="957"/>
      <c r="D1310" s="957"/>
      <c r="E1310" s="958"/>
      <c r="F1310" s="273" t="s">
        <v>393</v>
      </c>
      <c r="G1310" s="46">
        <v>1</v>
      </c>
    </row>
    <row r="1311" spans="1:7" ht="24.75" customHeight="1" thickBot="1">
      <c r="A1311" s="959"/>
      <c r="B1311" s="960"/>
      <c r="C1311" s="960"/>
      <c r="D1311" s="960"/>
      <c r="E1311" s="961"/>
      <c r="F1311" s="274" t="s">
        <v>394</v>
      </c>
      <c r="G1311" s="48" t="s">
        <v>123</v>
      </c>
    </row>
    <row r="1312" spans="1:7" ht="15" thickBot="1">
      <c r="A1312" s="1008" t="s">
        <v>1</v>
      </c>
      <c r="B1312" s="1009" t="s">
        <v>395</v>
      </c>
      <c r="C1312" s="1009"/>
      <c r="D1312" s="1009"/>
      <c r="E1312" s="1009"/>
      <c r="F1312" s="1009"/>
      <c r="G1312" s="1010"/>
    </row>
    <row r="1313" spans="1:7" ht="15" thickBot="1">
      <c r="A1313" s="982"/>
      <c r="B1313" s="913" t="s">
        <v>396</v>
      </c>
      <c r="C1313" s="914"/>
      <c r="D1313" s="95" t="s">
        <v>3</v>
      </c>
      <c r="E1313" s="242" t="s">
        <v>398</v>
      </c>
      <c r="F1313" s="286" t="s">
        <v>4</v>
      </c>
      <c r="G1313" s="97" t="s">
        <v>399</v>
      </c>
    </row>
    <row r="1314" spans="1:7">
      <c r="A1314" s="87"/>
      <c r="B1314" s="930" t="s">
        <v>427</v>
      </c>
      <c r="C1314" s="931"/>
      <c r="D1314" s="88" t="s">
        <v>428</v>
      </c>
      <c r="E1314" s="251">
        <f>+G1333</f>
        <v>27564.679999999997</v>
      </c>
      <c r="F1314" s="284">
        <v>0.05</v>
      </c>
      <c r="G1314" s="90">
        <f t="shared" ref="G1314:G1316" si="93">ROUND((E1314*F1314),0)</f>
        <v>1378</v>
      </c>
    </row>
    <row r="1315" spans="1:7">
      <c r="A1315" s="91"/>
      <c r="B1315" s="968" t="s">
        <v>462</v>
      </c>
      <c r="C1315" s="969"/>
      <c r="D1315" s="92" t="s">
        <v>430</v>
      </c>
      <c r="E1315" s="252">
        <v>36500</v>
      </c>
      <c r="F1315" s="285">
        <v>1.5630000000000002E-2</v>
      </c>
      <c r="G1315" s="94">
        <f t="shared" si="93"/>
        <v>570</v>
      </c>
    </row>
    <row r="1316" spans="1:7">
      <c r="A1316" s="91"/>
      <c r="B1316" s="968"/>
      <c r="C1316" s="969"/>
      <c r="D1316" s="92"/>
      <c r="E1316" s="252"/>
      <c r="F1316" s="285"/>
      <c r="G1316" s="94">
        <f t="shared" si="93"/>
        <v>0</v>
      </c>
    </row>
    <row r="1317" spans="1:7" ht="15" thickBot="1">
      <c r="A1317" s="994"/>
      <c r="B1317" s="995"/>
      <c r="C1317" s="995"/>
      <c r="D1317" s="981" t="s">
        <v>403</v>
      </c>
      <c r="E1317" s="981"/>
      <c r="F1317" s="981"/>
      <c r="G1317" s="13">
        <f>SUM(G1314:G1316)</f>
        <v>1948</v>
      </c>
    </row>
    <row r="1318" spans="1:7" ht="15" thickBot="1">
      <c r="A1318" s="982" t="s">
        <v>1</v>
      </c>
      <c r="B1318" s="983" t="s">
        <v>404</v>
      </c>
      <c r="C1318" s="983"/>
      <c r="D1318" s="983"/>
      <c r="E1318" s="983"/>
      <c r="F1318" s="983"/>
      <c r="G1318" s="984"/>
    </row>
    <row r="1319" spans="1:7" ht="15" thickBot="1">
      <c r="A1319" s="982"/>
      <c r="B1319" s="913" t="s">
        <v>396</v>
      </c>
      <c r="C1319" s="914"/>
      <c r="D1319" s="95" t="s">
        <v>3</v>
      </c>
      <c r="E1319" s="242" t="s">
        <v>398</v>
      </c>
      <c r="F1319" s="286" t="s">
        <v>397</v>
      </c>
      <c r="G1319" s="97" t="s">
        <v>399</v>
      </c>
    </row>
    <row r="1320" spans="1:7">
      <c r="A1320" s="98"/>
      <c r="B1320" s="928" t="s">
        <v>468</v>
      </c>
      <c r="C1320" s="929"/>
      <c r="D1320" s="99" t="s">
        <v>55</v>
      </c>
      <c r="E1320" s="253">
        <v>1510</v>
      </c>
      <c r="F1320" s="287">
        <v>0.6</v>
      </c>
      <c r="G1320" s="102">
        <f t="shared" ref="G1320:G1324" si="94">ROUND(E1320*F1320,)</f>
        <v>906</v>
      </c>
    </row>
    <row r="1321" spans="1:7">
      <c r="A1321" s="98"/>
      <c r="B1321" s="928" t="s">
        <v>469</v>
      </c>
      <c r="C1321" s="929"/>
      <c r="D1321" s="92" t="s">
        <v>411</v>
      </c>
      <c r="E1321" s="252">
        <v>15900</v>
      </c>
      <c r="F1321" s="287">
        <v>0.2</v>
      </c>
      <c r="G1321" s="102">
        <f t="shared" si="94"/>
        <v>3180</v>
      </c>
    </row>
    <row r="1322" spans="1:7">
      <c r="A1322" s="98"/>
      <c r="B1322" s="928" t="s">
        <v>472</v>
      </c>
      <c r="C1322" s="929"/>
      <c r="D1322" s="99" t="s">
        <v>473</v>
      </c>
      <c r="E1322" s="253">
        <v>1461</v>
      </c>
      <c r="F1322" s="287">
        <v>0.3</v>
      </c>
      <c r="G1322" s="102">
        <f t="shared" si="94"/>
        <v>438</v>
      </c>
    </row>
    <row r="1323" spans="1:7">
      <c r="A1323" s="98"/>
      <c r="B1323" s="928" t="s">
        <v>475</v>
      </c>
      <c r="C1323" s="929"/>
      <c r="D1323" s="99" t="s">
        <v>473</v>
      </c>
      <c r="E1323" s="253">
        <v>115900</v>
      </c>
      <c r="F1323" s="287">
        <v>0.05</v>
      </c>
      <c r="G1323" s="102">
        <f t="shared" si="94"/>
        <v>5795</v>
      </c>
    </row>
    <row r="1324" spans="1:7">
      <c r="A1324" s="98"/>
      <c r="B1324" s="928" t="s">
        <v>476</v>
      </c>
      <c r="C1324" s="929"/>
      <c r="D1324" s="99" t="s">
        <v>473</v>
      </c>
      <c r="E1324" s="253">
        <f>100800*1.03</f>
        <v>103824</v>
      </c>
      <c r="F1324" s="287">
        <v>0.05</v>
      </c>
      <c r="G1324" s="102">
        <f t="shared" si="94"/>
        <v>5191</v>
      </c>
    </row>
    <row r="1325" spans="1:7" ht="15" thickBot="1">
      <c r="A1325" s="996"/>
      <c r="B1325" s="997"/>
      <c r="C1325" s="998"/>
      <c r="D1325" s="981" t="s">
        <v>415</v>
      </c>
      <c r="E1325" s="981"/>
      <c r="F1325" s="981"/>
      <c r="G1325" s="13">
        <f>SUM(G1320:G1324)</f>
        <v>15510</v>
      </c>
    </row>
    <row r="1326" spans="1:7" ht="15" thickBot="1">
      <c r="A1326" s="982" t="s">
        <v>1</v>
      </c>
      <c r="B1326" s="983" t="s">
        <v>416</v>
      </c>
      <c r="C1326" s="983"/>
      <c r="D1326" s="983"/>
      <c r="E1326" s="983"/>
      <c r="F1326" s="983"/>
      <c r="G1326" s="984"/>
    </row>
    <row r="1327" spans="1:7" ht="15" thickBot="1">
      <c r="A1327" s="982"/>
      <c r="B1327" s="913" t="s">
        <v>396</v>
      </c>
      <c r="C1327" s="914"/>
      <c r="D1327" s="95" t="s">
        <v>3</v>
      </c>
      <c r="E1327" s="242" t="s">
        <v>398</v>
      </c>
      <c r="F1327" s="286" t="s">
        <v>397</v>
      </c>
      <c r="G1327" s="97" t="s">
        <v>399</v>
      </c>
    </row>
    <row r="1328" spans="1:7" ht="15" thickBot="1">
      <c r="A1328" s="103"/>
      <c r="B1328" s="942"/>
      <c r="C1328" s="943"/>
      <c r="D1328" s="104"/>
      <c r="E1328" s="247"/>
      <c r="F1328" s="288"/>
      <c r="G1328" s="106">
        <f>ROUND(F1328*E1328,)</f>
        <v>0</v>
      </c>
    </row>
    <row r="1329" spans="1:7" ht="15" thickBot="1">
      <c r="A1329" s="978"/>
      <c r="B1329" s="979"/>
      <c r="C1329" s="980"/>
      <c r="D1329" s="981" t="s">
        <v>418</v>
      </c>
      <c r="E1329" s="981"/>
      <c r="F1329" s="981"/>
      <c r="G1329" s="13">
        <f>SUM(G1328:G1328)</f>
        <v>0</v>
      </c>
    </row>
    <row r="1330" spans="1:7" ht="15" thickBot="1">
      <c r="A1330" s="982" t="s">
        <v>1</v>
      </c>
      <c r="B1330" s="983" t="s">
        <v>419</v>
      </c>
      <c r="C1330" s="983"/>
      <c r="D1330" s="983"/>
      <c r="E1330" s="983"/>
      <c r="F1330" s="983"/>
      <c r="G1330" s="984"/>
    </row>
    <row r="1331" spans="1:7" ht="15" thickBot="1">
      <c r="A1331" s="982"/>
      <c r="B1331" s="913" t="s">
        <v>396</v>
      </c>
      <c r="C1331" s="914"/>
      <c r="D1331" s="95" t="s">
        <v>3</v>
      </c>
      <c r="E1331" s="242" t="s">
        <v>4</v>
      </c>
      <c r="F1331" s="289" t="s">
        <v>420</v>
      </c>
      <c r="G1331" s="97" t="s">
        <v>399</v>
      </c>
    </row>
    <row r="1332" spans="1:7">
      <c r="A1332" s="108"/>
      <c r="B1332" s="985" t="s">
        <v>421</v>
      </c>
      <c r="C1332" s="986"/>
      <c r="D1332" s="109" t="s">
        <v>467</v>
      </c>
      <c r="E1332" s="254">
        <v>9.1499999999999998E-2</v>
      </c>
      <c r="F1332" s="82">
        <f>_xlfn.IFNA(VLOOKUP(B1332,'sub M. DE OBRA'!$B$4:$E$19997,4,FALSE),0)</f>
        <v>301253.33333333331</v>
      </c>
      <c r="G1332" s="111">
        <f>+E1332*F1332</f>
        <v>27564.679999999997</v>
      </c>
    </row>
    <row r="1333" spans="1:7" ht="15" thickBot="1">
      <c r="A1333" s="987" t="s">
        <v>424</v>
      </c>
      <c r="B1333" s="988"/>
      <c r="C1333" s="989"/>
      <c r="D1333" s="990" t="s">
        <v>425</v>
      </c>
      <c r="E1333" s="990"/>
      <c r="F1333" s="990"/>
      <c r="G1333" s="14">
        <f>SUM(G1332:G1332)</f>
        <v>27564.679999999997</v>
      </c>
    </row>
    <row r="1334" spans="1:7" ht="15" thickBot="1">
      <c r="A1334" s="991"/>
      <c r="B1334" s="991"/>
      <c r="C1334" s="991"/>
      <c r="D1334" s="992" t="s">
        <v>426</v>
      </c>
      <c r="E1334" s="993"/>
      <c r="F1334" s="993"/>
      <c r="G1334" s="112">
        <f>ROUND(+G1317+G1325+G1329+G1333,)</f>
        <v>45023</v>
      </c>
    </row>
    <row r="1335" spans="1:7">
      <c r="E1335" s="41"/>
      <c r="F1335" s="41"/>
    </row>
    <row r="1336" spans="1:7" ht="15" thickBot="1">
      <c r="A1336" s="1036" t="s">
        <v>389</v>
      </c>
      <c r="B1336" s="1037"/>
      <c r="C1336" s="1037"/>
      <c r="D1336" s="1037"/>
      <c r="E1336" s="1037"/>
      <c r="F1336" s="1037"/>
      <c r="G1336" s="1038"/>
    </row>
    <row r="1337" spans="1:7" ht="15" thickBot="1">
      <c r="A1337" s="1006" t="s">
        <v>390</v>
      </c>
      <c r="B1337" s="1007"/>
      <c r="C1337" s="1007"/>
      <c r="D1337" s="1007"/>
      <c r="E1337" s="1007"/>
      <c r="F1337" s="272" t="s">
        <v>391</v>
      </c>
      <c r="G1337" s="43">
        <f ca="1">TODAY()</f>
        <v>46071</v>
      </c>
    </row>
    <row r="1338" spans="1:7" ht="25.5" customHeight="1" thickBot="1">
      <c r="A1338" s="953" t="str">
        <f>+'OFERTA ECONOMICA'!B66</f>
        <v>Aplicación de pintura a base de agua en muros, con vinilo tipo 1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interventoría. Trabajos en altura hasta 3.0 m. Incluye personal y andamios certificados para trabajos en alturas.</v>
      </c>
      <c r="B1338" s="954"/>
      <c r="C1338" s="954"/>
      <c r="D1338" s="954"/>
      <c r="E1338" s="955"/>
      <c r="F1338" s="273" t="s">
        <v>392</v>
      </c>
      <c r="G1338" s="45" t="str">
        <f>+'OFERTA ECONOMICA'!C66</f>
        <v>m2</v>
      </c>
    </row>
    <row r="1339" spans="1:7" ht="25.5" customHeight="1" thickBot="1">
      <c r="A1339" s="956"/>
      <c r="B1339" s="957"/>
      <c r="C1339" s="957"/>
      <c r="D1339" s="957"/>
      <c r="E1339" s="958"/>
      <c r="F1339" s="273" t="s">
        <v>393</v>
      </c>
      <c r="G1339" s="46">
        <f>+'OFERTA ECONOMICA'!D66</f>
        <v>110</v>
      </c>
    </row>
    <row r="1340" spans="1:7" ht="25.5" customHeight="1" thickBot="1">
      <c r="A1340" s="959"/>
      <c r="B1340" s="960"/>
      <c r="C1340" s="960"/>
      <c r="D1340" s="960"/>
      <c r="E1340" s="961"/>
      <c r="F1340" s="274" t="s">
        <v>394</v>
      </c>
      <c r="G1340" s="48" t="s">
        <v>125</v>
      </c>
    </row>
    <row r="1341" spans="1:7" ht="15" thickBot="1">
      <c r="A1341" s="1008" t="s">
        <v>1</v>
      </c>
      <c r="B1341" s="1009" t="s">
        <v>395</v>
      </c>
      <c r="C1341" s="1009"/>
      <c r="D1341" s="1009"/>
      <c r="E1341" s="1009"/>
      <c r="F1341" s="1009"/>
      <c r="G1341" s="1010"/>
    </row>
    <row r="1342" spans="1:7" ht="15" thickBot="1">
      <c r="A1342" s="982"/>
      <c r="B1342" s="913" t="s">
        <v>396</v>
      </c>
      <c r="C1342" s="914"/>
      <c r="D1342" s="95" t="s">
        <v>3</v>
      </c>
      <c r="E1342" s="242" t="s">
        <v>398</v>
      </c>
      <c r="F1342" s="286" t="s">
        <v>4</v>
      </c>
      <c r="G1342" s="97" t="s">
        <v>399</v>
      </c>
    </row>
    <row r="1343" spans="1:7">
      <c r="A1343" s="87"/>
      <c r="B1343" s="930" t="s">
        <v>427</v>
      </c>
      <c r="C1343" s="931"/>
      <c r="D1343" s="88" t="s">
        <v>428</v>
      </c>
      <c r="E1343" s="251">
        <f>+G1361</f>
        <v>15062.666666666666</v>
      </c>
      <c r="F1343" s="284">
        <v>0.05</v>
      </c>
      <c r="G1343" s="90">
        <f t="shared" ref="G1343:G1345" si="95">ROUND((E1343*F1343),0)</f>
        <v>753</v>
      </c>
    </row>
    <row r="1344" spans="1:7">
      <c r="A1344" s="91"/>
      <c r="B1344" s="968" t="s">
        <v>462</v>
      </c>
      <c r="C1344" s="969"/>
      <c r="D1344" s="92" t="s">
        <v>430</v>
      </c>
      <c r="E1344" s="252">
        <v>36500</v>
      </c>
      <c r="F1344" s="285">
        <v>0.05</v>
      </c>
      <c r="G1344" s="94">
        <f t="shared" si="95"/>
        <v>1825</v>
      </c>
    </row>
    <row r="1345" spans="1:7">
      <c r="A1345" s="91"/>
      <c r="B1345" s="968"/>
      <c r="C1345" s="969"/>
      <c r="D1345" s="92"/>
      <c r="E1345" s="252"/>
      <c r="F1345" s="285"/>
      <c r="G1345" s="94">
        <f t="shared" si="95"/>
        <v>0</v>
      </c>
    </row>
    <row r="1346" spans="1:7" ht="15" thickBot="1">
      <c r="A1346" s="994"/>
      <c r="B1346" s="995"/>
      <c r="C1346" s="995"/>
      <c r="D1346" s="981" t="s">
        <v>403</v>
      </c>
      <c r="E1346" s="981"/>
      <c r="F1346" s="981"/>
      <c r="G1346" s="13">
        <f>SUM(G1343:G1345)</f>
        <v>2578</v>
      </c>
    </row>
    <row r="1347" spans="1:7" ht="15" thickBot="1">
      <c r="A1347" s="982" t="s">
        <v>1</v>
      </c>
      <c r="B1347" s="983" t="s">
        <v>404</v>
      </c>
      <c r="C1347" s="983"/>
      <c r="D1347" s="983"/>
      <c r="E1347" s="983"/>
      <c r="F1347" s="983"/>
      <c r="G1347" s="984"/>
    </row>
    <row r="1348" spans="1:7" ht="15" thickBot="1">
      <c r="A1348" s="982"/>
      <c r="B1348" s="913" t="s">
        <v>396</v>
      </c>
      <c r="C1348" s="914"/>
      <c r="D1348" s="95" t="s">
        <v>3</v>
      </c>
      <c r="E1348" s="242" t="s">
        <v>398</v>
      </c>
      <c r="F1348" s="286" t="s">
        <v>397</v>
      </c>
      <c r="G1348" s="97" t="s">
        <v>399</v>
      </c>
    </row>
    <row r="1349" spans="1:7">
      <c r="A1349" s="98"/>
      <c r="B1349" s="928" t="s">
        <v>468</v>
      </c>
      <c r="C1349" s="929"/>
      <c r="D1349" s="99" t="s">
        <v>55</v>
      </c>
      <c r="E1349" s="253">
        <v>1510</v>
      </c>
      <c r="F1349" s="287">
        <v>0.5</v>
      </c>
      <c r="G1349" s="102">
        <f t="shared" ref="G1349:G1352" si="96">ROUND(E1349*F1349,)</f>
        <v>755</v>
      </c>
    </row>
    <row r="1350" spans="1:7">
      <c r="A1350" s="98"/>
      <c r="B1350" s="928" t="s">
        <v>469</v>
      </c>
      <c r="C1350" s="929"/>
      <c r="D1350" s="92" t="s">
        <v>411</v>
      </c>
      <c r="E1350" s="252">
        <v>15900</v>
      </c>
      <c r="F1350" s="287">
        <v>0.1</v>
      </c>
      <c r="G1350" s="102">
        <f t="shared" si="96"/>
        <v>1590</v>
      </c>
    </row>
    <row r="1351" spans="1:7">
      <c r="A1351" s="98"/>
      <c r="B1351" s="928" t="s">
        <v>472</v>
      </c>
      <c r="C1351" s="929"/>
      <c r="D1351" s="99" t="s">
        <v>473</v>
      </c>
      <c r="E1351" s="253">
        <v>1461</v>
      </c>
      <c r="F1351" s="287">
        <v>0.3</v>
      </c>
      <c r="G1351" s="102">
        <f t="shared" si="96"/>
        <v>438</v>
      </c>
    </row>
    <row r="1352" spans="1:7">
      <c r="A1352" s="98"/>
      <c r="B1352" s="928" t="s">
        <v>474</v>
      </c>
      <c r="C1352" s="929"/>
      <c r="D1352" s="99" t="s">
        <v>473</v>
      </c>
      <c r="E1352" s="253">
        <v>65187.524171539961</v>
      </c>
      <c r="F1352" s="287">
        <v>0.09</v>
      </c>
      <c r="G1352" s="102">
        <f t="shared" si="96"/>
        <v>5867</v>
      </c>
    </row>
    <row r="1353" spans="1:7" ht="15" thickBot="1">
      <c r="A1353" s="996"/>
      <c r="B1353" s="997"/>
      <c r="C1353" s="998"/>
      <c r="D1353" s="981" t="s">
        <v>415</v>
      </c>
      <c r="E1353" s="981"/>
      <c r="F1353" s="981"/>
      <c r="G1353" s="13">
        <f>SUM(G1349:G1352)</f>
        <v>8650</v>
      </c>
    </row>
    <row r="1354" spans="1:7" ht="15" thickBot="1">
      <c r="A1354" s="982" t="s">
        <v>1</v>
      </c>
      <c r="B1354" s="983" t="s">
        <v>416</v>
      </c>
      <c r="C1354" s="983"/>
      <c r="D1354" s="983"/>
      <c r="E1354" s="983"/>
      <c r="F1354" s="983"/>
      <c r="G1354" s="984"/>
    </row>
    <row r="1355" spans="1:7" ht="15" thickBot="1">
      <c r="A1355" s="982"/>
      <c r="B1355" s="913" t="s">
        <v>396</v>
      </c>
      <c r="C1355" s="914"/>
      <c r="D1355" s="95" t="s">
        <v>3</v>
      </c>
      <c r="E1355" s="242" t="s">
        <v>398</v>
      </c>
      <c r="F1355" s="286" t="s">
        <v>397</v>
      </c>
      <c r="G1355" s="97" t="s">
        <v>399</v>
      </c>
    </row>
    <row r="1356" spans="1:7" s="7" customFormat="1" ht="13.5" thickBot="1">
      <c r="A1356" s="103"/>
      <c r="B1356" s="942"/>
      <c r="C1356" s="943"/>
      <c r="D1356" s="104"/>
      <c r="E1356" s="247"/>
      <c r="F1356" s="288"/>
      <c r="G1356" s="106">
        <f>ROUND(F1356*E1356,)</f>
        <v>0</v>
      </c>
    </row>
    <row r="1357" spans="1:7" ht="15" thickBot="1">
      <c r="A1357" s="978"/>
      <c r="B1357" s="979"/>
      <c r="C1357" s="980"/>
      <c r="D1357" s="981" t="s">
        <v>418</v>
      </c>
      <c r="E1357" s="981"/>
      <c r="F1357" s="981"/>
      <c r="G1357" s="13">
        <f>SUM(G1356:G1356)</f>
        <v>0</v>
      </c>
    </row>
    <row r="1358" spans="1:7" ht="15" thickBot="1">
      <c r="A1358" s="982" t="s">
        <v>1</v>
      </c>
      <c r="B1358" s="983" t="s">
        <v>419</v>
      </c>
      <c r="C1358" s="983"/>
      <c r="D1358" s="983"/>
      <c r="E1358" s="983"/>
      <c r="F1358" s="983"/>
      <c r="G1358" s="984"/>
    </row>
    <row r="1359" spans="1:7" ht="15" thickBot="1">
      <c r="A1359" s="982"/>
      <c r="B1359" s="913" t="s">
        <v>396</v>
      </c>
      <c r="C1359" s="914"/>
      <c r="D1359" s="95" t="s">
        <v>3</v>
      </c>
      <c r="E1359" s="242" t="s">
        <v>4</v>
      </c>
      <c r="F1359" s="289" t="s">
        <v>420</v>
      </c>
      <c r="G1359" s="97" t="s">
        <v>399</v>
      </c>
    </row>
    <row r="1360" spans="1:7">
      <c r="A1360" s="108"/>
      <c r="B1360" s="985" t="s">
        <v>421</v>
      </c>
      <c r="C1360" s="986"/>
      <c r="D1360" s="109" t="s">
        <v>467</v>
      </c>
      <c r="E1360" s="254">
        <v>0.05</v>
      </c>
      <c r="F1360" s="82">
        <f>_xlfn.IFNA(VLOOKUP(B1360,'sub M. DE OBRA'!$B$4:$E$19997,4,FALSE),0)</f>
        <v>301253.33333333331</v>
      </c>
      <c r="G1360" s="111">
        <f>+E1360*F1360</f>
        <v>15062.666666666666</v>
      </c>
    </row>
    <row r="1361" spans="1:7" ht="15" thickBot="1">
      <c r="A1361" s="987" t="s">
        <v>424</v>
      </c>
      <c r="B1361" s="988"/>
      <c r="C1361" s="989"/>
      <c r="D1361" s="990" t="s">
        <v>425</v>
      </c>
      <c r="E1361" s="990"/>
      <c r="F1361" s="990"/>
      <c r="G1361" s="14">
        <f>SUM(G1360:G1360)</f>
        <v>15062.666666666666</v>
      </c>
    </row>
    <row r="1362" spans="1:7" ht="15" thickBot="1">
      <c r="A1362" s="991"/>
      <c r="B1362" s="991"/>
      <c r="C1362" s="991"/>
      <c r="D1362" s="992" t="s">
        <v>426</v>
      </c>
      <c r="E1362" s="993"/>
      <c r="F1362" s="993"/>
      <c r="G1362" s="112">
        <f>ROUND(+G1346+G1353+G1357+G1361,)</f>
        <v>26291</v>
      </c>
    </row>
    <row r="1363" spans="1:7">
      <c r="E1363" s="41"/>
      <c r="F1363" s="41"/>
    </row>
    <row r="1364" spans="1:7" ht="15" thickBot="1">
      <c r="A1364" s="1036" t="s">
        <v>389</v>
      </c>
      <c r="B1364" s="1037"/>
      <c r="C1364" s="1037"/>
      <c r="D1364" s="1037"/>
      <c r="E1364" s="1037"/>
      <c r="F1364" s="1037"/>
      <c r="G1364" s="1038"/>
    </row>
    <row r="1365" spans="1:7" ht="15" thickBot="1">
      <c r="A1365" s="1006" t="s">
        <v>390</v>
      </c>
      <c r="B1365" s="1007"/>
      <c r="C1365" s="1007"/>
      <c r="D1365" s="1007"/>
      <c r="E1365" s="1007"/>
      <c r="F1365" s="272" t="s">
        <v>391</v>
      </c>
      <c r="G1365" s="43">
        <f ca="1">TODAY()</f>
        <v>46071</v>
      </c>
    </row>
    <row r="1366" spans="1:7" ht="25.5" customHeight="1" thickBot="1">
      <c r="A1366" s="953" t="str">
        <f>+'OFERTA ECONOMICA'!B67</f>
        <v>Aplicación de pintura a base de agua en cielos, con vinilo tipo 1 de primera calidad sobre muros revocados y/o estucados, tres manos o las necesarias hasta obtener una superficie pareja y homogénea. incluye suministro y transporte de los materiales, resanes, tapa poros en estuco plástico tipo plastestuco o equivalente diluido en agua proporción 1:2, adecuación de la superficie a intervenir hasta obtener una superficie pareja y homogénea, color a definir según aprobación de la interventoría. Para muros y cielos en alturas mayores a 3 m. Incluye personal y andamios certificados para trabajos en alturas.</v>
      </c>
      <c r="B1366" s="954"/>
      <c r="C1366" s="954"/>
      <c r="D1366" s="954"/>
      <c r="E1366" s="955"/>
      <c r="F1366" s="273" t="s">
        <v>392</v>
      </c>
      <c r="G1366" s="45" t="str">
        <f>+'OFERTA ECONOMICA'!C67</f>
        <v>m2</v>
      </c>
    </row>
    <row r="1367" spans="1:7" ht="25.5" customHeight="1" thickBot="1">
      <c r="A1367" s="956"/>
      <c r="B1367" s="957"/>
      <c r="C1367" s="957"/>
      <c r="D1367" s="957"/>
      <c r="E1367" s="958"/>
      <c r="F1367" s="273" t="s">
        <v>393</v>
      </c>
      <c r="G1367" s="46">
        <v>1</v>
      </c>
    </row>
    <row r="1368" spans="1:7" ht="25.5" customHeight="1" thickBot="1">
      <c r="A1368" s="959"/>
      <c r="B1368" s="960"/>
      <c r="C1368" s="960"/>
      <c r="D1368" s="960"/>
      <c r="E1368" s="961"/>
      <c r="F1368" s="274" t="s">
        <v>394</v>
      </c>
      <c r="G1368" s="48" t="s">
        <v>127</v>
      </c>
    </row>
    <row r="1369" spans="1:7" ht="15" thickBot="1">
      <c r="A1369" s="1008" t="s">
        <v>1</v>
      </c>
      <c r="B1369" s="1009" t="s">
        <v>395</v>
      </c>
      <c r="C1369" s="1009"/>
      <c r="D1369" s="1009"/>
      <c r="E1369" s="1009"/>
      <c r="F1369" s="1009"/>
      <c r="G1369" s="1010"/>
    </row>
    <row r="1370" spans="1:7" ht="15" thickBot="1">
      <c r="A1370" s="982"/>
      <c r="B1370" s="913" t="s">
        <v>396</v>
      </c>
      <c r="C1370" s="914"/>
      <c r="D1370" s="95" t="s">
        <v>3</v>
      </c>
      <c r="E1370" s="242" t="s">
        <v>398</v>
      </c>
      <c r="F1370" s="286" t="s">
        <v>4</v>
      </c>
      <c r="G1370" s="97" t="s">
        <v>399</v>
      </c>
    </row>
    <row r="1371" spans="1:7">
      <c r="A1371" s="87"/>
      <c r="B1371" s="930" t="s">
        <v>427</v>
      </c>
      <c r="C1371" s="931"/>
      <c r="D1371" s="88" t="s">
        <v>428</v>
      </c>
      <c r="E1371" s="251">
        <f>+G1389</f>
        <v>18075.199999999997</v>
      </c>
      <c r="F1371" s="284">
        <v>0.05</v>
      </c>
      <c r="G1371" s="90">
        <f t="shared" ref="G1371:G1373" si="97">ROUND((E1371*F1371),0)</f>
        <v>904</v>
      </c>
    </row>
    <row r="1372" spans="1:7">
      <c r="A1372" s="91"/>
      <c r="B1372" s="968" t="s">
        <v>462</v>
      </c>
      <c r="C1372" s="969"/>
      <c r="D1372" s="92" t="s">
        <v>430</v>
      </c>
      <c r="E1372" s="252">
        <v>36500</v>
      </c>
      <c r="F1372" s="285">
        <v>0.05</v>
      </c>
      <c r="G1372" s="94">
        <f t="shared" si="97"/>
        <v>1825</v>
      </c>
    </row>
    <row r="1373" spans="1:7">
      <c r="A1373" s="91"/>
      <c r="B1373" s="968"/>
      <c r="C1373" s="969"/>
      <c r="D1373" s="92"/>
      <c r="E1373" s="252"/>
      <c r="F1373" s="285"/>
      <c r="G1373" s="94">
        <f t="shared" si="97"/>
        <v>0</v>
      </c>
    </row>
    <row r="1374" spans="1:7" ht="15" thickBot="1">
      <c r="A1374" s="994"/>
      <c r="B1374" s="995"/>
      <c r="C1374" s="995"/>
      <c r="D1374" s="981" t="s">
        <v>403</v>
      </c>
      <c r="E1374" s="981"/>
      <c r="F1374" s="981"/>
      <c r="G1374" s="13">
        <f>SUM(G1371:G1373)</f>
        <v>2729</v>
      </c>
    </row>
    <row r="1375" spans="1:7" ht="15" thickBot="1">
      <c r="A1375" s="982" t="s">
        <v>1</v>
      </c>
      <c r="B1375" s="983" t="s">
        <v>404</v>
      </c>
      <c r="C1375" s="983"/>
      <c r="D1375" s="983"/>
      <c r="E1375" s="983"/>
      <c r="F1375" s="983"/>
      <c r="G1375" s="984"/>
    </row>
    <row r="1376" spans="1:7" ht="15" thickBot="1">
      <c r="A1376" s="982"/>
      <c r="B1376" s="913" t="s">
        <v>396</v>
      </c>
      <c r="C1376" s="914"/>
      <c r="D1376" s="95" t="s">
        <v>3</v>
      </c>
      <c r="E1376" s="242" t="s">
        <v>398</v>
      </c>
      <c r="F1376" s="286" t="s">
        <v>397</v>
      </c>
      <c r="G1376" s="97" t="s">
        <v>399</v>
      </c>
    </row>
    <row r="1377" spans="1:7">
      <c r="A1377" s="98"/>
      <c r="B1377" s="928" t="s">
        <v>468</v>
      </c>
      <c r="C1377" s="929"/>
      <c r="D1377" s="99" t="s">
        <v>55</v>
      </c>
      <c r="E1377" s="253">
        <v>1510</v>
      </c>
      <c r="F1377" s="287">
        <v>0.5</v>
      </c>
      <c r="G1377" s="102">
        <f t="shared" ref="G1377:G1380" si="98">ROUND(E1377*F1377,)</f>
        <v>755</v>
      </c>
    </row>
    <row r="1378" spans="1:7">
      <c r="A1378" s="98"/>
      <c r="B1378" s="928" t="s">
        <v>469</v>
      </c>
      <c r="C1378" s="929"/>
      <c r="D1378" s="92" t="s">
        <v>411</v>
      </c>
      <c r="E1378" s="252">
        <v>15900</v>
      </c>
      <c r="F1378" s="287">
        <v>0.1</v>
      </c>
      <c r="G1378" s="102">
        <f t="shared" si="98"/>
        <v>1590</v>
      </c>
    </row>
    <row r="1379" spans="1:7">
      <c r="A1379" s="98"/>
      <c r="B1379" s="928" t="s">
        <v>472</v>
      </c>
      <c r="C1379" s="929"/>
      <c r="D1379" s="99" t="s">
        <v>473</v>
      </c>
      <c r="E1379" s="253">
        <v>1461</v>
      </c>
      <c r="F1379" s="287">
        <v>0.3</v>
      </c>
      <c r="G1379" s="102">
        <f t="shared" si="98"/>
        <v>438</v>
      </c>
    </row>
    <row r="1380" spans="1:7">
      <c r="A1380" s="98"/>
      <c r="B1380" s="928" t="s">
        <v>474</v>
      </c>
      <c r="C1380" s="929"/>
      <c r="D1380" s="99" t="s">
        <v>473</v>
      </c>
      <c r="E1380" s="253">
        <v>65187.524171539961</v>
      </c>
      <c r="F1380" s="287">
        <v>0.09</v>
      </c>
      <c r="G1380" s="102">
        <f t="shared" si="98"/>
        <v>5867</v>
      </c>
    </row>
    <row r="1381" spans="1:7" ht="15" thickBot="1">
      <c r="A1381" s="996"/>
      <c r="B1381" s="997"/>
      <c r="C1381" s="998"/>
      <c r="D1381" s="981" t="s">
        <v>415</v>
      </c>
      <c r="E1381" s="981"/>
      <c r="F1381" s="981"/>
      <c r="G1381" s="13">
        <f>SUM(G1377:G1380)</f>
        <v>8650</v>
      </c>
    </row>
    <row r="1382" spans="1:7" ht="15" thickBot="1">
      <c r="A1382" s="982" t="s">
        <v>1</v>
      </c>
      <c r="B1382" s="983" t="s">
        <v>416</v>
      </c>
      <c r="C1382" s="983"/>
      <c r="D1382" s="983"/>
      <c r="E1382" s="983"/>
      <c r="F1382" s="983"/>
      <c r="G1382" s="984"/>
    </row>
    <row r="1383" spans="1:7" ht="15" thickBot="1">
      <c r="A1383" s="982"/>
      <c r="B1383" s="913" t="s">
        <v>396</v>
      </c>
      <c r="C1383" s="914"/>
      <c r="D1383" s="95" t="s">
        <v>3</v>
      </c>
      <c r="E1383" s="242" t="s">
        <v>398</v>
      </c>
      <c r="F1383" s="286" t="s">
        <v>397</v>
      </c>
      <c r="G1383" s="97" t="s">
        <v>399</v>
      </c>
    </row>
    <row r="1384" spans="1:7" s="7" customFormat="1" ht="13.5" thickBot="1">
      <c r="A1384" s="103"/>
      <c r="B1384" s="942"/>
      <c r="C1384" s="943"/>
      <c r="D1384" s="104"/>
      <c r="E1384" s="247"/>
      <c r="F1384" s="288"/>
      <c r="G1384" s="106">
        <f>ROUND(F1384*E1384,)</f>
        <v>0</v>
      </c>
    </row>
    <row r="1385" spans="1:7" ht="15" thickBot="1">
      <c r="A1385" s="978"/>
      <c r="B1385" s="979"/>
      <c r="C1385" s="980"/>
      <c r="D1385" s="981" t="s">
        <v>418</v>
      </c>
      <c r="E1385" s="981"/>
      <c r="F1385" s="981"/>
      <c r="G1385" s="13">
        <f>SUM(G1384:G1384)</f>
        <v>0</v>
      </c>
    </row>
    <row r="1386" spans="1:7" ht="15" thickBot="1">
      <c r="A1386" s="982" t="s">
        <v>1</v>
      </c>
      <c r="B1386" s="983" t="s">
        <v>419</v>
      </c>
      <c r="C1386" s="983"/>
      <c r="D1386" s="983"/>
      <c r="E1386" s="983"/>
      <c r="F1386" s="983"/>
      <c r="G1386" s="984"/>
    </row>
    <row r="1387" spans="1:7" ht="15" thickBot="1">
      <c r="A1387" s="982"/>
      <c r="B1387" s="913" t="s">
        <v>396</v>
      </c>
      <c r="C1387" s="914"/>
      <c r="D1387" s="95" t="s">
        <v>3</v>
      </c>
      <c r="E1387" s="242" t="s">
        <v>4</v>
      </c>
      <c r="F1387" s="289" t="s">
        <v>420</v>
      </c>
      <c r="G1387" s="97" t="s">
        <v>399</v>
      </c>
    </row>
    <row r="1388" spans="1:7">
      <c r="A1388" s="108"/>
      <c r="B1388" s="985" t="s">
        <v>421</v>
      </c>
      <c r="C1388" s="986"/>
      <c r="D1388" s="109" t="s">
        <v>467</v>
      </c>
      <c r="E1388" s="254">
        <v>0.06</v>
      </c>
      <c r="F1388" s="82">
        <f>_xlfn.IFNA(VLOOKUP(B1388,'sub M. DE OBRA'!$B$4:$E$19997,4,FALSE),0)</f>
        <v>301253.33333333331</v>
      </c>
      <c r="G1388" s="111">
        <f>+E1388*F1388</f>
        <v>18075.199999999997</v>
      </c>
    </row>
    <row r="1389" spans="1:7" ht="15" thickBot="1">
      <c r="A1389" s="987" t="s">
        <v>424</v>
      </c>
      <c r="B1389" s="988"/>
      <c r="C1389" s="989"/>
      <c r="D1389" s="990" t="s">
        <v>425</v>
      </c>
      <c r="E1389" s="990"/>
      <c r="F1389" s="990"/>
      <c r="G1389" s="14">
        <f>SUM(G1388:G1388)</f>
        <v>18075.199999999997</v>
      </c>
    </row>
    <row r="1390" spans="1:7" ht="15" thickBot="1">
      <c r="A1390" s="991"/>
      <c r="B1390" s="991"/>
      <c r="C1390" s="991"/>
      <c r="D1390" s="992" t="s">
        <v>426</v>
      </c>
      <c r="E1390" s="993"/>
      <c r="F1390" s="993"/>
      <c r="G1390" s="112">
        <f>ROUND(+G1374+G1381+G1385+G1389,)</f>
        <v>29454</v>
      </c>
    </row>
    <row r="1391" spans="1:7">
      <c r="E1391" s="41"/>
      <c r="F1391" s="41"/>
    </row>
    <row r="1392" spans="1:7" ht="15" thickBot="1">
      <c r="A1392" s="1036" t="s">
        <v>389</v>
      </c>
      <c r="B1392" s="1037"/>
      <c r="C1392" s="1037"/>
      <c r="D1392" s="1037"/>
      <c r="E1392" s="1037"/>
      <c r="F1392" s="1037"/>
      <c r="G1392" s="1038"/>
    </row>
    <row r="1393" spans="1:7" ht="15" thickBot="1">
      <c r="A1393" s="1006" t="s">
        <v>390</v>
      </c>
      <c r="B1393" s="1007"/>
      <c r="C1393" s="1007"/>
      <c r="D1393" s="1007"/>
      <c r="E1393" s="1007"/>
      <c r="F1393" s="42" t="s">
        <v>391</v>
      </c>
      <c r="G1393" s="43">
        <f ca="1">TODAY()</f>
        <v>46071</v>
      </c>
    </row>
    <row r="1394" spans="1:7" ht="15" thickBot="1">
      <c r="A1394" s="953" t="str">
        <f>+'OFERTA ECONOMICA'!B68</f>
        <v>Matenimiento general  de todo tipo de ventanas.  Incluye: Desmonte,  limpieza,  anticorrosivo,  pintura  tipo  esmalte, andamiaje  y  todos  los  elementos  necesarios  para  su correcta aplicación  y reinstalación final.</v>
      </c>
      <c r="B1394" s="954"/>
      <c r="C1394" s="954"/>
      <c r="D1394" s="954"/>
      <c r="E1394" s="955"/>
      <c r="F1394" s="44" t="s">
        <v>392</v>
      </c>
      <c r="G1394" s="45" t="str">
        <f>+'OFERTA ECONOMICA'!C68</f>
        <v>un</v>
      </c>
    </row>
    <row r="1395" spans="1:7" ht="15" thickBot="1">
      <c r="A1395" s="956"/>
      <c r="B1395" s="957"/>
      <c r="C1395" s="957"/>
      <c r="D1395" s="957"/>
      <c r="E1395" s="958"/>
      <c r="F1395" s="44" t="s">
        <v>393</v>
      </c>
      <c r="G1395" s="46">
        <f>+'OFERTA ECONOMICA'!D68</f>
        <v>35</v>
      </c>
    </row>
    <row r="1396" spans="1:7" ht="15" thickBot="1">
      <c r="A1396" s="959"/>
      <c r="B1396" s="960"/>
      <c r="C1396" s="960"/>
      <c r="D1396" s="960"/>
      <c r="E1396" s="961"/>
      <c r="F1396" s="47" t="s">
        <v>394</v>
      </c>
      <c r="G1396" s="48" t="str">
        <f>+'OFERTA ECONOMICA'!A68</f>
        <v>2.1.12</v>
      </c>
    </row>
    <row r="1397" spans="1:7" ht="15" thickBot="1">
      <c r="A1397" s="1008" t="s">
        <v>1</v>
      </c>
      <c r="B1397" s="1009" t="s">
        <v>395</v>
      </c>
      <c r="C1397" s="1009"/>
      <c r="D1397" s="1009"/>
      <c r="E1397" s="1009"/>
      <c r="F1397" s="1009"/>
      <c r="G1397" s="1010"/>
    </row>
    <row r="1398" spans="1:7" ht="15" thickBot="1">
      <c r="A1398" s="982"/>
      <c r="B1398" s="913" t="s">
        <v>396</v>
      </c>
      <c r="C1398" s="914"/>
      <c r="D1398" s="95" t="s">
        <v>3</v>
      </c>
      <c r="E1398" s="207" t="s">
        <v>398</v>
      </c>
      <c r="F1398" s="95" t="s">
        <v>4</v>
      </c>
      <c r="G1398" s="97" t="s">
        <v>399</v>
      </c>
    </row>
    <row r="1399" spans="1:7">
      <c r="A1399" s="87"/>
      <c r="B1399" s="930" t="s">
        <v>427</v>
      </c>
      <c r="C1399" s="931"/>
      <c r="D1399" s="88" t="s">
        <v>428</v>
      </c>
      <c r="E1399" s="214">
        <f>+G1417</f>
        <v>69288.266666666663</v>
      </c>
      <c r="F1399" s="89">
        <v>0.05</v>
      </c>
      <c r="G1399" s="90">
        <f>ROUND((E1399*F1399),0)</f>
        <v>3464</v>
      </c>
    </row>
    <row r="1400" spans="1:7">
      <c r="A1400" s="91"/>
      <c r="B1400" s="968" t="s">
        <v>462</v>
      </c>
      <c r="C1400" s="969"/>
      <c r="D1400" s="92" t="s">
        <v>430</v>
      </c>
      <c r="E1400" s="215">
        <v>36500</v>
      </c>
      <c r="F1400" s="93">
        <v>0.2</v>
      </c>
      <c r="G1400" s="94">
        <f>ROUND((E1400*F1400),0)</f>
        <v>7300</v>
      </c>
    </row>
    <row r="1401" spans="1:7">
      <c r="A1401" s="91"/>
      <c r="B1401" s="968"/>
      <c r="C1401" s="969"/>
      <c r="D1401" s="92"/>
      <c r="E1401" s="215"/>
      <c r="F1401" s="93"/>
      <c r="G1401" s="94">
        <f>ROUND((E1401*F1401),0)</f>
        <v>0</v>
      </c>
    </row>
    <row r="1402" spans="1:7" ht="15" thickBot="1">
      <c r="A1402" s="994"/>
      <c r="B1402" s="995"/>
      <c r="C1402" s="995"/>
      <c r="D1402" s="981" t="s">
        <v>403</v>
      </c>
      <c r="E1402" s="981"/>
      <c r="F1402" s="981"/>
      <c r="G1402" s="13">
        <f>SUM(G1399:G1401)</f>
        <v>10764</v>
      </c>
    </row>
    <row r="1403" spans="1:7" ht="15" thickBot="1">
      <c r="A1403" s="982" t="s">
        <v>1</v>
      </c>
      <c r="B1403" s="983" t="s">
        <v>404</v>
      </c>
      <c r="C1403" s="983"/>
      <c r="D1403" s="983"/>
      <c r="E1403" s="983"/>
      <c r="F1403" s="983"/>
      <c r="G1403" s="984"/>
    </row>
    <row r="1404" spans="1:7" ht="15" thickBot="1">
      <c r="A1404" s="982"/>
      <c r="B1404" s="913" t="s">
        <v>396</v>
      </c>
      <c r="C1404" s="914"/>
      <c r="D1404" s="95" t="s">
        <v>3</v>
      </c>
      <c r="E1404" s="207" t="s">
        <v>398</v>
      </c>
      <c r="F1404" s="95" t="s">
        <v>397</v>
      </c>
      <c r="G1404" s="97" t="s">
        <v>399</v>
      </c>
    </row>
    <row r="1405" spans="1:7">
      <c r="A1405" s="98"/>
      <c r="B1405" s="928" t="s">
        <v>468</v>
      </c>
      <c r="C1405" s="929"/>
      <c r="D1405" s="99" t="s">
        <v>55</v>
      </c>
      <c r="E1405" s="216">
        <v>1410</v>
      </c>
      <c r="F1405" s="101">
        <v>1</v>
      </c>
      <c r="G1405" s="102">
        <f>ROUND(E1405*F1405,)</f>
        <v>1410</v>
      </c>
    </row>
    <row r="1406" spans="1:7">
      <c r="A1406" s="98"/>
      <c r="B1406" s="928" t="s">
        <v>469</v>
      </c>
      <c r="C1406" s="929"/>
      <c r="D1406" s="92" t="s">
        <v>411</v>
      </c>
      <c r="E1406" s="215">
        <v>15900</v>
      </c>
      <c r="F1406" s="101">
        <v>0.5</v>
      </c>
      <c r="G1406" s="102">
        <f>ROUND(E1406*F1406,)</f>
        <v>7950</v>
      </c>
    </row>
    <row r="1407" spans="1:7">
      <c r="A1407" s="98"/>
      <c r="B1407" s="928" t="s">
        <v>583</v>
      </c>
      <c r="C1407" s="929"/>
      <c r="D1407" s="99" t="s">
        <v>473</v>
      </c>
      <c r="E1407" s="216">
        <v>119900</v>
      </c>
      <c r="F1407" s="101">
        <v>0.3</v>
      </c>
      <c r="G1407" s="102">
        <f>ROUND(E1407*F1407,)</f>
        <v>35970</v>
      </c>
    </row>
    <row r="1408" spans="1:7">
      <c r="A1408" s="98"/>
      <c r="B1408" s="928" t="s">
        <v>584</v>
      </c>
      <c r="C1408" s="929"/>
      <c r="D1408" s="99" t="s">
        <v>473</v>
      </c>
      <c r="E1408" s="216">
        <f>100800*1.03</f>
        <v>103824</v>
      </c>
      <c r="F1408" s="101">
        <v>0.3</v>
      </c>
      <c r="G1408" s="102">
        <f>ROUND(E1408*F1408,)</f>
        <v>31147</v>
      </c>
    </row>
    <row r="1409" spans="1:7" ht="15" thickBot="1">
      <c r="A1409" s="996"/>
      <c r="B1409" s="997"/>
      <c r="C1409" s="998"/>
      <c r="D1409" s="981" t="s">
        <v>415</v>
      </c>
      <c r="E1409" s="981"/>
      <c r="F1409" s="981"/>
      <c r="G1409" s="13">
        <f>SUM(G1405:G1408)</f>
        <v>76477</v>
      </c>
    </row>
    <row r="1410" spans="1:7" ht="15" thickBot="1">
      <c r="A1410" s="982" t="s">
        <v>1</v>
      </c>
      <c r="B1410" s="983" t="s">
        <v>416</v>
      </c>
      <c r="C1410" s="983"/>
      <c r="D1410" s="983"/>
      <c r="E1410" s="983"/>
      <c r="F1410" s="983"/>
      <c r="G1410" s="984"/>
    </row>
    <row r="1411" spans="1:7" ht="15" thickBot="1">
      <c r="A1411" s="982"/>
      <c r="B1411" s="913" t="s">
        <v>396</v>
      </c>
      <c r="C1411" s="914"/>
      <c r="D1411" s="95" t="s">
        <v>3</v>
      </c>
      <c r="E1411" s="207" t="s">
        <v>398</v>
      </c>
      <c r="F1411" s="95" t="s">
        <v>397</v>
      </c>
      <c r="G1411" s="97" t="s">
        <v>399</v>
      </c>
    </row>
    <row r="1412" spans="1:7" ht="15" thickBot="1">
      <c r="A1412" s="103"/>
      <c r="B1412" s="942"/>
      <c r="C1412" s="943"/>
      <c r="D1412" s="104"/>
      <c r="E1412" s="212"/>
      <c r="F1412" s="105"/>
      <c r="G1412" s="106">
        <f>ROUND(F1412*E1412,)</f>
        <v>0</v>
      </c>
    </row>
    <row r="1413" spans="1:7" ht="15" thickBot="1">
      <c r="A1413" s="978"/>
      <c r="B1413" s="979"/>
      <c r="C1413" s="980"/>
      <c r="D1413" s="981" t="s">
        <v>418</v>
      </c>
      <c r="E1413" s="981"/>
      <c r="F1413" s="981"/>
      <c r="G1413" s="13">
        <f>SUM(G1412:G1412)</f>
        <v>0</v>
      </c>
    </row>
    <row r="1414" spans="1:7" ht="15" thickBot="1">
      <c r="A1414" s="982" t="s">
        <v>1</v>
      </c>
      <c r="B1414" s="983" t="s">
        <v>419</v>
      </c>
      <c r="C1414" s="983"/>
      <c r="D1414" s="983"/>
      <c r="E1414" s="983"/>
      <c r="F1414" s="983"/>
      <c r="G1414" s="984"/>
    </row>
    <row r="1415" spans="1:7" ht="15" thickBot="1">
      <c r="A1415" s="982"/>
      <c r="B1415" s="913" t="s">
        <v>396</v>
      </c>
      <c r="C1415" s="914"/>
      <c r="D1415" s="95" t="s">
        <v>3</v>
      </c>
      <c r="E1415" s="207" t="s">
        <v>4</v>
      </c>
      <c r="F1415" s="107" t="s">
        <v>420</v>
      </c>
      <c r="G1415" s="97" t="s">
        <v>399</v>
      </c>
    </row>
    <row r="1416" spans="1:7">
      <c r="A1416" s="108"/>
      <c r="B1416" s="985" t="s">
        <v>421</v>
      </c>
      <c r="C1416" s="986"/>
      <c r="D1416" s="109" t="s">
        <v>467</v>
      </c>
      <c r="E1416" s="225">
        <v>0.23</v>
      </c>
      <c r="F1416" s="82">
        <f>_xlfn.IFNA(VLOOKUP(B1416,'sub M. DE OBRA'!$B$4:$E$19997,4,FALSE),0)</f>
        <v>301253.33333333331</v>
      </c>
      <c r="G1416" s="111">
        <f>+E1416*F1416</f>
        <v>69288.266666666663</v>
      </c>
    </row>
    <row r="1417" spans="1:7" ht="15" thickBot="1">
      <c r="A1417" s="987" t="s">
        <v>424</v>
      </c>
      <c r="B1417" s="988"/>
      <c r="C1417" s="989"/>
      <c r="D1417" s="990" t="s">
        <v>425</v>
      </c>
      <c r="E1417" s="990"/>
      <c r="F1417" s="990"/>
      <c r="G1417" s="14">
        <f>SUM(G1416:G1416)</f>
        <v>69288.266666666663</v>
      </c>
    </row>
    <row r="1418" spans="1:7" ht="15" thickBot="1">
      <c r="A1418" s="991"/>
      <c r="B1418" s="991"/>
      <c r="C1418" s="991"/>
      <c r="D1418" s="992" t="s">
        <v>426</v>
      </c>
      <c r="E1418" s="993"/>
      <c r="F1418" s="993"/>
      <c r="G1418" s="112">
        <f>ROUND(+G1402+G1409+G1413+G1417,)</f>
        <v>156529</v>
      </c>
    </row>
    <row r="1419" spans="1:7">
      <c r="A1419" s="49"/>
      <c r="B1419" s="49"/>
      <c r="C1419" s="49"/>
      <c r="D1419" s="49"/>
      <c r="E1419" s="223"/>
      <c r="F1419" s="49"/>
      <c r="G1419" s="49"/>
    </row>
    <row r="1420" spans="1:7" ht="15" thickBot="1">
      <c r="A1420" s="1036" t="s">
        <v>389</v>
      </c>
      <c r="B1420" s="1037"/>
      <c r="C1420" s="1037"/>
      <c r="D1420" s="1037"/>
      <c r="E1420" s="1037"/>
      <c r="F1420" s="1037"/>
      <c r="G1420" s="1038"/>
    </row>
    <row r="1421" spans="1:7" ht="15" thickBot="1">
      <c r="A1421" s="1006" t="s">
        <v>390</v>
      </c>
      <c r="B1421" s="1007"/>
      <c r="C1421" s="1007"/>
      <c r="D1421" s="1007"/>
      <c r="E1421" s="1007"/>
      <c r="F1421" s="42" t="s">
        <v>391</v>
      </c>
      <c r="G1421" s="43">
        <f ca="1">TODAY()</f>
        <v>46071</v>
      </c>
    </row>
    <row r="1422" spans="1:7" ht="15" thickBot="1">
      <c r="A1422" s="1018" t="str">
        <f>+'OFERTA ECONOMICA'!B69</f>
        <v>Mantenimiento  general  de  puertas,  incluye  desmonte, resane,  aplicación  de  pintura  anticorrosiva  donde  sea necesario y aplicación de esmalte alquídico color similar a toda la puerta, incluyendo el marco, incluye ajuste de perfil inferior atrapa polvo y demás actividades para su correcto funcionamiento y reinstalación.</v>
      </c>
      <c r="B1422" s="1019"/>
      <c r="C1422" s="1019"/>
      <c r="D1422" s="1019"/>
      <c r="E1422" s="1020"/>
      <c r="F1422" s="44" t="s">
        <v>392</v>
      </c>
      <c r="G1422" s="45" t="str">
        <f>+'OFERTA ECONOMICA'!C69</f>
        <v>un</v>
      </c>
    </row>
    <row r="1423" spans="1:7" ht="15" thickBot="1">
      <c r="A1423" s="1021"/>
      <c r="B1423" s="1022"/>
      <c r="C1423" s="1022"/>
      <c r="D1423" s="1022"/>
      <c r="E1423" s="1023"/>
      <c r="F1423" s="44" t="s">
        <v>393</v>
      </c>
      <c r="G1423" s="46">
        <f>+'OFERTA ECONOMICA'!D69</f>
        <v>12</v>
      </c>
    </row>
    <row r="1424" spans="1:7" ht="15" thickBot="1">
      <c r="A1424" s="1024"/>
      <c r="B1424" s="1025"/>
      <c r="C1424" s="1025"/>
      <c r="D1424" s="1025"/>
      <c r="E1424" s="1026"/>
      <c r="F1424" s="47" t="s">
        <v>394</v>
      </c>
      <c r="G1424" s="48" t="str">
        <f>+'OFERTA ECONOMICA'!A69</f>
        <v>2.1.13</v>
      </c>
    </row>
    <row r="1425" spans="1:7" ht="15" thickBot="1">
      <c r="A1425" s="1008" t="s">
        <v>1</v>
      </c>
      <c r="B1425" s="1009" t="s">
        <v>395</v>
      </c>
      <c r="C1425" s="1009"/>
      <c r="D1425" s="1009"/>
      <c r="E1425" s="1009"/>
      <c r="F1425" s="1009"/>
      <c r="G1425" s="1010"/>
    </row>
    <row r="1426" spans="1:7" ht="15" thickBot="1">
      <c r="A1426" s="982"/>
      <c r="B1426" s="913" t="s">
        <v>396</v>
      </c>
      <c r="C1426" s="914"/>
      <c r="D1426" s="95" t="s">
        <v>3</v>
      </c>
      <c r="E1426" s="207" t="s">
        <v>398</v>
      </c>
      <c r="F1426" s="95" t="s">
        <v>4</v>
      </c>
      <c r="G1426" s="97" t="s">
        <v>399</v>
      </c>
    </row>
    <row r="1427" spans="1:7">
      <c r="A1427" s="87"/>
      <c r="B1427" s="930" t="s">
        <v>427</v>
      </c>
      <c r="C1427" s="931"/>
      <c r="D1427" s="88" t="s">
        <v>428</v>
      </c>
      <c r="E1427" s="214">
        <f>+G1445</f>
        <v>168701.86666666667</v>
      </c>
      <c r="F1427" s="89">
        <v>0.05</v>
      </c>
      <c r="G1427" s="90">
        <f>ROUND((E1427*F1427),0)</f>
        <v>8435</v>
      </c>
    </row>
    <row r="1428" spans="1:7">
      <c r="A1428" s="91"/>
      <c r="B1428" s="968"/>
      <c r="C1428" s="969"/>
      <c r="D1428" s="92"/>
      <c r="E1428" s="215"/>
      <c r="F1428" s="93"/>
      <c r="G1428" s="94">
        <f>ROUND((E1428*F1428),0)</f>
        <v>0</v>
      </c>
    </row>
    <row r="1429" spans="1:7">
      <c r="A1429" s="91"/>
      <c r="B1429" s="968"/>
      <c r="C1429" s="969"/>
      <c r="D1429" s="92"/>
      <c r="E1429" s="215"/>
      <c r="F1429" s="93"/>
      <c r="G1429" s="94">
        <f>ROUND((E1429*F1429),0)</f>
        <v>0</v>
      </c>
    </row>
    <row r="1430" spans="1:7" ht="15" thickBot="1">
      <c r="A1430" s="994"/>
      <c r="B1430" s="995"/>
      <c r="C1430" s="995"/>
      <c r="D1430" s="981" t="s">
        <v>403</v>
      </c>
      <c r="E1430" s="981"/>
      <c r="F1430" s="981"/>
      <c r="G1430" s="13">
        <f>SUM(G1427:G1429)</f>
        <v>8435</v>
      </c>
    </row>
    <row r="1431" spans="1:7" ht="15" thickBot="1">
      <c r="A1431" s="982" t="s">
        <v>1</v>
      </c>
      <c r="B1431" s="983" t="s">
        <v>404</v>
      </c>
      <c r="C1431" s="983"/>
      <c r="D1431" s="983"/>
      <c r="E1431" s="983"/>
      <c r="F1431" s="983"/>
      <c r="G1431" s="984"/>
    </row>
    <row r="1432" spans="1:7" ht="15" thickBot="1">
      <c r="A1432" s="982"/>
      <c r="B1432" s="913" t="s">
        <v>396</v>
      </c>
      <c r="C1432" s="914"/>
      <c r="D1432" s="95" t="s">
        <v>3</v>
      </c>
      <c r="E1432" s="207" t="s">
        <v>398</v>
      </c>
      <c r="F1432" s="95" t="s">
        <v>397</v>
      </c>
      <c r="G1432" s="97" t="s">
        <v>399</v>
      </c>
    </row>
    <row r="1433" spans="1:7">
      <c r="A1433" s="98"/>
      <c r="B1433" s="928" t="s">
        <v>468</v>
      </c>
      <c r="C1433" s="929"/>
      <c r="D1433" s="99" t="s">
        <v>55</v>
      </c>
      <c r="E1433" s="216">
        <v>1310</v>
      </c>
      <c r="F1433" s="101">
        <v>1</v>
      </c>
      <c r="G1433" s="102">
        <f>ROUND(E1433*F1433,)</f>
        <v>1310</v>
      </c>
    </row>
    <row r="1434" spans="1:7">
      <c r="A1434" s="98"/>
      <c r="B1434" s="928" t="s">
        <v>469</v>
      </c>
      <c r="C1434" s="929"/>
      <c r="D1434" s="92" t="s">
        <v>411</v>
      </c>
      <c r="E1434" s="215">
        <v>15900</v>
      </c>
      <c r="F1434" s="101">
        <v>0.5</v>
      </c>
      <c r="G1434" s="102">
        <f>ROUND(E1434*F1434,)</f>
        <v>7950</v>
      </c>
    </row>
    <row r="1435" spans="1:7">
      <c r="A1435" s="98"/>
      <c r="B1435" s="928" t="s">
        <v>583</v>
      </c>
      <c r="C1435" s="929"/>
      <c r="D1435" s="99" t="s">
        <v>473</v>
      </c>
      <c r="E1435" s="216">
        <v>119900</v>
      </c>
      <c r="F1435" s="101">
        <v>0.4</v>
      </c>
      <c r="G1435" s="102">
        <f>ROUND(E1435*F1435,)</f>
        <v>47960</v>
      </c>
    </row>
    <row r="1436" spans="1:7">
      <c r="A1436" s="98"/>
      <c r="B1436" s="928" t="s">
        <v>584</v>
      </c>
      <c r="C1436" s="929"/>
      <c r="D1436" s="99" t="s">
        <v>473</v>
      </c>
      <c r="E1436" s="216">
        <f>100800*1.03</f>
        <v>103824</v>
      </c>
      <c r="F1436" s="101">
        <v>0.4</v>
      </c>
      <c r="G1436" s="102">
        <f>ROUND(E1436*F1436,)</f>
        <v>41530</v>
      </c>
    </row>
    <row r="1437" spans="1:7" ht="15" thickBot="1">
      <c r="A1437" s="996"/>
      <c r="B1437" s="997"/>
      <c r="C1437" s="998"/>
      <c r="D1437" s="981" t="s">
        <v>415</v>
      </c>
      <c r="E1437" s="981"/>
      <c r="F1437" s="981"/>
      <c r="G1437" s="13">
        <f>SUM(G1433:G1436)</f>
        <v>98750</v>
      </c>
    </row>
    <row r="1438" spans="1:7" ht="15" thickBot="1">
      <c r="A1438" s="982" t="s">
        <v>1</v>
      </c>
      <c r="B1438" s="983" t="s">
        <v>416</v>
      </c>
      <c r="C1438" s="983"/>
      <c r="D1438" s="983"/>
      <c r="E1438" s="983"/>
      <c r="F1438" s="983"/>
      <c r="G1438" s="984"/>
    </row>
    <row r="1439" spans="1:7" ht="15" thickBot="1">
      <c r="A1439" s="982"/>
      <c r="B1439" s="913" t="s">
        <v>396</v>
      </c>
      <c r="C1439" s="914"/>
      <c r="D1439" s="95" t="s">
        <v>3</v>
      </c>
      <c r="E1439" s="207" t="s">
        <v>398</v>
      </c>
      <c r="F1439" s="95" t="s">
        <v>397</v>
      </c>
      <c r="G1439" s="97" t="s">
        <v>399</v>
      </c>
    </row>
    <row r="1440" spans="1:7" ht="15" thickBot="1">
      <c r="A1440" s="103"/>
      <c r="B1440" s="942"/>
      <c r="C1440" s="943"/>
      <c r="D1440" s="104"/>
      <c r="E1440" s="212"/>
      <c r="F1440" s="105"/>
      <c r="G1440" s="106">
        <f>ROUND(F1440*E1440,)</f>
        <v>0</v>
      </c>
    </row>
    <row r="1441" spans="1:7" ht="15" thickBot="1">
      <c r="A1441" s="978"/>
      <c r="B1441" s="979"/>
      <c r="C1441" s="980"/>
      <c r="D1441" s="981" t="s">
        <v>418</v>
      </c>
      <c r="E1441" s="981"/>
      <c r="F1441" s="981"/>
      <c r="G1441" s="13">
        <f>SUM(G1440:G1440)</f>
        <v>0</v>
      </c>
    </row>
    <row r="1442" spans="1:7" ht="15" thickBot="1">
      <c r="A1442" s="982" t="s">
        <v>1</v>
      </c>
      <c r="B1442" s="983" t="s">
        <v>419</v>
      </c>
      <c r="C1442" s="983"/>
      <c r="D1442" s="983"/>
      <c r="E1442" s="983"/>
      <c r="F1442" s="983"/>
      <c r="G1442" s="984"/>
    </row>
    <row r="1443" spans="1:7" ht="15" thickBot="1">
      <c r="A1443" s="982"/>
      <c r="B1443" s="913" t="s">
        <v>396</v>
      </c>
      <c r="C1443" s="914"/>
      <c r="D1443" s="95" t="s">
        <v>3</v>
      </c>
      <c r="E1443" s="207" t="s">
        <v>4</v>
      </c>
      <c r="F1443" s="107" t="s">
        <v>420</v>
      </c>
      <c r="G1443" s="97" t="s">
        <v>399</v>
      </c>
    </row>
    <row r="1444" spans="1:7">
      <c r="A1444" s="108"/>
      <c r="B1444" s="985" t="s">
        <v>421</v>
      </c>
      <c r="C1444" s="986"/>
      <c r="D1444" s="109" t="s">
        <v>467</v>
      </c>
      <c r="E1444" s="225">
        <v>0.56000000000000005</v>
      </c>
      <c r="F1444" s="82">
        <f>_xlfn.IFNA(VLOOKUP(B1444,'sub M. DE OBRA'!$B$4:$E$19997,4,FALSE),0)</f>
        <v>301253.33333333331</v>
      </c>
      <c r="G1444" s="111">
        <f>+E1444*F1444</f>
        <v>168701.86666666667</v>
      </c>
    </row>
    <row r="1445" spans="1:7" ht="15" thickBot="1">
      <c r="A1445" s="987" t="s">
        <v>424</v>
      </c>
      <c r="B1445" s="988"/>
      <c r="C1445" s="989"/>
      <c r="D1445" s="990" t="s">
        <v>425</v>
      </c>
      <c r="E1445" s="990"/>
      <c r="F1445" s="990"/>
      <c r="G1445" s="14">
        <f>SUM(G1444:G1444)</f>
        <v>168701.86666666667</v>
      </c>
    </row>
    <row r="1446" spans="1:7" ht="15" thickBot="1">
      <c r="A1446" s="991"/>
      <c r="B1446" s="991"/>
      <c r="C1446" s="991"/>
      <c r="D1446" s="992" t="s">
        <v>426</v>
      </c>
      <c r="E1446" s="993"/>
      <c r="F1446" s="993"/>
      <c r="G1446" s="112">
        <f>ROUND(+G1430+G1437+G1441+G1445,)</f>
        <v>275887</v>
      </c>
    </row>
    <row r="1447" spans="1:7">
      <c r="E1447" s="41"/>
      <c r="F1447" s="41"/>
    </row>
    <row r="1448" spans="1:7" ht="15" thickBot="1">
      <c r="A1448" s="1036" t="s">
        <v>389</v>
      </c>
      <c r="B1448" s="1037"/>
      <c r="C1448" s="1037"/>
      <c r="D1448" s="1037"/>
      <c r="E1448" s="1037"/>
      <c r="F1448" s="1037"/>
      <c r="G1448" s="1038"/>
    </row>
    <row r="1449" spans="1:7" ht="15" thickBot="1">
      <c r="A1449" s="1006" t="s">
        <v>390</v>
      </c>
      <c r="B1449" s="1007"/>
      <c r="C1449" s="1007"/>
      <c r="D1449" s="1007"/>
      <c r="E1449" s="1007"/>
      <c r="F1449" s="42" t="s">
        <v>391</v>
      </c>
      <c r="G1449" s="43">
        <f ca="1">TODAY()</f>
        <v>46071</v>
      </c>
    </row>
    <row r="1450" spans="1:7" ht="27.75" customHeight="1" thickBot="1">
      <c r="A1450" s="1018" t="str">
        <f>+'OFERTA ECONOMICA'!B70</f>
        <v>Aplicación de pintura para canoas metálicas con esmalte alquídico Pintulux ó similar para elementos metálicos en interiores y exteriores que contenga anticorrosivo; hasta 3 m de altura de acuerdo a especificación técnica del fabricante, en preparación de superficie, preparación del producto y aplicación, según color requerido en sitio, Incluye la pintura del marco. Color a definir, aprobado por la interventoría. Se debe adecuar la superficie en caso de ser necesario. Incluye personal y andamios certificados para trabajos en alturas.</v>
      </c>
      <c r="B1450" s="1019"/>
      <c r="C1450" s="1019"/>
      <c r="D1450" s="1019"/>
      <c r="E1450" s="1020"/>
      <c r="F1450" s="44" t="s">
        <v>392</v>
      </c>
      <c r="G1450" s="45" t="str">
        <f>+'OFERTA ECONOMICA'!C70</f>
        <v>m</v>
      </c>
    </row>
    <row r="1451" spans="1:7" ht="27.75" customHeight="1" thickBot="1">
      <c r="A1451" s="1021"/>
      <c r="B1451" s="1022"/>
      <c r="C1451" s="1022"/>
      <c r="D1451" s="1022"/>
      <c r="E1451" s="1023"/>
      <c r="F1451" s="44" t="s">
        <v>393</v>
      </c>
      <c r="G1451" s="46">
        <f>+'OFERTA ECONOMICA'!D70</f>
        <v>60</v>
      </c>
    </row>
    <row r="1452" spans="1:7" ht="27.75" customHeight="1" thickBot="1">
      <c r="A1452" s="1024"/>
      <c r="B1452" s="1025"/>
      <c r="C1452" s="1025"/>
      <c r="D1452" s="1025"/>
      <c r="E1452" s="1026"/>
      <c r="F1452" s="47" t="s">
        <v>394</v>
      </c>
      <c r="G1452" s="48" t="str">
        <f>+'OFERTA ECONOMICA'!A70</f>
        <v>2.1.14</v>
      </c>
    </row>
    <row r="1453" spans="1:7" ht="15" thickBot="1">
      <c r="A1453" s="1008" t="s">
        <v>1</v>
      </c>
      <c r="B1453" s="1009" t="s">
        <v>395</v>
      </c>
      <c r="C1453" s="1009"/>
      <c r="D1453" s="1009"/>
      <c r="E1453" s="1009"/>
      <c r="F1453" s="1009"/>
      <c r="G1453" s="1010"/>
    </row>
    <row r="1454" spans="1:7" ht="15" thickBot="1">
      <c r="A1454" s="982"/>
      <c r="B1454" s="913" t="s">
        <v>396</v>
      </c>
      <c r="C1454" s="914"/>
      <c r="D1454" s="95" t="s">
        <v>3</v>
      </c>
      <c r="E1454" s="207" t="s">
        <v>398</v>
      </c>
      <c r="F1454" s="95" t="s">
        <v>4</v>
      </c>
      <c r="G1454" s="97" t="s">
        <v>399</v>
      </c>
    </row>
    <row r="1455" spans="1:7">
      <c r="A1455" s="87"/>
      <c r="B1455" s="930" t="s">
        <v>427</v>
      </c>
      <c r="C1455" s="931"/>
      <c r="D1455" s="88" t="s">
        <v>428</v>
      </c>
      <c r="E1455" s="214">
        <f>+G1474</f>
        <v>33137.866666666661</v>
      </c>
      <c r="F1455" s="89">
        <v>0.05</v>
      </c>
      <c r="G1455" s="90">
        <f>ROUND((E1455*F1455),0)</f>
        <v>1657</v>
      </c>
    </row>
    <row r="1456" spans="1:7">
      <c r="A1456" s="91"/>
      <c r="B1456" s="968" t="s">
        <v>462</v>
      </c>
      <c r="C1456" s="969"/>
      <c r="D1456" s="92" t="s">
        <v>430</v>
      </c>
      <c r="E1456" s="215">
        <v>36500</v>
      </c>
      <c r="F1456" s="93">
        <f>+E1473</f>
        <v>0.11</v>
      </c>
      <c r="G1456" s="94">
        <f>ROUND((E1456*F1456),0)</f>
        <v>4015</v>
      </c>
    </row>
    <row r="1457" spans="1:7">
      <c r="A1457" s="91"/>
      <c r="B1457" s="968"/>
      <c r="C1457" s="969"/>
      <c r="D1457" s="92"/>
      <c r="E1457" s="215"/>
      <c r="F1457" s="93"/>
      <c r="G1457" s="94">
        <f>ROUND((E1457*F1457),0)</f>
        <v>0</v>
      </c>
    </row>
    <row r="1458" spans="1:7" ht="15" thickBot="1">
      <c r="A1458" s="994"/>
      <c r="B1458" s="995"/>
      <c r="C1458" s="995"/>
      <c r="D1458" s="981" t="s">
        <v>403</v>
      </c>
      <c r="E1458" s="981"/>
      <c r="F1458" s="981"/>
      <c r="G1458" s="13">
        <f>SUM(G1455:G1457)</f>
        <v>5672</v>
      </c>
    </row>
    <row r="1459" spans="1:7" ht="15" thickBot="1">
      <c r="A1459" s="982" t="s">
        <v>1</v>
      </c>
      <c r="B1459" s="983" t="s">
        <v>404</v>
      </c>
      <c r="C1459" s="983"/>
      <c r="D1459" s="983"/>
      <c r="E1459" s="983"/>
      <c r="F1459" s="983"/>
      <c r="G1459" s="984"/>
    </row>
    <row r="1460" spans="1:7" ht="15" thickBot="1">
      <c r="A1460" s="982"/>
      <c r="B1460" s="913" t="s">
        <v>396</v>
      </c>
      <c r="C1460" s="914"/>
      <c r="D1460" s="95" t="s">
        <v>3</v>
      </c>
      <c r="E1460" s="207" t="s">
        <v>398</v>
      </c>
      <c r="F1460" s="95" t="s">
        <v>397</v>
      </c>
      <c r="G1460" s="97" t="s">
        <v>399</v>
      </c>
    </row>
    <row r="1461" spans="1:7">
      <c r="A1461" s="108"/>
      <c r="B1461" s="985" t="s">
        <v>493</v>
      </c>
      <c r="C1461" s="986"/>
      <c r="D1461" s="109" t="s">
        <v>473</v>
      </c>
      <c r="E1461" s="214">
        <v>72563</v>
      </c>
      <c r="F1461" s="110">
        <v>0.05</v>
      </c>
      <c r="G1461" s="111">
        <f>ROUND(E1461*F1461,)</f>
        <v>3628</v>
      </c>
    </row>
    <row r="1462" spans="1:7">
      <c r="A1462" s="98"/>
      <c r="B1462" s="928" t="s">
        <v>521</v>
      </c>
      <c r="C1462" s="929"/>
      <c r="D1462" s="92" t="s">
        <v>473</v>
      </c>
      <c r="E1462" s="215">
        <v>65899</v>
      </c>
      <c r="F1462" s="101">
        <v>3.5000000000000003E-2</v>
      </c>
      <c r="G1462" s="102">
        <f>ROUND(E1462*F1462,)</f>
        <v>2306</v>
      </c>
    </row>
    <row r="1463" spans="1:7">
      <c r="A1463" s="98"/>
      <c r="B1463" s="928" t="s">
        <v>516</v>
      </c>
      <c r="C1463" s="929"/>
      <c r="D1463" s="99" t="s">
        <v>473</v>
      </c>
      <c r="E1463" s="216">
        <v>60528</v>
      </c>
      <c r="F1463" s="101">
        <v>2.5000000000000001E-2</v>
      </c>
      <c r="G1463" s="102">
        <f>ROUND(E1463*F1463,)</f>
        <v>1513</v>
      </c>
    </row>
    <row r="1464" spans="1:7">
      <c r="A1464" s="98"/>
      <c r="B1464" s="928"/>
      <c r="C1464" s="929"/>
      <c r="D1464" s="92"/>
      <c r="E1464" s="215"/>
      <c r="F1464" s="101"/>
      <c r="G1464" s="102">
        <f>ROUND(E1464*F1464,)</f>
        <v>0</v>
      </c>
    </row>
    <row r="1465" spans="1:7">
      <c r="A1465" s="98"/>
      <c r="B1465" s="928"/>
      <c r="C1465" s="929"/>
      <c r="D1465" s="99"/>
      <c r="E1465" s="216"/>
      <c r="F1465" s="101"/>
      <c r="G1465" s="102">
        <f>ROUND(E1465*F1465,)</f>
        <v>0</v>
      </c>
    </row>
    <row r="1466" spans="1:7" ht="15" thickBot="1">
      <c r="A1466" s="996"/>
      <c r="B1466" s="997"/>
      <c r="C1466" s="998"/>
      <c r="D1466" s="981" t="s">
        <v>415</v>
      </c>
      <c r="E1466" s="981"/>
      <c r="F1466" s="981"/>
      <c r="G1466" s="13">
        <f>SUM(G1461:G1465)</f>
        <v>7447</v>
      </c>
    </row>
    <row r="1467" spans="1:7" ht="15" thickBot="1">
      <c r="A1467" s="982" t="s">
        <v>1</v>
      </c>
      <c r="B1467" s="983" t="s">
        <v>416</v>
      </c>
      <c r="C1467" s="983"/>
      <c r="D1467" s="983"/>
      <c r="E1467" s="983"/>
      <c r="F1467" s="983"/>
      <c r="G1467" s="984"/>
    </row>
    <row r="1468" spans="1:7" ht="15" thickBot="1">
      <c r="A1468" s="982"/>
      <c r="B1468" s="913" t="s">
        <v>396</v>
      </c>
      <c r="C1468" s="914"/>
      <c r="D1468" s="95" t="s">
        <v>3</v>
      </c>
      <c r="E1468" s="207" t="s">
        <v>398</v>
      </c>
      <c r="F1468" s="95" t="s">
        <v>397</v>
      </c>
      <c r="G1468" s="97" t="s">
        <v>399</v>
      </c>
    </row>
    <row r="1469" spans="1:7" ht="15" thickBot="1">
      <c r="A1469" s="103"/>
      <c r="B1469" s="942" t="s">
        <v>522</v>
      </c>
      <c r="C1469" s="943"/>
      <c r="D1469" s="104" t="s">
        <v>28</v>
      </c>
      <c r="E1469" s="212">
        <v>54140</v>
      </c>
      <c r="F1469" s="105">
        <v>0.03</v>
      </c>
      <c r="G1469" s="106">
        <f>ROUND(F1469*E1469,)</f>
        <v>1624</v>
      </c>
    </row>
    <row r="1470" spans="1:7" ht="15" thickBot="1">
      <c r="A1470" s="978"/>
      <c r="B1470" s="979"/>
      <c r="C1470" s="980"/>
      <c r="D1470" s="981" t="s">
        <v>418</v>
      </c>
      <c r="E1470" s="981"/>
      <c r="F1470" s="981"/>
      <c r="G1470" s="13">
        <f>SUM(G1469:G1469)</f>
        <v>1624</v>
      </c>
    </row>
    <row r="1471" spans="1:7" ht="15" thickBot="1">
      <c r="A1471" s="982" t="s">
        <v>1</v>
      </c>
      <c r="B1471" s="983" t="s">
        <v>419</v>
      </c>
      <c r="C1471" s="983"/>
      <c r="D1471" s="983"/>
      <c r="E1471" s="983"/>
      <c r="F1471" s="983"/>
      <c r="G1471" s="984"/>
    </row>
    <row r="1472" spans="1:7" ht="15" thickBot="1">
      <c r="A1472" s="982"/>
      <c r="B1472" s="913" t="s">
        <v>396</v>
      </c>
      <c r="C1472" s="914"/>
      <c r="D1472" s="95" t="s">
        <v>3</v>
      </c>
      <c r="E1472" s="207" t="s">
        <v>4</v>
      </c>
      <c r="F1472" s="107" t="s">
        <v>420</v>
      </c>
      <c r="G1472" s="97" t="s">
        <v>399</v>
      </c>
    </row>
    <row r="1473" spans="1:7">
      <c r="A1473" s="108"/>
      <c r="B1473" s="985" t="s">
        <v>512</v>
      </c>
      <c r="C1473" s="986"/>
      <c r="D1473" s="109" t="s">
        <v>467</v>
      </c>
      <c r="E1473" s="321">
        <v>0.11</v>
      </c>
      <c r="F1473" s="82">
        <f>_xlfn.IFNA(VLOOKUP(B1473,'sub M. DE OBRA'!$B$4:$E$19997,4,FALSE),0)</f>
        <v>301253.33333333331</v>
      </c>
      <c r="G1473" s="111">
        <f>+E1473*F1473</f>
        <v>33137.866666666661</v>
      </c>
    </row>
    <row r="1474" spans="1:7" ht="15" thickBot="1">
      <c r="A1474" s="987" t="s">
        <v>424</v>
      </c>
      <c r="B1474" s="988"/>
      <c r="C1474" s="989"/>
      <c r="D1474" s="990" t="s">
        <v>425</v>
      </c>
      <c r="E1474" s="990"/>
      <c r="F1474" s="990"/>
      <c r="G1474" s="14">
        <f>SUM(G1473:G1473)</f>
        <v>33137.866666666661</v>
      </c>
    </row>
    <row r="1475" spans="1:7" ht="15" thickBot="1">
      <c r="A1475" s="991"/>
      <c r="B1475" s="991"/>
      <c r="C1475" s="991"/>
      <c r="D1475" s="992" t="s">
        <v>426</v>
      </c>
      <c r="E1475" s="993"/>
      <c r="F1475" s="993"/>
      <c r="G1475" s="112">
        <f>ROUND(+G1458+G1466+G1470+G1474,)</f>
        <v>47881</v>
      </c>
    </row>
    <row r="1476" spans="1:7" ht="15" thickBot="1">
      <c r="E1476" s="41"/>
      <c r="F1476" s="41"/>
    </row>
    <row r="1477" spans="1:7" ht="15" thickBot="1">
      <c r="A1477" s="950" t="s">
        <v>390</v>
      </c>
      <c r="B1477" s="951"/>
      <c r="C1477" s="951"/>
      <c r="D1477" s="951"/>
      <c r="E1477" s="952"/>
      <c r="F1477" s="42" t="s">
        <v>391</v>
      </c>
      <c r="G1477" s="43">
        <f ca="1">TODAY()</f>
        <v>46071</v>
      </c>
    </row>
    <row r="1478" spans="1:7" ht="15" thickBot="1">
      <c r="A1478" s="1018" t="str">
        <f>+'OFERTA ECONOMICA'!B71</f>
        <v>Suministro, transporte y colocación de canoa en lámina galvanizada calibre 24, moldurada desarrollo 0,70 m.  incluye embudo galvanizado calibre 16 y codo galvanizado calibre 26 aproximadamente cada 5 m., pintura anticorrosiva, esmalte base aceite y todos los elementos necesarios para su correcta instalación. Incluye personal y andamios certificados para trabajos en alturas.</v>
      </c>
      <c r="B1478" s="1019"/>
      <c r="C1478" s="1019"/>
      <c r="D1478" s="1019"/>
      <c r="E1478" s="1020"/>
      <c r="F1478" s="44" t="s">
        <v>392</v>
      </c>
      <c r="G1478" s="45" t="str">
        <f>+'OFERTA ECONOMICA'!C71</f>
        <v>m</v>
      </c>
    </row>
    <row r="1479" spans="1:7" ht="15" thickBot="1">
      <c r="A1479" s="1021"/>
      <c r="B1479" s="1022"/>
      <c r="C1479" s="1022"/>
      <c r="D1479" s="1022"/>
      <c r="E1479" s="1023"/>
      <c r="F1479" s="44" t="s">
        <v>393</v>
      </c>
      <c r="G1479" s="46">
        <f>+'OFERTA ECONOMICA'!D71</f>
        <v>50</v>
      </c>
    </row>
    <row r="1480" spans="1:7" ht="15" thickBot="1">
      <c r="A1480" s="1024"/>
      <c r="B1480" s="1025"/>
      <c r="C1480" s="1025"/>
      <c r="D1480" s="1025"/>
      <c r="E1480" s="1026"/>
      <c r="F1480" s="47" t="s">
        <v>394</v>
      </c>
      <c r="G1480" s="48" t="str">
        <f>+'OFERTA ECONOMICA'!A71</f>
        <v>2.1.15</v>
      </c>
    </row>
    <row r="1481" spans="1:7" ht="15" thickBot="1">
      <c r="A1481" s="1032" t="s">
        <v>1</v>
      </c>
      <c r="B1481" s="1033" t="s">
        <v>395</v>
      </c>
      <c r="C1481" s="1034"/>
      <c r="D1481" s="1034"/>
      <c r="E1481" s="1034"/>
      <c r="F1481" s="1034"/>
      <c r="G1481" s="1035"/>
    </row>
    <row r="1482" spans="1:7" ht="15" thickBot="1">
      <c r="A1482" s="909"/>
      <c r="B1482" s="913" t="s">
        <v>396</v>
      </c>
      <c r="C1482" s="914"/>
      <c r="D1482" s="95" t="s">
        <v>3</v>
      </c>
      <c r="E1482" s="207" t="s">
        <v>398</v>
      </c>
      <c r="F1482" s="95" t="s">
        <v>439</v>
      </c>
      <c r="G1482" s="113" t="s">
        <v>399</v>
      </c>
    </row>
    <row r="1483" spans="1:7" ht="15" thickBot="1">
      <c r="A1483" s="114"/>
      <c r="B1483" s="966" t="s">
        <v>427</v>
      </c>
      <c r="C1483" s="967"/>
      <c r="D1483" s="88" t="s">
        <v>428</v>
      </c>
      <c r="E1483" s="214">
        <f>+G1508</f>
        <v>45188</v>
      </c>
      <c r="F1483" s="89">
        <v>0.05</v>
      </c>
      <c r="G1483" s="117">
        <f>ROUND((E1483*F1483),0)</f>
        <v>2259</v>
      </c>
    </row>
    <row r="1484" spans="1:7" ht="15" thickBot="1">
      <c r="A1484" s="114"/>
      <c r="B1484" s="966" t="s">
        <v>481</v>
      </c>
      <c r="C1484" s="967"/>
      <c r="D1484" s="88" t="s">
        <v>430</v>
      </c>
      <c r="E1484" s="214">
        <v>3482</v>
      </c>
      <c r="F1484" s="89">
        <v>0.3</v>
      </c>
      <c r="G1484" s="117">
        <f>ROUND((E1484*F1484),0)</f>
        <v>1045</v>
      </c>
    </row>
    <row r="1485" spans="1:7">
      <c r="A1485" s="154"/>
      <c r="B1485" s="930" t="s">
        <v>513</v>
      </c>
      <c r="C1485" s="931"/>
      <c r="D1485" s="171" t="s">
        <v>430</v>
      </c>
      <c r="E1485" s="220">
        <v>23072</v>
      </c>
      <c r="F1485" s="93">
        <v>0.1</v>
      </c>
      <c r="G1485" s="149">
        <f>ROUND((E1485*F1485),0)</f>
        <v>2307</v>
      </c>
    </row>
    <row r="1486" spans="1:7" ht="15" thickBot="1">
      <c r="A1486" s="970"/>
      <c r="B1486" s="971"/>
      <c r="C1486" s="972"/>
      <c r="D1486" s="973" t="s">
        <v>403</v>
      </c>
      <c r="E1486" s="974"/>
      <c r="F1486" s="975"/>
      <c r="G1486" s="11">
        <f>SUM(G1483:G1485)</f>
        <v>5611</v>
      </c>
    </row>
    <row r="1487" spans="1:7" ht="15" thickBot="1">
      <c r="A1487" s="908" t="s">
        <v>1</v>
      </c>
      <c r="B1487" s="910" t="s">
        <v>404</v>
      </c>
      <c r="C1487" s="911"/>
      <c r="D1487" s="911"/>
      <c r="E1487" s="911"/>
      <c r="F1487" s="911"/>
      <c r="G1487" s="912"/>
    </row>
    <row r="1488" spans="1:7" ht="15" thickBot="1">
      <c r="A1488" s="909"/>
      <c r="B1488" s="913" t="s">
        <v>396</v>
      </c>
      <c r="C1488" s="914"/>
      <c r="D1488" s="95" t="s">
        <v>3</v>
      </c>
      <c r="E1488" s="207" t="s">
        <v>398</v>
      </c>
      <c r="F1488" s="95" t="s">
        <v>397</v>
      </c>
      <c r="G1488" s="113" t="s">
        <v>399</v>
      </c>
    </row>
    <row r="1489" spans="1:7" ht="15" thickBot="1">
      <c r="A1489" s="122"/>
      <c r="B1489" s="1030" t="s">
        <v>514</v>
      </c>
      <c r="C1489" s="1031"/>
      <c r="D1489" s="88" t="s">
        <v>12</v>
      </c>
      <c r="E1489" s="214">
        <v>77642</v>
      </c>
      <c r="F1489" s="89">
        <v>1.05</v>
      </c>
      <c r="G1489" s="149">
        <f t="shared" ref="G1489:G1494" si="99">ROUND((E1489*F1489),0)</f>
        <v>81524</v>
      </c>
    </row>
    <row r="1490" spans="1:7" ht="15" thickBot="1">
      <c r="A1490" s="122"/>
      <c r="B1490" s="976" t="s">
        <v>515</v>
      </c>
      <c r="C1490" s="977"/>
      <c r="D1490" s="88" t="s">
        <v>473</v>
      </c>
      <c r="E1490" s="214">
        <v>54000</v>
      </c>
      <c r="F1490" s="89">
        <v>1.05</v>
      </c>
      <c r="G1490" s="149">
        <f t="shared" si="99"/>
        <v>56700</v>
      </c>
    </row>
    <row r="1491" spans="1:7" ht="15" thickBot="1">
      <c r="A1491" s="122"/>
      <c r="B1491" s="976" t="s">
        <v>516</v>
      </c>
      <c r="C1491" s="977"/>
      <c r="D1491" s="88" t="s">
        <v>473</v>
      </c>
      <c r="E1491" s="214">
        <v>39900</v>
      </c>
      <c r="F1491" s="89">
        <v>0.08</v>
      </c>
      <c r="G1491" s="149">
        <f t="shared" si="99"/>
        <v>3192</v>
      </c>
    </row>
    <row r="1492" spans="1:7" ht="15" thickBot="1">
      <c r="A1492" s="155"/>
      <c r="B1492" s="930" t="s">
        <v>493</v>
      </c>
      <c r="C1492" s="931"/>
      <c r="D1492" s="88" t="s">
        <v>473</v>
      </c>
      <c r="E1492" s="214">
        <v>72563</v>
      </c>
      <c r="F1492" s="89">
        <v>0.1</v>
      </c>
      <c r="G1492" s="149">
        <f t="shared" si="99"/>
        <v>7256</v>
      </c>
    </row>
    <row r="1493" spans="1:7" ht="15" thickBot="1">
      <c r="A1493" s="155"/>
      <c r="B1493" s="930" t="s">
        <v>517</v>
      </c>
      <c r="C1493" s="931"/>
      <c r="D1493" s="88" t="s">
        <v>55</v>
      </c>
      <c r="E1493" s="214">
        <v>25200</v>
      </c>
      <c r="F1493" s="89">
        <v>0.38</v>
      </c>
      <c r="G1493" s="149">
        <f t="shared" si="99"/>
        <v>9576</v>
      </c>
    </row>
    <row r="1494" spans="1:7" ht="15" thickBot="1">
      <c r="A1494" s="155"/>
      <c r="B1494" s="930" t="s">
        <v>518</v>
      </c>
      <c r="C1494" s="931"/>
      <c r="D1494" s="88" t="s">
        <v>55</v>
      </c>
      <c r="E1494" s="214">
        <v>6950</v>
      </c>
      <c r="F1494" s="89">
        <v>0.5</v>
      </c>
      <c r="G1494" s="149">
        <f t="shared" si="99"/>
        <v>3475</v>
      </c>
    </row>
    <row r="1495" spans="1:7" ht="15" thickBot="1">
      <c r="A1495" s="178"/>
      <c r="B1495" s="926" t="s">
        <v>519</v>
      </c>
      <c r="C1495" s="927"/>
      <c r="D1495" s="179" t="s">
        <v>55</v>
      </c>
      <c r="E1495" s="221">
        <v>240</v>
      </c>
      <c r="F1495" s="89">
        <v>3</v>
      </c>
      <c r="G1495" s="181">
        <f>ROUND(E1495*F1495,)</f>
        <v>720</v>
      </c>
    </row>
    <row r="1496" spans="1:7" ht="15" thickBot="1">
      <c r="A1496" s="932"/>
      <c r="B1496" s="933"/>
      <c r="C1496" s="934"/>
      <c r="D1496" s="935" t="s">
        <v>415</v>
      </c>
      <c r="E1496" s="936"/>
      <c r="F1496" s="937"/>
      <c r="G1496" s="18">
        <f>SUM(G1489:G1495)</f>
        <v>162443</v>
      </c>
    </row>
    <row r="1497" spans="1:7" ht="15" thickBot="1">
      <c r="A1497" s="908" t="s">
        <v>1</v>
      </c>
      <c r="B1497" s="910" t="s">
        <v>416</v>
      </c>
      <c r="C1497" s="911"/>
      <c r="D1497" s="911"/>
      <c r="E1497" s="911"/>
      <c r="F1497" s="911"/>
      <c r="G1497" s="912"/>
    </row>
    <row r="1498" spans="1:7" ht="15" thickBot="1">
      <c r="A1498" s="909"/>
      <c r="B1498" s="913" t="s">
        <v>396</v>
      </c>
      <c r="C1498" s="914"/>
      <c r="D1498" s="95" t="s">
        <v>3</v>
      </c>
      <c r="E1498" s="207" t="s">
        <v>398</v>
      </c>
      <c r="F1498" s="95" t="s">
        <v>397</v>
      </c>
      <c r="G1498" s="113" t="s">
        <v>399</v>
      </c>
    </row>
    <row r="1499" spans="1:7" ht="15" thickBot="1">
      <c r="A1499" s="127"/>
      <c r="B1499" s="942" t="s">
        <v>436</v>
      </c>
      <c r="C1499" s="943"/>
      <c r="D1499" s="104" t="s">
        <v>28</v>
      </c>
      <c r="E1499" s="212">
        <v>22500</v>
      </c>
      <c r="F1499" s="89">
        <v>0.15</v>
      </c>
      <c r="G1499" s="159">
        <f>ROUND(F1499*E1499,)</f>
        <v>3375</v>
      </c>
    </row>
    <row r="1500" spans="1:7">
      <c r="A1500" s="156"/>
      <c r="B1500" s="940" t="s">
        <v>402</v>
      </c>
      <c r="C1500" s="941"/>
      <c r="D1500" s="157" t="s">
        <v>402</v>
      </c>
      <c r="E1500" s="219"/>
      <c r="F1500" s="158"/>
      <c r="G1500" s="159">
        <f>ROUND(F1500*E1500,)</f>
        <v>0</v>
      </c>
    </row>
    <row r="1501" spans="1:7" ht="15" thickBot="1">
      <c r="A1501" s="130"/>
      <c r="B1501" s="942" t="s">
        <v>402</v>
      </c>
      <c r="C1501" s="943"/>
      <c r="D1501" s="104" t="s">
        <v>402</v>
      </c>
      <c r="E1501" s="212"/>
      <c r="F1501" s="105"/>
      <c r="G1501" s="131">
        <f>ROUND(F1501*E1501,)</f>
        <v>0</v>
      </c>
    </row>
    <row r="1502" spans="1:7" ht="15" thickBot="1">
      <c r="A1502" s="944"/>
      <c r="B1502" s="945"/>
      <c r="C1502" s="946"/>
      <c r="D1502" s="947" t="s">
        <v>418</v>
      </c>
      <c r="E1502" s="948"/>
      <c r="F1502" s="949"/>
      <c r="G1502" s="11">
        <f>SUM(G1499:G1501)</f>
        <v>3375</v>
      </c>
    </row>
    <row r="1503" spans="1:7" ht="15" thickBot="1">
      <c r="A1503" s="908" t="s">
        <v>1</v>
      </c>
      <c r="B1503" s="910" t="s">
        <v>419</v>
      </c>
      <c r="C1503" s="911"/>
      <c r="D1503" s="911"/>
      <c r="E1503" s="911"/>
      <c r="F1503" s="911"/>
      <c r="G1503" s="912"/>
    </row>
    <row r="1504" spans="1:7" ht="15" thickBot="1">
      <c r="A1504" s="909"/>
      <c r="B1504" s="913" t="s">
        <v>396</v>
      </c>
      <c r="C1504" s="914"/>
      <c r="D1504" s="95" t="s">
        <v>3</v>
      </c>
      <c r="E1504" s="207" t="s">
        <v>398</v>
      </c>
      <c r="F1504" s="95" t="s">
        <v>397</v>
      </c>
      <c r="G1504" s="113" t="s">
        <v>399</v>
      </c>
    </row>
    <row r="1505" spans="1:7" ht="15" thickBot="1">
      <c r="A1505" s="122"/>
      <c r="B1505" s="985" t="s">
        <v>480</v>
      </c>
      <c r="C1505" s="986"/>
      <c r="D1505" s="109" t="s">
        <v>422</v>
      </c>
      <c r="E1505" s="82">
        <f>_xlfn.IFNA(VLOOKUP(B1505,'sub M. DE OBRA'!$B$4:$E$19997,4,FALSE),0)</f>
        <v>301253.33333333331</v>
      </c>
      <c r="F1505" s="110">
        <v>0.1</v>
      </c>
      <c r="G1505" s="129">
        <f>ROUND(F1505*E1505,)</f>
        <v>30125</v>
      </c>
    </row>
    <row r="1506" spans="1:7" ht="15" thickBot="1">
      <c r="A1506" s="155"/>
      <c r="B1506" s="985" t="s">
        <v>520</v>
      </c>
      <c r="C1506" s="986"/>
      <c r="D1506" s="92" t="s">
        <v>422</v>
      </c>
      <c r="E1506" s="82">
        <f>_xlfn.IFNA(VLOOKUP(B1506,'sub M. DE OBRA'!$B$4:$E$19997,4,FALSE),0)</f>
        <v>301253.33333333331</v>
      </c>
      <c r="F1506" s="101">
        <v>0.05</v>
      </c>
      <c r="G1506" s="129">
        <f>ROUND(F1506*E1506,)</f>
        <v>15063</v>
      </c>
    </row>
    <row r="1507" spans="1:7" s="7" customFormat="1" ht="13.5" thickBot="1">
      <c r="A1507" s="165"/>
      <c r="B1507" s="985"/>
      <c r="C1507" s="986"/>
      <c r="D1507" s="168"/>
      <c r="E1507" s="222"/>
      <c r="F1507" s="169"/>
      <c r="G1507" s="170">
        <f>ROUND(E1507*F1507*C1507,0)</f>
        <v>0</v>
      </c>
    </row>
    <row r="1508" spans="1:7" ht="15" thickBot="1">
      <c r="A1508" s="915" t="s">
        <v>424</v>
      </c>
      <c r="B1508" s="916"/>
      <c r="C1508" s="917"/>
      <c r="D1508" s="918" t="s">
        <v>425</v>
      </c>
      <c r="E1508" s="919"/>
      <c r="F1508" s="920"/>
      <c r="G1508" s="12">
        <f>SUM(G1505:G1507)</f>
        <v>45188</v>
      </c>
    </row>
    <row r="1509" spans="1:7" ht="15" thickBot="1">
      <c r="A1509" s="921"/>
      <c r="B1509" s="922"/>
      <c r="C1509" s="922"/>
      <c r="D1509" s="923" t="s">
        <v>426</v>
      </c>
      <c r="E1509" s="924"/>
      <c r="F1509" s="925"/>
      <c r="G1509" s="153">
        <f>+G1486+G1496+G1502+G1508</f>
        <v>216617</v>
      </c>
    </row>
    <row r="1510" spans="1:7" ht="15" thickBot="1">
      <c r="E1510" s="41"/>
      <c r="F1510" s="41"/>
    </row>
    <row r="1511" spans="1:7" ht="15" thickBot="1">
      <c r="A1511" s="1006" t="s">
        <v>390</v>
      </c>
      <c r="B1511" s="1007"/>
      <c r="C1511" s="1007"/>
      <c r="D1511" s="1007"/>
      <c r="E1511" s="1007"/>
      <c r="F1511" s="42" t="s">
        <v>391</v>
      </c>
      <c r="G1511" s="43">
        <f ca="1">TODAY()</f>
        <v>46071</v>
      </c>
    </row>
    <row r="1512" spans="1:7" ht="15" thickBot="1">
      <c r="A1512" s="1018" t="str">
        <f>+'OFERTA ECONOMICA'!B73</f>
        <v>Lavado de pisos duros con acido e hidrolavadora, incluye todo lo necesario  para  su  correcta  ejecución,  entrega  a satisfacción.</v>
      </c>
      <c r="B1512" s="1019"/>
      <c r="C1512" s="1019"/>
      <c r="D1512" s="1019"/>
      <c r="E1512" s="1020"/>
      <c r="F1512" s="44" t="s">
        <v>392</v>
      </c>
      <c r="G1512" s="45" t="str">
        <f>+'OFERTA ECONOMICA'!C73</f>
        <v>m2</v>
      </c>
    </row>
    <row r="1513" spans="1:7" ht="15" thickBot="1">
      <c r="A1513" s="1021"/>
      <c r="B1513" s="1022"/>
      <c r="C1513" s="1022"/>
      <c r="D1513" s="1022"/>
      <c r="E1513" s="1023"/>
      <c r="F1513" s="44" t="s">
        <v>393</v>
      </c>
      <c r="G1513" s="46">
        <f>+'OFERTA ECONOMICA'!D73</f>
        <v>320</v>
      </c>
    </row>
    <row r="1514" spans="1:7" ht="15" thickBot="1">
      <c r="A1514" s="1024"/>
      <c r="B1514" s="1025"/>
      <c r="C1514" s="1025"/>
      <c r="D1514" s="1025"/>
      <c r="E1514" s="1026"/>
      <c r="F1514" s="47" t="s">
        <v>394</v>
      </c>
      <c r="G1514" s="48" t="str">
        <f>+'OFERTA ECONOMICA'!A73</f>
        <v>2.1.17</v>
      </c>
    </row>
    <row r="1515" spans="1:7" ht="15" thickBot="1">
      <c r="A1515" s="1008" t="s">
        <v>1</v>
      </c>
      <c r="B1515" s="1009" t="s">
        <v>395</v>
      </c>
      <c r="C1515" s="1009"/>
      <c r="D1515" s="1009"/>
      <c r="E1515" s="1009"/>
      <c r="F1515" s="1009"/>
      <c r="G1515" s="1010"/>
    </row>
    <row r="1516" spans="1:7" ht="15" thickBot="1">
      <c r="A1516" s="982"/>
      <c r="B1516" s="913" t="s">
        <v>396</v>
      </c>
      <c r="C1516" s="914"/>
      <c r="D1516" s="95" t="s">
        <v>3</v>
      </c>
      <c r="E1516" s="207" t="s">
        <v>398</v>
      </c>
      <c r="F1516" s="95" t="s">
        <v>4</v>
      </c>
      <c r="G1516" s="97" t="s">
        <v>399</v>
      </c>
    </row>
    <row r="1517" spans="1:7">
      <c r="A1517" s="87"/>
      <c r="B1517" s="930" t="s">
        <v>427</v>
      </c>
      <c r="C1517" s="931"/>
      <c r="D1517" s="88" t="s">
        <v>428</v>
      </c>
      <c r="E1517" s="214">
        <f>+G1533</f>
        <v>12050.133333333333</v>
      </c>
      <c r="F1517" s="89">
        <v>0.05</v>
      </c>
      <c r="G1517" s="90">
        <f>ROUND((E1517*F1517),0)</f>
        <v>603</v>
      </c>
    </row>
    <row r="1518" spans="1:7">
      <c r="A1518" s="91"/>
      <c r="B1518" s="968" t="s">
        <v>585</v>
      </c>
      <c r="C1518" s="969"/>
      <c r="D1518" s="92" t="s">
        <v>430</v>
      </c>
      <c r="E1518" s="215">
        <v>38875</v>
      </c>
      <c r="F1518" s="93">
        <v>3.5000000000000003E-2</v>
      </c>
      <c r="G1518" s="94">
        <f>ROUND((E1518*F1518),0)</f>
        <v>1361</v>
      </c>
    </row>
    <row r="1519" spans="1:7" ht="15" thickBot="1">
      <c r="A1519" s="994"/>
      <c r="B1519" s="995"/>
      <c r="C1519" s="995"/>
      <c r="D1519" s="981" t="s">
        <v>403</v>
      </c>
      <c r="E1519" s="981"/>
      <c r="F1519" s="981"/>
      <c r="G1519" s="13">
        <f>SUM(G1517:G1518)</f>
        <v>1964</v>
      </c>
    </row>
    <row r="1520" spans="1:7" ht="15" thickBot="1">
      <c r="A1520" s="982" t="s">
        <v>1</v>
      </c>
      <c r="B1520" s="983" t="s">
        <v>404</v>
      </c>
      <c r="C1520" s="983"/>
      <c r="D1520" s="983"/>
      <c r="E1520" s="983"/>
      <c r="F1520" s="983"/>
      <c r="G1520" s="984"/>
    </row>
    <row r="1521" spans="1:7" ht="15" thickBot="1">
      <c r="A1521" s="982"/>
      <c r="B1521" s="913" t="s">
        <v>396</v>
      </c>
      <c r="C1521" s="914"/>
      <c r="D1521" s="95" t="s">
        <v>3</v>
      </c>
      <c r="E1521" s="207" t="s">
        <v>398</v>
      </c>
      <c r="F1521" s="95" t="s">
        <v>397</v>
      </c>
      <c r="G1521" s="97" t="s">
        <v>399</v>
      </c>
    </row>
    <row r="1522" spans="1:7" ht="15" thickBot="1">
      <c r="A1522" s="108"/>
      <c r="B1522" s="985" t="s">
        <v>586</v>
      </c>
      <c r="C1522" s="986"/>
      <c r="D1522" s="109" t="s">
        <v>55</v>
      </c>
      <c r="E1522" s="217">
        <f>45800*1.07</f>
        <v>49006</v>
      </c>
      <c r="F1522" s="110">
        <f>0.0666*1.05</f>
        <v>6.9930000000000006E-2</v>
      </c>
      <c r="G1522" s="111">
        <f>ROUND(E1522*F1522,)</f>
        <v>3427</v>
      </c>
    </row>
    <row r="1523" spans="1:7" s="7" customFormat="1" ht="12.75">
      <c r="A1523" s="98"/>
      <c r="B1523" s="928" t="s">
        <v>587</v>
      </c>
      <c r="C1523" s="929"/>
      <c r="D1523" s="109" t="s">
        <v>55</v>
      </c>
      <c r="E1523" s="215">
        <v>1453000</v>
      </c>
      <c r="F1523" s="110">
        <v>5.9999999999999995E-4</v>
      </c>
      <c r="G1523" s="102">
        <f>ROUND(E1523*F1523,)</f>
        <v>872</v>
      </c>
    </row>
    <row r="1524" spans="1:7">
      <c r="A1524" s="98"/>
      <c r="B1524" s="928"/>
      <c r="C1524" s="929"/>
      <c r="D1524" s="99"/>
      <c r="E1524" s="216"/>
      <c r="F1524" s="101"/>
      <c r="G1524" s="102">
        <f>ROUND(E1524*F1524,)</f>
        <v>0</v>
      </c>
    </row>
    <row r="1525" spans="1:7" ht="15" thickBot="1">
      <c r="A1525" s="996"/>
      <c r="B1525" s="997"/>
      <c r="C1525" s="998"/>
      <c r="D1525" s="981" t="s">
        <v>415</v>
      </c>
      <c r="E1525" s="981"/>
      <c r="F1525" s="981"/>
      <c r="G1525" s="13">
        <f>SUM(G1522:G1524)</f>
        <v>4299</v>
      </c>
    </row>
    <row r="1526" spans="1:7" ht="15" thickBot="1">
      <c r="A1526" s="982" t="s">
        <v>1</v>
      </c>
      <c r="B1526" s="983" t="s">
        <v>416</v>
      </c>
      <c r="C1526" s="983"/>
      <c r="D1526" s="983"/>
      <c r="E1526" s="983"/>
      <c r="F1526" s="983"/>
      <c r="G1526" s="984"/>
    </row>
    <row r="1527" spans="1:7" ht="15" thickBot="1">
      <c r="A1527" s="982"/>
      <c r="B1527" s="913" t="s">
        <v>396</v>
      </c>
      <c r="C1527" s="914"/>
      <c r="D1527" s="95" t="s">
        <v>3</v>
      </c>
      <c r="E1527" s="207" t="s">
        <v>398</v>
      </c>
      <c r="F1527" s="95" t="s">
        <v>397</v>
      </c>
      <c r="G1527" s="97" t="s">
        <v>399</v>
      </c>
    </row>
    <row r="1528" spans="1:7" ht="15" thickBot="1">
      <c r="A1528" s="103"/>
      <c r="B1528" s="942"/>
      <c r="C1528" s="943"/>
      <c r="D1528" s="104"/>
      <c r="E1528" s="212"/>
      <c r="F1528" s="105"/>
      <c r="G1528" s="106">
        <f>ROUND(F1528*E1528,)</f>
        <v>0</v>
      </c>
    </row>
    <row r="1529" spans="1:7" ht="15" thickBot="1">
      <c r="A1529" s="978"/>
      <c r="B1529" s="979"/>
      <c r="C1529" s="980"/>
      <c r="D1529" s="981" t="s">
        <v>418</v>
      </c>
      <c r="E1529" s="981"/>
      <c r="F1529" s="981"/>
      <c r="G1529" s="13">
        <f>SUM(G1528:G1528)</f>
        <v>0</v>
      </c>
    </row>
    <row r="1530" spans="1:7" ht="15" thickBot="1">
      <c r="A1530" s="982" t="s">
        <v>1</v>
      </c>
      <c r="B1530" s="983" t="s">
        <v>419</v>
      </c>
      <c r="C1530" s="983"/>
      <c r="D1530" s="983"/>
      <c r="E1530" s="983"/>
      <c r="F1530" s="983"/>
      <c r="G1530" s="984"/>
    </row>
    <row r="1531" spans="1:7" ht="15" thickBot="1">
      <c r="A1531" s="982"/>
      <c r="B1531" s="913" t="s">
        <v>396</v>
      </c>
      <c r="C1531" s="914"/>
      <c r="D1531" s="95" t="s">
        <v>3</v>
      </c>
      <c r="E1531" s="207" t="s">
        <v>4</v>
      </c>
      <c r="F1531" s="107" t="s">
        <v>420</v>
      </c>
      <c r="G1531" s="97" t="s">
        <v>399</v>
      </c>
    </row>
    <row r="1532" spans="1:7">
      <c r="A1532" s="108"/>
      <c r="B1532" s="985" t="s">
        <v>421</v>
      </c>
      <c r="C1532" s="986"/>
      <c r="D1532" s="109" t="s">
        <v>467</v>
      </c>
      <c r="E1532" s="217">
        <v>0.04</v>
      </c>
      <c r="F1532" s="82">
        <f>_xlfn.IFNA(VLOOKUP(B1532,'sub M. DE OBRA'!$B$4:$E$19997,4,FALSE),0)</f>
        <v>301253.33333333331</v>
      </c>
      <c r="G1532" s="111">
        <f>+E1532*F1532</f>
        <v>12050.133333333333</v>
      </c>
    </row>
    <row r="1533" spans="1:7" ht="15" thickBot="1">
      <c r="A1533" s="987" t="s">
        <v>424</v>
      </c>
      <c r="B1533" s="988"/>
      <c r="C1533" s="989"/>
      <c r="D1533" s="990" t="s">
        <v>425</v>
      </c>
      <c r="E1533" s="990"/>
      <c r="F1533" s="990"/>
      <c r="G1533" s="14">
        <f>SUM(G1532:G1532)</f>
        <v>12050.133333333333</v>
      </c>
    </row>
    <row r="1534" spans="1:7" ht="15" thickBot="1">
      <c r="A1534" s="991"/>
      <c r="B1534" s="991"/>
      <c r="C1534" s="991"/>
      <c r="D1534" s="992" t="s">
        <v>426</v>
      </c>
      <c r="E1534" s="993"/>
      <c r="F1534" s="993"/>
      <c r="G1534" s="112">
        <f>ROUND(+G1519+G1525+G1529+G1533,)</f>
        <v>18313</v>
      </c>
    </row>
    <row r="1535" spans="1:7" ht="15" thickBot="1">
      <c r="E1535" s="41"/>
      <c r="F1535" s="41"/>
    </row>
    <row r="1536" spans="1:7" ht="15" thickBot="1">
      <c r="A1536" s="1006" t="s">
        <v>390</v>
      </c>
      <c r="B1536" s="1007"/>
      <c r="C1536" s="1007"/>
      <c r="D1536" s="1007"/>
      <c r="E1536" s="1007"/>
      <c r="F1536" s="42" t="s">
        <v>391</v>
      </c>
      <c r="G1536" s="43">
        <f ca="1">TODAY()</f>
        <v>46071</v>
      </c>
    </row>
    <row r="1537" spans="1:7" ht="15" thickBot="1">
      <c r="A1537" s="1018" t="str">
        <f>+'OFERTA ECONOMICA'!B74</f>
        <v>Reparación   de   piso   en  gres existente,   incluye demolición  de mortero,  recorte,  colocación  y lechada  de baldosa, transporte interno hasta sitio de acopio.</v>
      </c>
      <c r="B1537" s="1019"/>
      <c r="C1537" s="1019"/>
      <c r="D1537" s="1019"/>
      <c r="E1537" s="1020"/>
      <c r="F1537" s="44" t="s">
        <v>392</v>
      </c>
      <c r="G1537" s="45" t="str">
        <f>+'OFERTA ECONOMICA'!C74</f>
        <v>m2</v>
      </c>
    </row>
    <row r="1538" spans="1:7" ht="15" thickBot="1">
      <c r="A1538" s="1021"/>
      <c r="B1538" s="1022"/>
      <c r="C1538" s="1022"/>
      <c r="D1538" s="1022"/>
      <c r="E1538" s="1023"/>
      <c r="F1538" s="44" t="s">
        <v>393</v>
      </c>
      <c r="G1538" s="46">
        <f>+'OFERTA ECONOMICA'!D74</f>
        <v>140</v>
      </c>
    </row>
    <row r="1539" spans="1:7" ht="15" thickBot="1">
      <c r="A1539" s="1024"/>
      <c r="B1539" s="1025"/>
      <c r="C1539" s="1025"/>
      <c r="D1539" s="1025"/>
      <c r="E1539" s="1026"/>
      <c r="F1539" s="47" t="s">
        <v>394</v>
      </c>
      <c r="G1539" s="48" t="str">
        <f>+'OFERTA ECONOMICA'!A74</f>
        <v>2.1.18</v>
      </c>
    </row>
    <row r="1540" spans="1:7" ht="15" thickBot="1">
      <c r="A1540" s="1008" t="s">
        <v>1</v>
      </c>
      <c r="B1540" s="1009" t="s">
        <v>395</v>
      </c>
      <c r="C1540" s="1009"/>
      <c r="D1540" s="1009"/>
      <c r="E1540" s="1009"/>
      <c r="F1540" s="1009"/>
      <c r="G1540" s="1010"/>
    </row>
    <row r="1541" spans="1:7" ht="15" thickBot="1">
      <c r="A1541" s="982"/>
      <c r="B1541" s="913" t="s">
        <v>396</v>
      </c>
      <c r="C1541" s="914"/>
      <c r="D1541" s="95" t="s">
        <v>3</v>
      </c>
      <c r="E1541" s="207" t="s">
        <v>398</v>
      </c>
      <c r="F1541" s="95" t="s">
        <v>4</v>
      </c>
      <c r="G1541" s="97" t="s">
        <v>399</v>
      </c>
    </row>
    <row r="1542" spans="1:7">
      <c r="A1542" s="87"/>
      <c r="B1542" s="930" t="s">
        <v>427</v>
      </c>
      <c r="C1542" s="931"/>
      <c r="D1542" s="88" t="s">
        <v>428</v>
      </c>
      <c r="E1542" s="214">
        <f>+G1558</f>
        <v>30125.333333333332</v>
      </c>
      <c r="F1542" s="89">
        <v>0.05</v>
      </c>
      <c r="G1542" s="90">
        <f>ROUND((E1542*F1542),0)</f>
        <v>1506</v>
      </c>
    </row>
    <row r="1543" spans="1:7">
      <c r="A1543" s="91"/>
      <c r="B1543" s="968" t="s">
        <v>429</v>
      </c>
      <c r="C1543" s="969"/>
      <c r="D1543" s="92" t="s">
        <v>430</v>
      </c>
      <c r="E1543" s="252">
        <v>4.546E-2</v>
      </c>
      <c r="F1543" s="285">
        <v>101853</v>
      </c>
      <c r="G1543" s="94">
        <f>ROUND((E1543*F1543),0)</f>
        <v>4630</v>
      </c>
    </row>
    <row r="1544" spans="1:7" ht="15" thickBot="1">
      <c r="A1544" s="994"/>
      <c r="B1544" s="995"/>
      <c r="C1544" s="995"/>
      <c r="D1544" s="981" t="s">
        <v>403</v>
      </c>
      <c r="E1544" s="981"/>
      <c r="F1544" s="981"/>
      <c r="G1544" s="13">
        <f>SUM(G1542:G1543)</f>
        <v>6136</v>
      </c>
    </row>
    <row r="1545" spans="1:7" ht="15" thickBot="1">
      <c r="A1545" s="982" t="s">
        <v>1</v>
      </c>
      <c r="B1545" s="983" t="s">
        <v>404</v>
      </c>
      <c r="C1545" s="983"/>
      <c r="D1545" s="983"/>
      <c r="E1545" s="983"/>
      <c r="F1545" s="983"/>
      <c r="G1545" s="984"/>
    </row>
    <row r="1546" spans="1:7" ht="15" thickBot="1">
      <c r="A1546" s="982"/>
      <c r="B1546" s="913" t="s">
        <v>396</v>
      </c>
      <c r="C1546" s="914"/>
      <c r="D1546" s="95" t="s">
        <v>3</v>
      </c>
      <c r="E1546" s="207" t="s">
        <v>398</v>
      </c>
      <c r="F1546" s="95" t="s">
        <v>397</v>
      </c>
      <c r="G1546" s="97" t="s">
        <v>399</v>
      </c>
    </row>
    <row r="1547" spans="1:7">
      <c r="A1547" s="108"/>
      <c r="B1547" s="985" t="s">
        <v>588</v>
      </c>
      <c r="C1547" s="986"/>
      <c r="D1547" s="109" t="s">
        <v>15</v>
      </c>
      <c r="E1547" s="217">
        <f>45800*1.07</f>
        <v>49006</v>
      </c>
      <c r="F1547" s="110">
        <v>0.4648979625714828</v>
      </c>
      <c r="G1547" s="111">
        <f>ROUND(E1547*F1547,)</f>
        <v>22783</v>
      </c>
    </row>
    <row r="1548" spans="1:7" s="7" customFormat="1" ht="12.75">
      <c r="A1548" s="98"/>
      <c r="B1548" s="928" t="s">
        <v>537</v>
      </c>
      <c r="C1548" s="929"/>
      <c r="D1548" s="99" t="s">
        <v>55</v>
      </c>
      <c r="E1548" s="216">
        <v>450763</v>
      </c>
      <c r="F1548" s="186">
        <v>0.01</v>
      </c>
      <c r="G1548" s="102">
        <f>ROUND(E1548*F1548,)</f>
        <v>4508</v>
      </c>
    </row>
    <row r="1549" spans="1:7">
      <c r="A1549" s="98"/>
      <c r="B1549" s="928"/>
      <c r="C1549" s="929"/>
      <c r="D1549" s="99"/>
      <c r="E1549" s="216"/>
      <c r="F1549" s="101"/>
      <c r="G1549" s="102">
        <f>ROUND(E1549*F1549,)</f>
        <v>0</v>
      </c>
    </row>
    <row r="1550" spans="1:7" ht="15" thickBot="1">
      <c r="A1550" s="996"/>
      <c r="B1550" s="997"/>
      <c r="C1550" s="998"/>
      <c r="D1550" s="981" t="s">
        <v>415</v>
      </c>
      <c r="E1550" s="981"/>
      <c r="F1550" s="981"/>
      <c r="G1550" s="13">
        <f>SUM(G1547:G1549)</f>
        <v>27291</v>
      </c>
    </row>
    <row r="1551" spans="1:7" ht="15" thickBot="1">
      <c r="A1551" s="982" t="s">
        <v>1</v>
      </c>
      <c r="B1551" s="983" t="s">
        <v>416</v>
      </c>
      <c r="C1551" s="983"/>
      <c r="D1551" s="983"/>
      <c r="E1551" s="983"/>
      <c r="F1551" s="983"/>
      <c r="G1551" s="984"/>
    </row>
    <row r="1552" spans="1:7" ht="15" thickBot="1">
      <c r="A1552" s="982"/>
      <c r="B1552" s="913" t="s">
        <v>396</v>
      </c>
      <c r="C1552" s="914"/>
      <c r="D1552" s="95" t="s">
        <v>3</v>
      </c>
      <c r="E1552" s="207" t="s">
        <v>398</v>
      </c>
      <c r="F1552" s="95" t="s">
        <v>397</v>
      </c>
      <c r="G1552" s="97" t="s">
        <v>399</v>
      </c>
    </row>
    <row r="1553" spans="1:7" ht="15" thickBot="1">
      <c r="A1553" s="103"/>
      <c r="B1553" s="942"/>
      <c r="C1553" s="943"/>
      <c r="D1553" s="104"/>
      <c r="E1553" s="212"/>
      <c r="F1553" s="105"/>
      <c r="G1553" s="106">
        <f>ROUND(F1553*E1553,)</f>
        <v>0</v>
      </c>
    </row>
    <row r="1554" spans="1:7" ht="15" thickBot="1">
      <c r="A1554" s="978"/>
      <c r="B1554" s="979"/>
      <c r="C1554" s="980"/>
      <c r="D1554" s="981" t="s">
        <v>418</v>
      </c>
      <c r="E1554" s="981"/>
      <c r="F1554" s="981"/>
      <c r="G1554" s="13">
        <f>SUM(G1553:G1553)</f>
        <v>0</v>
      </c>
    </row>
    <row r="1555" spans="1:7" ht="15" thickBot="1">
      <c r="A1555" s="982" t="s">
        <v>1</v>
      </c>
      <c r="B1555" s="983" t="s">
        <v>419</v>
      </c>
      <c r="C1555" s="983"/>
      <c r="D1555" s="983"/>
      <c r="E1555" s="983"/>
      <c r="F1555" s="983"/>
      <c r="G1555" s="984"/>
    </row>
    <row r="1556" spans="1:7" ht="15" thickBot="1">
      <c r="A1556" s="982"/>
      <c r="B1556" s="913" t="s">
        <v>396</v>
      </c>
      <c r="C1556" s="914"/>
      <c r="D1556" s="95" t="s">
        <v>3</v>
      </c>
      <c r="E1556" s="207" t="s">
        <v>4</v>
      </c>
      <c r="F1556" s="107" t="s">
        <v>420</v>
      </c>
      <c r="G1556" s="97" t="s">
        <v>399</v>
      </c>
    </row>
    <row r="1557" spans="1:7">
      <c r="A1557" s="108"/>
      <c r="B1557" s="985" t="s">
        <v>421</v>
      </c>
      <c r="C1557" s="986"/>
      <c r="D1557" s="109" t="s">
        <v>467</v>
      </c>
      <c r="E1557" s="217">
        <v>0.1</v>
      </c>
      <c r="F1557" s="82">
        <f>_xlfn.IFNA(VLOOKUP(B1557,'sub M. DE OBRA'!$B$4:$E$19997,4,FALSE),0)</f>
        <v>301253.33333333331</v>
      </c>
      <c r="G1557" s="111">
        <f>+E1557*F1557</f>
        <v>30125.333333333332</v>
      </c>
    </row>
    <row r="1558" spans="1:7" ht="15" thickBot="1">
      <c r="A1558" s="987" t="s">
        <v>424</v>
      </c>
      <c r="B1558" s="988"/>
      <c r="C1558" s="989"/>
      <c r="D1558" s="990" t="s">
        <v>425</v>
      </c>
      <c r="E1558" s="990"/>
      <c r="F1558" s="990"/>
      <c r="G1558" s="14">
        <f>SUM(G1557:G1557)</f>
        <v>30125.333333333332</v>
      </c>
    </row>
    <row r="1559" spans="1:7" ht="15" thickBot="1">
      <c r="A1559" s="991"/>
      <c r="B1559" s="991"/>
      <c r="C1559" s="991"/>
      <c r="D1559" s="992" t="s">
        <v>426</v>
      </c>
      <c r="E1559" s="993"/>
      <c r="F1559" s="993"/>
      <c r="G1559" s="112">
        <f>ROUND(+G1544+G1550+G1554+G1558,)</f>
        <v>63552</v>
      </c>
    </row>
    <row r="1560" spans="1:7" ht="15" thickBot="1">
      <c r="E1560" s="41"/>
      <c r="F1560" s="41"/>
    </row>
    <row r="1561" spans="1:7" s="7" customFormat="1" ht="13.5" thickBot="1">
      <c r="A1561" s="950" t="s">
        <v>390</v>
      </c>
      <c r="B1561" s="951"/>
      <c r="C1561" s="951"/>
      <c r="D1561" s="951"/>
      <c r="E1561" s="952"/>
      <c r="F1561" s="42" t="s">
        <v>391</v>
      </c>
      <c r="G1561" s="191">
        <f ca="1">TODAY()</f>
        <v>46071</v>
      </c>
    </row>
    <row r="1562" spans="1:7" s="7" customFormat="1" ht="13.5" thickBot="1">
      <c r="A1562" s="953" t="str">
        <f>+'OFERTA ECONOMICA'!B75</f>
        <v>Construcción de Mortero 1:4, espesor 5cm,  para nivelación de pisos. Incluye todos los elementos para su correcta construcción y funcionamiento.</v>
      </c>
      <c r="B1562" s="954"/>
      <c r="C1562" s="954"/>
      <c r="D1562" s="954"/>
      <c r="E1562" s="955"/>
      <c r="F1562" s="44" t="s">
        <v>392</v>
      </c>
      <c r="G1562" s="45" t="str">
        <f>+'OFERTA ECONOMICA'!C75</f>
        <v>m2</v>
      </c>
    </row>
    <row r="1563" spans="1:7" s="7" customFormat="1" ht="13.5" thickBot="1">
      <c r="A1563" s="956"/>
      <c r="B1563" s="957"/>
      <c r="C1563" s="957"/>
      <c r="D1563" s="957"/>
      <c r="E1563" s="958"/>
      <c r="F1563" s="44" t="s">
        <v>393</v>
      </c>
      <c r="G1563" s="46">
        <f>+'OFERTA ECONOMICA'!D75</f>
        <v>110</v>
      </c>
    </row>
    <row r="1564" spans="1:7" s="7" customFormat="1" ht="13.5" thickBot="1">
      <c r="A1564" s="959"/>
      <c r="B1564" s="960"/>
      <c r="C1564" s="960"/>
      <c r="D1564" s="960"/>
      <c r="E1564" s="961"/>
      <c r="F1564" s="47" t="s">
        <v>394</v>
      </c>
      <c r="G1564" s="48" t="str">
        <f>+'OFERTA ECONOMICA'!A75</f>
        <v>2.1.19</v>
      </c>
    </row>
    <row r="1565" spans="1:7" s="7" customFormat="1" ht="13.5" thickBot="1">
      <c r="A1565" s="962" t="s">
        <v>1</v>
      </c>
      <c r="B1565" s="963" t="s">
        <v>395</v>
      </c>
      <c r="C1565" s="964"/>
      <c r="D1565" s="964"/>
      <c r="E1565" s="964"/>
      <c r="F1565" s="964"/>
      <c r="G1565" s="965"/>
    </row>
    <row r="1566" spans="1:7" s="7" customFormat="1" ht="13.5" thickBot="1">
      <c r="A1566" s="909"/>
      <c r="B1566" s="913" t="s">
        <v>396</v>
      </c>
      <c r="C1566" s="914"/>
      <c r="D1566" s="95" t="s">
        <v>3</v>
      </c>
      <c r="E1566" s="207" t="s">
        <v>398</v>
      </c>
      <c r="F1566" s="95" t="s">
        <v>439</v>
      </c>
      <c r="G1566" s="113" t="s">
        <v>399</v>
      </c>
    </row>
    <row r="1567" spans="1:7" s="7" customFormat="1" ht="13.5" thickBot="1">
      <c r="A1567" s="114"/>
      <c r="B1567" s="966" t="s">
        <v>538</v>
      </c>
      <c r="C1567" s="967"/>
      <c r="D1567" s="88" t="s">
        <v>539</v>
      </c>
      <c r="E1567" s="214">
        <f>+G1587</f>
        <v>45091</v>
      </c>
      <c r="F1567" s="89">
        <v>0.05</v>
      </c>
      <c r="G1567" s="117">
        <f t="shared" ref="G1567:G1568" si="100">ROUND((E1567*F1567),0)</f>
        <v>2255</v>
      </c>
    </row>
    <row r="1568" spans="1:7" s="7" customFormat="1" ht="12.75">
      <c r="A1568" s="154"/>
      <c r="B1568" s="968"/>
      <c r="C1568" s="969"/>
      <c r="D1568" s="171"/>
      <c r="E1568" s="220"/>
      <c r="F1568" s="93"/>
      <c r="G1568" s="149">
        <f t="shared" si="100"/>
        <v>0</v>
      </c>
    </row>
    <row r="1569" spans="1:7" s="7" customFormat="1" ht="13.5" thickBot="1">
      <c r="A1569" s="970"/>
      <c r="B1569" s="971"/>
      <c r="C1569" s="972"/>
      <c r="D1569" s="973" t="s">
        <v>403</v>
      </c>
      <c r="E1569" s="974"/>
      <c r="F1569" s="975"/>
      <c r="G1569" s="11">
        <f>SUM(G1567:G1568)</f>
        <v>2255</v>
      </c>
    </row>
    <row r="1570" spans="1:7" s="7" customFormat="1" ht="13.5" thickBot="1">
      <c r="A1570" s="908" t="s">
        <v>1</v>
      </c>
      <c r="B1570" s="910" t="s">
        <v>404</v>
      </c>
      <c r="C1570" s="911"/>
      <c r="D1570" s="911"/>
      <c r="E1570" s="911"/>
      <c r="F1570" s="911"/>
      <c r="G1570" s="912"/>
    </row>
    <row r="1571" spans="1:7" s="7" customFormat="1" ht="13.5" thickBot="1">
      <c r="A1571" s="909"/>
      <c r="B1571" s="913" t="s">
        <v>396</v>
      </c>
      <c r="C1571" s="914"/>
      <c r="D1571" s="95" t="s">
        <v>3</v>
      </c>
      <c r="E1571" s="207" t="s">
        <v>398</v>
      </c>
      <c r="F1571" s="95" t="s">
        <v>397</v>
      </c>
      <c r="G1571" s="113" t="s">
        <v>399</v>
      </c>
    </row>
    <row r="1572" spans="1:7" s="7" customFormat="1" ht="13.5" thickBot="1">
      <c r="A1572" s="178"/>
      <c r="B1572" s="926" t="s">
        <v>454</v>
      </c>
      <c r="C1572" s="927"/>
      <c r="D1572" s="88" t="s">
        <v>408</v>
      </c>
      <c r="E1572" s="221">
        <v>5686</v>
      </c>
      <c r="F1572" s="180">
        <v>0.1</v>
      </c>
      <c r="G1572" s="181">
        <f t="shared" ref="G1572" si="101">ROUND(E1572*F1572,)</f>
        <v>569</v>
      </c>
    </row>
    <row r="1573" spans="1:7" s="7" customFormat="1" ht="13.5" thickBot="1">
      <c r="A1573" s="122"/>
      <c r="B1573" s="930" t="s">
        <v>540</v>
      </c>
      <c r="C1573" s="931"/>
      <c r="D1573" s="88" t="s">
        <v>28</v>
      </c>
      <c r="E1573" s="214">
        <v>437646</v>
      </c>
      <c r="F1573" s="89">
        <f>0.05*1.05</f>
        <v>5.2500000000000005E-2</v>
      </c>
      <c r="G1573" s="149">
        <f t="shared" ref="G1573:G1574" si="102">ROUND((E1573*F1573),0)</f>
        <v>22976</v>
      </c>
    </row>
    <row r="1574" spans="1:7" s="7" customFormat="1" ht="13.5" thickBot="1">
      <c r="A1574" s="155"/>
      <c r="B1574" s="930" t="s">
        <v>541</v>
      </c>
      <c r="C1574" s="931"/>
      <c r="D1574" s="88" t="s">
        <v>55</v>
      </c>
      <c r="E1574" s="214">
        <v>14500</v>
      </c>
      <c r="F1574" s="89">
        <v>0.17</v>
      </c>
      <c r="G1574" s="149">
        <f t="shared" si="102"/>
        <v>2465</v>
      </c>
    </row>
    <row r="1575" spans="1:7" s="7" customFormat="1" ht="13.5" thickBot="1">
      <c r="A1575" s="932"/>
      <c r="B1575" s="933"/>
      <c r="C1575" s="934"/>
      <c r="D1575" s="935" t="s">
        <v>415</v>
      </c>
      <c r="E1575" s="936"/>
      <c r="F1575" s="937"/>
      <c r="G1575" s="18">
        <f>SUM(G1572:G1574)</f>
        <v>26010</v>
      </c>
    </row>
    <row r="1576" spans="1:7" s="7" customFormat="1" ht="13.5" thickBot="1">
      <c r="A1576" s="908" t="s">
        <v>1</v>
      </c>
      <c r="B1576" s="910" t="s">
        <v>416</v>
      </c>
      <c r="C1576" s="911"/>
      <c r="D1576" s="911"/>
      <c r="E1576" s="911"/>
      <c r="F1576" s="911"/>
      <c r="G1576" s="912"/>
    </row>
    <row r="1577" spans="1:7" s="7" customFormat="1" ht="13.5" thickBot="1">
      <c r="A1577" s="909"/>
      <c r="B1577" s="913" t="s">
        <v>396</v>
      </c>
      <c r="C1577" s="914"/>
      <c r="D1577" s="95" t="s">
        <v>3</v>
      </c>
      <c r="E1577" s="207" t="s">
        <v>398</v>
      </c>
      <c r="F1577" s="95" t="s">
        <v>397</v>
      </c>
      <c r="G1577" s="113" t="s">
        <v>399</v>
      </c>
    </row>
    <row r="1578" spans="1:7" s="7" customFormat="1" ht="13.5" thickBot="1">
      <c r="A1578" s="127"/>
      <c r="B1578" s="938" t="s">
        <v>436</v>
      </c>
      <c r="C1578" s="939"/>
      <c r="D1578" s="104" t="s">
        <v>28</v>
      </c>
      <c r="E1578" s="212">
        <v>22500</v>
      </c>
      <c r="F1578" s="89">
        <f>+F1573</f>
        <v>5.2500000000000005E-2</v>
      </c>
      <c r="G1578" s="159">
        <f>ROUND(F1578*E1578,)</f>
        <v>1181</v>
      </c>
    </row>
    <row r="1579" spans="1:7" s="7" customFormat="1" ht="12.75">
      <c r="A1579" s="156"/>
      <c r="B1579" s="940" t="s">
        <v>402</v>
      </c>
      <c r="C1579" s="941"/>
      <c r="D1579" s="157" t="s">
        <v>402</v>
      </c>
      <c r="E1579" s="219"/>
      <c r="F1579" s="158"/>
      <c r="G1579" s="159">
        <f>ROUND(F1579*E1579,)</f>
        <v>0</v>
      </c>
    </row>
    <row r="1580" spans="1:7" s="7" customFormat="1" ht="13.5" thickBot="1">
      <c r="A1580" s="130"/>
      <c r="B1580" s="942" t="s">
        <v>402</v>
      </c>
      <c r="C1580" s="943"/>
      <c r="D1580" s="104" t="s">
        <v>402</v>
      </c>
      <c r="E1580" s="212"/>
      <c r="F1580" s="105"/>
      <c r="G1580" s="131">
        <f>ROUND(F1580*E1580,)</f>
        <v>0</v>
      </c>
    </row>
    <row r="1581" spans="1:7" s="7" customFormat="1" ht="13.5" thickBot="1">
      <c r="A1581" s="944"/>
      <c r="B1581" s="945"/>
      <c r="C1581" s="946"/>
      <c r="D1581" s="947" t="s">
        <v>418</v>
      </c>
      <c r="E1581" s="948"/>
      <c r="F1581" s="949"/>
      <c r="G1581" s="11">
        <f>SUM(G1578:G1580)</f>
        <v>1181</v>
      </c>
    </row>
    <row r="1582" spans="1:7" s="7" customFormat="1" ht="13.5" thickBot="1">
      <c r="A1582" s="908" t="s">
        <v>1</v>
      </c>
      <c r="B1582" s="910" t="s">
        <v>419</v>
      </c>
      <c r="C1582" s="911"/>
      <c r="D1582" s="911"/>
      <c r="E1582" s="911"/>
      <c r="F1582" s="911"/>
      <c r="G1582" s="912"/>
    </row>
    <row r="1583" spans="1:7" s="7" customFormat="1" ht="13.5" thickBot="1">
      <c r="A1583" s="909"/>
      <c r="B1583" s="913" t="s">
        <v>396</v>
      </c>
      <c r="C1583" s="914"/>
      <c r="D1583" s="95" t="s">
        <v>3</v>
      </c>
      <c r="E1583" s="207" t="s">
        <v>398</v>
      </c>
      <c r="F1583" s="95" t="s">
        <v>397</v>
      </c>
      <c r="G1583" s="113" t="s">
        <v>399</v>
      </c>
    </row>
    <row r="1584" spans="1:7" s="7" customFormat="1" ht="12.75">
      <c r="A1584" s="122"/>
      <c r="B1584" s="160" t="s">
        <v>466</v>
      </c>
      <c r="C1584" s="161"/>
      <c r="D1584" s="109" t="s">
        <v>422</v>
      </c>
      <c r="E1584" s="82">
        <f>_xlfn.IFNA(VLOOKUP(B1584,'sub M. DE OBRA'!$B$4:$E$19997,4,FALSE),0)</f>
        <v>290909.73333333334</v>
      </c>
      <c r="F1584" s="110">
        <v>0.155</v>
      </c>
      <c r="G1584" s="129">
        <f>ROUND(F1584*E1584,)</f>
        <v>45091</v>
      </c>
    </row>
    <row r="1585" spans="1:7" s="7" customFormat="1" ht="12.75">
      <c r="A1585" s="155"/>
      <c r="B1585" s="184"/>
      <c r="C1585" s="185"/>
      <c r="D1585" s="92"/>
      <c r="E1585" s="215"/>
      <c r="F1585" s="101"/>
      <c r="G1585" s="164">
        <f>ROUND(E1585*F1585*C1585,0)</f>
        <v>0</v>
      </c>
    </row>
    <row r="1586" spans="1:7" s="7" customFormat="1" ht="13.5" thickBot="1">
      <c r="A1586" s="165"/>
      <c r="B1586" s="166"/>
      <c r="C1586" s="167"/>
      <c r="D1586" s="168"/>
      <c r="E1586" s="222"/>
      <c r="F1586" s="169"/>
      <c r="G1586" s="170">
        <f>ROUND(E1586*F1586*C1586,0)</f>
        <v>0</v>
      </c>
    </row>
    <row r="1587" spans="1:7" s="7" customFormat="1" ht="13.5" thickBot="1">
      <c r="A1587" s="915" t="s">
        <v>424</v>
      </c>
      <c r="B1587" s="916"/>
      <c r="C1587" s="917"/>
      <c r="D1587" s="918" t="s">
        <v>425</v>
      </c>
      <c r="E1587" s="919"/>
      <c r="F1587" s="920"/>
      <c r="G1587" s="12">
        <f>SUM(G1584:G1586)</f>
        <v>45091</v>
      </c>
    </row>
    <row r="1588" spans="1:7" s="7" customFormat="1" ht="13.5" thickBot="1">
      <c r="A1588" s="921"/>
      <c r="B1588" s="922"/>
      <c r="C1588" s="922"/>
      <c r="D1588" s="923" t="s">
        <v>426</v>
      </c>
      <c r="E1588" s="924"/>
      <c r="F1588" s="925"/>
      <c r="G1588" s="153">
        <f>+G1569+G1575+G1581+G1587</f>
        <v>74537</v>
      </c>
    </row>
    <row r="1589" spans="1:7" s="7" customFormat="1" ht="13.5" thickBot="1"/>
    <row r="1590" spans="1:7" s="7" customFormat="1" ht="13.5" thickBot="1">
      <c r="A1590" s="950" t="s">
        <v>390</v>
      </c>
      <c r="B1590" s="951"/>
      <c r="C1590" s="951"/>
      <c r="D1590" s="951"/>
      <c r="E1590" s="952"/>
      <c r="F1590" s="42" t="s">
        <v>391</v>
      </c>
      <c r="G1590" s="191">
        <f ca="1">TODAY()</f>
        <v>46071</v>
      </c>
    </row>
    <row r="1591" spans="1:7" s="7" customFormat="1" ht="13.5" thickBot="1">
      <c r="A1591" s="953" t="str">
        <f>+'OFERTA ECONOMICA'!B76</f>
        <v>Fabricación e instalación de malla de nylon ref 210/54 impermeabilizada, de color negro y ojo cuadrado, mas soportes en L en tuberia cuadrada de 50mmx50mm en 2mm de espesor,mas pintura en anticorrosivo cromato de zinc y acabados en esmalte negro</v>
      </c>
      <c r="B1591" s="954"/>
      <c r="C1591" s="954"/>
      <c r="D1591" s="954"/>
      <c r="E1591" s="955"/>
      <c r="F1591" s="44" t="s">
        <v>392</v>
      </c>
      <c r="G1591" s="45" t="str">
        <f>+'OFERTA ECONOMICA'!C76</f>
        <v>m²</v>
      </c>
    </row>
    <row r="1592" spans="1:7" s="7" customFormat="1" ht="13.5" thickBot="1">
      <c r="A1592" s="956"/>
      <c r="B1592" s="957"/>
      <c r="C1592" s="957"/>
      <c r="D1592" s="957"/>
      <c r="E1592" s="958"/>
      <c r="F1592" s="44" t="s">
        <v>393</v>
      </c>
      <c r="G1592" s="46">
        <f>+'OFERTA ECONOMICA'!D76</f>
        <v>90</v>
      </c>
    </row>
    <row r="1593" spans="1:7" s="7" customFormat="1" ht="13.5" thickBot="1">
      <c r="A1593" s="959"/>
      <c r="B1593" s="960"/>
      <c r="C1593" s="960"/>
      <c r="D1593" s="960"/>
      <c r="E1593" s="961"/>
      <c r="F1593" s="47" t="s">
        <v>394</v>
      </c>
      <c r="G1593" s="48" t="str">
        <f>+'OFERTA ECONOMICA'!A76</f>
        <v>2.1.20</v>
      </c>
    </row>
    <row r="1594" spans="1:7" s="7" customFormat="1" ht="13.5" thickBot="1">
      <c r="A1594" s="962" t="s">
        <v>1</v>
      </c>
      <c r="B1594" s="963" t="s">
        <v>395</v>
      </c>
      <c r="C1594" s="964"/>
      <c r="D1594" s="964"/>
      <c r="E1594" s="964"/>
      <c r="F1594" s="964"/>
      <c r="G1594" s="965"/>
    </row>
    <row r="1595" spans="1:7" s="7" customFormat="1" ht="13.5" thickBot="1">
      <c r="A1595" s="909"/>
      <c r="B1595" s="913" t="s">
        <v>396</v>
      </c>
      <c r="C1595" s="914"/>
      <c r="D1595" s="95" t="s">
        <v>3</v>
      </c>
      <c r="E1595" s="207" t="s">
        <v>398</v>
      </c>
      <c r="F1595" s="95" t="s">
        <v>439</v>
      </c>
      <c r="G1595" s="113" t="s">
        <v>399</v>
      </c>
    </row>
    <row r="1596" spans="1:7" s="7" customFormat="1" ht="13.5" thickBot="1">
      <c r="A1596" s="114"/>
      <c r="B1596" s="966" t="s">
        <v>538</v>
      </c>
      <c r="C1596" s="967"/>
      <c r="D1596" s="88" t="s">
        <v>539</v>
      </c>
      <c r="E1596" s="214">
        <f>+G1616</f>
        <v>30546</v>
      </c>
      <c r="F1596" s="89">
        <v>0.05</v>
      </c>
      <c r="G1596" s="117">
        <f t="shared" ref="G1596:G1597" si="103">ROUND((E1596*F1596),0)</f>
        <v>1527</v>
      </c>
    </row>
    <row r="1597" spans="1:7" s="7" customFormat="1" ht="12.75">
      <c r="A1597" s="154"/>
      <c r="B1597" s="968"/>
      <c r="C1597" s="969"/>
      <c r="D1597" s="171"/>
      <c r="E1597" s="220"/>
      <c r="F1597" s="93"/>
      <c r="G1597" s="149">
        <f t="shared" si="103"/>
        <v>0</v>
      </c>
    </row>
    <row r="1598" spans="1:7" s="7" customFormat="1" ht="13.5" thickBot="1">
      <c r="A1598" s="970"/>
      <c r="B1598" s="971"/>
      <c r="C1598" s="972"/>
      <c r="D1598" s="973" t="s">
        <v>403</v>
      </c>
      <c r="E1598" s="974"/>
      <c r="F1598" s="975"/>
      <c r="G1598" s="11">
        <f>SUM(G1596:G1597)</f>
        <v>1527</v>
      </c>
    </row>
    <row r="1599" spans="1:7" s="7" customFormat="1" ht="13.5" thickBot="1">
      <c r="A1599" s="908" t="s">
        <v>1</v>
      </c>
      <c r="B1599" s="910" t="s">
        <v>404</v>
      </c>
      <c r="C1599" s="911"/>
      <c r="D1599" s="911"/>
      <c r="E1599" s="911"/>
      <c r="F1599" s="911"/>
      <c r="G1599" s="912"/>
    </row>
    <row r="1600" spans="1:7" s="7" customFormat="1" ht="13.5" thickBot="1">
      <c r="A1600" s="909"/>
      <c r="B1600" s="913" t="s">
        <v>396</v>
      </c>
      <c r="C1600" s="914"/>
      <c r="D1600" s="95" t="s">
        <v>3</v>
      </c>
      <c r="E1600" s="207" t="s">
        <v>398</v>
      </c>
      <c r="F1600" s="95" t="s">
        <v>397</v>
      </c>
      <c r="G1600" s="113" t="s">
        <v>399</v>
      </c>
    </row>
    <row r="1601" spans="1:7" s="7" customFormat="1" ht="13.5" thickBot="1">
      <c r="A1601" s="178"/>
      <c r="B1601" s="926" t="s">
        <v>589</v>
      </c>
      <c r="C1601" s="927"/>
      <c r="D1601" s="88" t="s">
        <v>408</v>
      </c>
      <c r="E1601" s="221">
        <v>5686</v>
      </c>
      <c r="F1601" s="180">
        <v>0.1</v>
      </c>
      <c r="G1601" s="181">
        <f t="shared" ref="G1601" si="104">ROUND(E1601*F1601,)</f>
        <v>569</v>
      </c>
    </row>
    <row r="1602" spans="1:7" s="7" customFormat="1" ht="13.5" thickBot="1">
      <c r="A1602" s="122"/>
      <c r="B1602" s="930" t="s">
        <v>590</v>
      </c>
      <c r="C1602" s="931"/>
      <c r="D1602" s="88" t="s">
        <v>15</v>
      </c>
      <c r="E1602" s="214">
        <v>27675.550466890454</v>
      </c>
      <c r="F1602" s="89">
        <v>1</v>
      </c>
      <c r="G1602" s="149">
        <f t="shared" ref="G1602:G1603" si="105">ROUND((E1602*F1602),0)</f>
        <v>27676</v>
      </c>
    </row>
    <row r="1603" spans="1:7" s="7" customFormat="1" ht="13.5" thickBot="1">
      <c r="A1603" s="155"/>
      <c r="B1603" s="930"/>
      <c r="C1603" s="931"/>
      <c r="D1603" s="88"/>
      <c r="E1603" s="214"/>
      <c r="F1603" s="89"/>
      <c r="G1603" s="149">
        <f t="shared" si="105"/>
        <v>0</v>
      </c>
    </row>
    <row r="1604" spans="1:7" s="7" customFormat="1" ht="13.5" thickBot="1">
      <c r="A1604" s="932"/>
      <c r="B1604" s="933"/>
      <c r="C1604" s="934"/>
      <c r="D1604" s="935" t="s">
        <v>415</v>
      </c>
      <c r="E1604" s="936"/>
      <c r="F1604" s="937"/>
      <c r="G1604" s="18">
        <f>SUM(G1601:G1603)</f>
        <v>28245</v>
      </c>
    </row>
    <row r="1605" spans="1:7" s="7" customFormat="1" ht="13.5" thickBot="1">
      <c r="A1605" s="908" t="s">
        <v>1</v>
      </c>
      <c r="B1605" s="910" t="s">
        <v>416</v>
      </c>
      <c r="C1605" s="911"/>
      <c r="D1605" s="911"/>
      <c r="E1605" s="911"/>
      <c r="F1605" s="911"/>
      <c r="G1605" s="912"/>
    </row>
    <row r="1606" spans="1:7" s="7" customFormat="1" ht="13.5" thickBot="1">
      <c r="A1606" s="909"/>
      <c r="B1606" s="913" t="s">
        <v>396</v>
      </c>
      <c r="C1606" s="914"/>
      <c r="D1606" s="95" t="s">
        <v>3</v>
      </c>
      <c r="E1606" s="207" t="s">
        <v>398</v>
      </c>
      <c r="F1606" s="95" t="s">
        <v>397</v>
      </c>
      <c r="G1606" s="113" t="s">
        <v>399</v>
      </c>
    </row>
    <row r="1607" spans="1:7" s="7" customFormat="1" ht="13.5" thickBot="1">
      <c r="A1607" s="127"/>
      <c r="B1607" s="938"/>
      <c r="C1607" s="939"/>
      <c r="D1607" s="104"/>
      <c r="E1607" s="212"/>
      <c r="F1607" s="89"/>
      <c r="G1607" s="159">
        <f>ROUND(F1607*E1607,)</f>
        <v>0</v>
      </c>
    </row>
    <row r="1608" spans="1:7" s="7" customFormat="1" ht="12.75">
      <c r="A1608" s="156"/>
      <c r="B1608" s="940" t="s">
        <v>402</v>
      </c>
      <c r="C1608" s="941"/>
      <c r="D1608" s="157" t="s">
        <v>402</v>
      </c>
      <c r="E1608" s="219"/>
      <c r="F1608" s="158"/>
      <c r="G1608" s="159">
        <f>ROUND(F1608*E1608,)</f>
        <v>0</v>
      </c>
    </row>
    <row r="1609" spans="1:7" s="7" customFormat="1" ht="13.5" thickBot="1">
      <c r="A1609" s="130"/>
      <c r="B1609" s="942" t="s">
        <v>402</v>
      </c>
      <c r="C1609" s="943"/>
      <c r="D1609" s="104" t="s">
        <v>402</v>
      </c>
      <c r="E1609" s="212"/>
      <c r="F1609" s="105"/>
      <c r="G1609" s="131">
        <f>ROUND(F1609*E1609,)</f>
        <v>0</v>
      </c>
    </row>
    <row r="1610" spans="1:7" s="7" customFormat="1" ht="13.5" thickBot="1">
      <c r="A1610" s="944"/>
      <c r="B1610" s="945"/>
      <c r="C1610" s="946"/>
      <c r="D1610" s="947" t="s">
        <v>418</v>
      </c>
      <c r="E1610" s="948"/>
      <c r="F1610" s="949"/>
      <c r="G1610" s="11">
        <f>SUM(G1607:G1609)</f>
        <v>0</v>
      </c>
    </row>
    <row r="1611" spans="1:7" s="7" customFormat="1" ht="13.5" thickBot="1">
      <c r="A1611" s="908" t="s">
        <v>1</v>
      </c>
      <c r="B1611" s="910" t="s">
        <v>419</v>
      </c>
      <c r="C1611" s="911"/>
      <c r="D1611" s="911"/>
      <c r="E1611" s="911"/>
      <c r="F1611" s="911"/>
      <c r="G1611" s="912"/>
    </row>
    <row r="1612" spans="1:7" s="7" customFormat="1" ht="13.5" thickBot="1">
      <c r="A1612" s="909"/>
      <c r="B1612" s="913" t="s">
        <v>396</v>
      </c>
      <c r="C1612" s="914"/>
      <c r="D1612" s="95" t="s">
        <v>3</v>
      </c>
      <c r="E1612" s="207" t="s">
        <v>398</v>
      </c>
      <c r="F1612" s="95" t="s">
        <v>397</v>
      </c>
      <c r="G1612" s="113" t="s">
        <v>399</v>
      </c>
    </row>
    <row r="1613" spans="1:7" s="7" customFormat="1" ht="12.75">
      <c r="A1613" s="122"/>
      <c r="B1613" s="160" t="s">
        <v>466</v>
      </c>
      <c r="C1613" s="161"/>
      <c r="D1613" s="109" t="s">
        <v>422</v>
      </c>
      <c r="E1613" s="82">
        <f>_xlfn.IFNA(VLOOKUP(B1613,'sub M. DE OBRA'!$B$4:$E$19997,4,FALSE),0)</f>
        <v>290909.73333333334</v>
      </c>
      <c r="F1613" s="110">
        <v>0.105</v>
      </c>
      <c r="G1613" s="129">
        <f>ROUND(F1613*E1613,)</f>
        <v>30546</v>
      </c>
    </row>
    <row r="1614" spans="1:7" s="7" customFormat="1" ht="12.75">
      <c r="A1614" s="155"/>
      <c r="B1614" s="184"/>
      <c r="C1614" s="185"/>
      <c r="D1614" s="92"/>
      <c r="E1614" s="215"/>
      <c r="F1614" s="101"/>
      <c r="G1614" s="164">
        <f>ROUND(E1614*F1614*C1614,0)</f>
        <v>0</v>
      </c>
    </row>
    <row r="1615" spans="1:7" s="7" customFormat="1" ht="13.5" thickBot="1">
      <c r="A1615" s="165"/>
      <c r="B1615" s="166"/>
      <c r="C1615" s="167"/>
      <c r="D1615" s="168"/>
      <c r="E1615" s="222"/>
      <c r="F1615" s="169"/>
      <c r="G1615" s="170">
        <f>ROUND(E1615*F1615*C1615,0)</f>
        <v>0</v>
      </c>
    </row>
    <row r="1616" spans="1:7" s="7" customFormat="1" ht="13.5" thickBot="1">
      <c r="A1616" s="915" t="s">
        <v>424</v>
      </c>
      <c r="B1616" s="916"/>
      <c r="C1616" s="917"/>
      <c r="D1616" s="918" t="s">
        <v>425</v>
      </c>
      <c r="E1616" s="919"/>
      <c r="F1616" s="920"/>
      <c r="G1616" s="12">
        <f>SUM(G1613:G1615)</f>
        <v>30546</v>
      </c>
    </row>
    <row r="1617" spans="1:7" s="7" customFormat="1" ht="13.5" thickBot="1">
      <c r="A1617" s="921"/>
      <c r="B1617" s="922"/>
      <c r="C1617" s="922"/>
      <c r="D1617" s="923" t="s">
        <v>426</v>
      </c>
      <c r="E1617" s="924"/>
      <c r="F1617" s="925"/>
      <c r="G1617" s="153">
        <f>+G1598+G1604+G1610+G1616</f>
        <v>60318</v>
      </c>
    </row>
    <row r="1618" spans="1:7" s="7" customFormat="1" ht="13.5" thickBot="1"/>
    <row r="1619" spans="1:7" s="7" customFormat="1" ht="13.5" thickBot="1">
      <c r="A1619" s="950" t="s">
        <v>390</v>
      </c>
      <c r="B1619" s="951"/>
      <c r="C1619" s="951"/>
      <c r="D1619" s="951"/>
      <c r="E1619" s="952"/>
      <c r="F1619" s="42" t="s">
        <v>391</v>
      </c>
      <c r="G1619" s="191">
        <f ca="1">TODAY()</f>
        <v>46071</v>
      </c>
    </row>
    <row r="1620" spans="1:7" s="7" customFormat="1" ht="33" customHeight="1" thickBot="1">
      <c r="A1620" s="953" t="str">
        <f>+'OFERTA ECONOMICA'!B77</f>
        <v>Suministro, transporte e instalación de puerta metálica, un (1)   ala   batiente   en   lámina   cold   rolled   calibre   18, entamborada    lisa,    rellena    con    porón    (poliuretano expandido),  con  bastidor  perimetral  en  tubería  PTS  de 40x40x2 mm. y refuerzos horizontales en tubería metálica de  40x40x2  mm.,  marco  metálico  en  lámina  cold  rolled calibre 18 color establecido por interventoria,  Incluye  dos (2) manijas en acero inoxidable de Ø= 3/4" L= 250 mm., cerradura de seguridad calidad ref OLIMPIA PH1206-AL ó equivalente,  cuatro(4)  bisagras  metálicas  de  taco  para trabajo  pesado  de  ½"  ,  soldadura,  pintura  anticorrosiva gris, pintura a base de aceite color ref.  astro lunar NE277- P de pintuco o similar  y todo lo necesario para su correcta instalación y funcionamiento. P-1   0.60/0.75 x 2.10 m. e = 15/20 cm. Una ala</v>
      </c>
      <c r="B1620" s="954"/>
      <c r="C1620" s="954"/>
      <c r="D1620" s="954"/>
      <c r="E1620" s="955"/>
      <c r="F1620" s="44" t="s">
        <v>392</v>
      </c>
      <c r="G1620" s="45" t="str">
        <f>+'OFERTA ECONOMICA'!C77</f>
        <v>un</v>
      </c>
    </row>
    <row r="1621" spans="1:7" s="7" customFormat="1" ht="33" customHeight="1" thickBot="1">
      <c r="A1621" s="956"/>
      <c r="B1621" s="957"/>
      <c r="C1621" s="957"/>
      <c r="D1621" s="957"/>
      <c r="E1621" s="958"/>
      <c r="F1621" s="44" t="s">
        <v>393</v>
      </c>
      <c r="G1621" s="46">
        <f>+'OFERTA ECONOMICA'!D77</f>
        <v>1</v>
      </c>
    </row>
    <row r="1622" spans="1:7" s="7" customFormat="1" ht="33" customHeight="1" thickBot="1">
      <c r="A1622" s="959"/>
      <c r="B1622" s="960"/>
      <c r="C1622" s="960"/>
      <c r="D1622" s="960"/>
      <c r="E1622" s="961"/>
      <c r="F1622" s="47" t="s">
        <v>394</v>
      </c>
      <c r="G1622" s="48" t="str">
        <f>+'OFERTA ECONOMICA'!A77</f>
        <v>2.1.21</v>
      </c>
    </row>
    <row r="1623" spans="1:7" s="7" customFormat="1" ht="13.5" thickBot="1">
      <c r="A1623" s="962" t="s">
        <v>1</v>
      </c>
      <c r="B1623" s="963" t="s">
        <v>395</v>
      </c>
      <c r="C1623" s="964"/>
      <c r="D1623" s="964"/>
      <c r="E1623" s="964"/>
      <c r="F1623" s="964"/>
      <c r="G1623" s="965"/>
    </row>
    <row r="1624" spans="1:7" s="7" customFormat="1" ht="13.5" thickBot="1">
      <c r="A1624" s="909"/>
      <c r="B1624" s="913" t="s">
        <v>396</v>
      </c>
      <c r="C1624" s="914"/>
      <c r="D1624" s="95" t="s">
        <v>3</v>
      </c>
      <c r="E1624" s="207" t="s">
        <v>398</v>
      </c>
      <c r="F1624" s="95" t="s">
        <v>439</v>
      </c>
      <c r="G1624" s="113" t="s">
        <v>399</v>
      </c>
    </row>
    <row r="1625" spans="1:7" s="7" customFormat="1" ht="13.5" thickBot="1">
      <c r="A1625" s="114"/>
      <c r="B1625" s="966" t="s">
        <v>538</v>
      </c>
      <c r="C1625" s="967"/>
      <c r="D1625" s="88" t="s">
        <v>539</v>
      </c>
      <c r="E1625" s="214">
        <f>+G1645</f>
        <v>290910</v>
      </c>
      <c r="F1625" s="89">
        <v>0.05</v>
      </c>
      <c r="G1625" s="117">
        <f t="shared" ref="G1625:G1626" si="106">ROUND((E1625*F1625),0)</f>
        <v>14546</v>
      </c>
    </row>
    <row r="1626" spans="1:7" s="7" customFormat="1" ht="12.75">
      <c r="A1626" s="154"/>
      <c r="B1626" s="968"/>
      <c r="C1626" s="969"/>
      <c r="D1626" s="171"/>
      <c r="E1626" s="220"/>
      <c r="F1626" s="93"/>
      <c r="G1626" s="149">
        <f t="shared" si="106"/>
        <v>0</v>
      </c>
    </row>
    <row r="1627" spans="1:7" s="7" customFormat="1" ht="13.5" thickBot="1">
      <c r="A1627" s="970"/>
      <c r="B1627" s="971"/>
      <c r="C1627" s="972"/>
      <c r="D1627" s="973" t="s">
        <v>403</v>
      </c>
      <c r="E1627" s="974"/>
      <c r="F1627" s="975"/>
      <c r="G1627" s="11">
        <f>SUM(G1625:G1626)</f>
        <v>14546</v>
      </c>
    </row>
    <row r="1628" spans="1:7" s="7" customFormat="1" ht="13.5" thickBot="1">
      <c r="A1628" s="908" t="s">
        <v>1</v>
      </c>
      <c r="B1628" s="910" t="s">
        <v>404</v>
      </c>
      <c r="C1628" s="911"/>
      <c r="D1628" s="911"/>
      <c r="E1628" s="911"/>
      <c r="F1628" s="911"/>
      <c r="G1628" s="912"/>
    </row>
    <row r="1629" spans="1:7" s="7" customFormat="1" ht="13.5" thickBot="1">
      <c r="A1629" s="909"/>
      <c r="B1629" s="913" t="s">
        <v>396</v>
      </c>
      <c r="C1629" s="914"/>
      <c r="D1629" s="95" t="s">
        <v>3</v>
      </c>
      <c r="E1629" s="207" t="s">
        <v>398</v>
      </c>
      <c r="F1629" s="95" t="s">
        <v>397</v>
      </c>
      <c r="G1629" s="113" t="s">
        <v>399</v>
      </c>
    </row>
    <row r="1630" spans="1:7" s="7" customFormat="1" ht="13.5" thickBot="1">
      <c r="A1630" s="178"/>
      <c r="B1630" s="926" t="s">
        <v>591</v>
      </c>
      <c r="C1630" s="927"/>
      <c r="D1630" s="88" t="s">
        <v>55</v>
      </c>
      <c r="E1630" s="221">
        <v>2044000</v>
      </c>
      <c r="F1630" s="180">
        <v>1</v>
      </c>
      <c r="G1630" s="181">
        <f t="shared" ref="G1630" si="107">ROUND(E1630*F1630,)</f>
        <v>2044000</v>
      </c>
    </row>
    <row r="1631" spans="1:7" s="7" customFormat="1" ht="13.5" thickBot="1">
      <c r="A1631" s="122"/>
      <c r="B1631" s="930"/>
      <c r="C1631" s="931"/>
      <c r="D1631" s="88"/>
      <c r="E1631" s="214"/>
      <c r="F1631" s="89"/>
      <c r="G1631" s="149">
        <f t="shared" ref="G1631:G1632" si="108">ROUND((E1631*F1631),0)</f>
        <v>0</v>
      </c>
    </row>
    <row r="1632" spans="1:7" s="7" customFormat="1" ht="13.5" thickBot="1">
      <c r="A1632" s="155"/>
      <c r="B1632" s="930"/>
      <c r="C1632" s="931"/>
      <c r="D1632" s="88"/>
      <c r="E1632" s="214"/>
      <c r="F1632" s="89"/>
      <c r="G1632" s="149">
        <f t="shared" si="108"/>
        <v>0</v>
      </c>
    </row>
    <row r="1633" spans="1:7" s="7" customFormat="1" ht="13.5" thickBot="1">
      <c r="A1633" s="932"/>
      <c r="B1633" s="933"/>
      <c r="C1633" s="934"/>
      <c r="D1633" s="935" t="s">
        <v>415</v>
      </c>
      <c r="E1633" s="936"/>
      <c r="F1633" s="937"/>
      <c r="G1633" s="18">
        <f>SUM(G1630:G1632)</f>
        <v>2044000</v>
      </c>
    </row>
    <row r="1634" spans="1:7" s="7" customFormat="1" ht="13.5" thickBot="1">
      <c r="A1634" s="908" t="s">
        <v>1</v>
      </c>
      <c r="B1634" s="910" t="s">
        <v>416</v>
      </c>
      <c r="C1634" s="911"/>
      <c r="D1634" s="911"/>
      <c r="E1634" s="911"/>
      <c r="F1634" s="911"/>
      <c r="G1634" s="912"/>
    </row>
    <row r="1635" spans="1:7" s="7" customFormat="1" ht="13.5" thickBot="1">
      <c r="A1635" s="909"/>
      <c r="B1635" s="913" t="s">
        <v>396</v>
      </c>
      <c r="C1635" s="914"/>
      <c r="D1635" s="95" t="s">
        <v>3</v>
      </c>
      <c r="E1635" s="207" t="s">
        <v>398</v>
      </c>
      <c r="F1635" s="95" t="s">
        <v>397</v>
      </c>
      <c r="G1635" s="113" t="s">
        <v>399</v>
      </c>
    </row>
    <row r="1636" spans="1:7" s="7" customFormat="1" ht="13.5" thickBot="1">
      <c r="A1636" s="127"/>
      <c r="B1636" s="938"/>
      <c r="C1636" s="939"/>
      <c r="D1636" s="104"/>
      <c r="E1636" s="212"/>
      <c r="F1636" s="89"/>
      <c r="G1636" s="159">
        <f>ROUND(F1636*E1636,)</f>
        <v>0</v>
      </c>
    </row>
    <row r="1637" spans="1:7" s="7" customFormat="1" ht="12.75">
      <c r="A1637" s="156"/>
      <c r="B1637" s="940" t="s">
        <v>402</v>
      </c>
      <c r="C1637" s="941"/>
      <c r="D1637" s="157" t="s">
        <v>402</v>
      </c>
      <c r="E1637" s="219"/>
      <c r="F1637" s="158"/>
      <c r="G1637" s="159">
        <f>ROUND(F1637*E1637,)</f>
        <v>0</v>
      </c>
    </row>
    <row r="1638" spans="1:7" s="7" customFormat="1" ht="13.5" thickBot="1">
      <c r="A1638" s="130"/>
      <c r="B1638" s="942" t="s">
        <v>402</v>
      </c>
      <c r="C1638" s="943"/>
      <c r="D1638" s="104" t="s">
        <v>402</v>
      </c>
      <c r="E1638" s="212"/>
      <c r="F1638" s="105"/>
      <c r="G1638" s="131">
        <f>ROUND(F1638*E1638,)</f>
        <v>0</v>
      </c>
    </row>
    <row r="1639" spans="1:7" s="7" customFormat="1" ht="13.5" thickBot="1">
      <c r="A1639" s="944"/>
      <c r="B1639" s="945"/>
      <c r="C1639" s="946"/>
      <c r="D1639" s="947" t="s">
        <v>418</v>
      </c>
      <c r="E1639" s="948"/>
      <c r="F1639" s="949"/>
      <c r="G1639" s="11">
        <f>SUM(G1636:G1638)</f>
        <v>0</v>
      </c>
    </row>
    <row r="1640" spans="1:7" s="7" customFormat="1" ht="13.5" thickBot="1">
      <c r="A1640" s="908" t="s">
        <v>1</v>
      </c>
      <c r="B1640" s="910" t="s">
        <v>419</v>
      </c>
      <c r="C1640" s="911"/>
      <c r="D1640" s="911"/>
      <c r="E1640" s="911"/>
      <c r="F1640" s="911"/>
      <c r="G1640" s="912"/>
    </row>
    <row r="1641" spans="1:7" s="7" customFormat="1" ht="13.5" thickBot="1">
      <c r="A1641" s="909"/>
      <c r="B1641" s="913" t="s">
        <v>396</v>
      </c>
      <c r="C1641" s="914"/>
      <c r="D1641" s="95" t="s">
        <v>3</v>
      </c>
      <c r="E1641" s="207" t="s">
        <v>398</v>
      </c>
      <c r="F1641" s="95" t="s">
        <v>397</v>
      </c>
      <c r="G1641" s="113" t="s">
        <v>399</v>
      </c>
    </row>
    <row r="1642" spans="1:7" s="7" customFormat="1" ht="12.75">
      <c r="A1642" s="122"/>
      <c r="B1642" s="160" t="s">
        <v>466</v>
      </c>
      <c r="C1642" s="161"/>
      <c r="D1642" s="109" t="s">
        <v>422</v>
      </c>
      <c r="E1642" s="82">
        <f>_xlfn.IFNA(VLOOKUP(B1642,'sub M. DE OBRA'!$B$4:$E$19997,4,FALSE),0)</f>
        <v>290909.73333333334</v>
      </c>
      <c r="F1642" s="110">
        <v>1</v>
      </c>
      <c r="G1642" s="129">
        <f>ROUND(F1642*E1642,)</f>
        <v>290910</v>
      </c>
    </row>
    <row r="1643" spans="1:7" s="7" customFormat="1" ht="12.75">
      <c r="A1643" s="155"/>
      <c r="B1643" s="184"/>
      <c r="C1643" s="185"/>
      <c r="D1643" s="92"/>
      <c r="E1643" s="215"/>
      <c r="F1643" s="101"/>
      <c r="G1643" s="164">
        <f>ROUND(E1643*F1643*C1643,0)</f>
        <v>0</v>
      </c>
    </row>
    <row r="1644" spans="1:7" s="7" customFormat="1" ht="13.5" thickBot="1">
      <c r="A1644" s="165"/>
      <c r="B1644" s="166"/>
      <c r="C1644" s="167"/>
      <c r="D1644" s="168"/>
      <c r="E1644" s="222"/>
      <c r="F1644" s="169"/>
      <c r="G1644" s="170">
        <f>ROUND(E1644*F1644*C1644,0)</f>
        <v>0</v>
      </c>
    </row>
    <row r="1645" spans="1:7" s="7" customFormat="1" ht="13.5" thickBot="1">
      <c r="A1645" s="915" t="s">
        <v>424</v>
      </c>
      <c r="B1645" s="916"/>
      <c r="C1645" s="917"/>
      <c r="D1645" s="918" t="s">
        <v>425</v>
      </c>
      <c r="E1645" s="919"/>
      <c r="F1645" s="920"/>
      <c r="G1645" s="12">
        <f>SUM(G1642:G1644)</f>
        <v>290910</v>
      </c>
    </row>
    <row r="1646" spans="1:7" s="7" customFormat="1" ht="13.5" thickBot="1">
      <c r="A1646" s="921"/>
      <c r="B1646" s="922"/>
      <c r="C1646" s="922"/>
      <c r="D1646" s="923" t="s">
        <v>426</v>
      </c>
      <c r="E1646" s="924"/>
      <c r="F1646" s="925"/>
      <c r="G1646" s="153">
        <f>+G1627+G1633+G1639+G1645</f>
        <v>2349456</v>
      </c>
    </row>
    <row r="1647" spans="1:7" s="7" customFormat="1" ht="13.5" thickBot="1"/>
    <row r="1648" spans="1:7" s="7" customFormat="1" ht="13.5" thickBot="1">
      <c r="A1648" s="950" t="s">
        <v>390</v>
      </c>
      <c r="B1648" s="951"/>
      <c r="C1648" s="951"/>
      <c r="D1648" s="951"/>
      <c r="E1648" s="952"/>
      <c r="F1648" s="42" t="s">
        <v>391</v>
      </c>
      <c r="G1648" s="191">
        <f ca="1">TODAY()</f>
        <v>46071</v>
      </c>
    </row>
    <row r="1649" spans="1:7" s="7" customFormat="1" ht="13.5" thickBot="1">
      <c r="A1649" s="953" t="str">
        <f>+'OFERTA ECONOMICA'!B78</f>
        <v>Suministro,   transporte   y   aplicación   de   pintura   epoxica PINTUCOAT  de pintuco o similar en piso de cocina. Incluye; preparación  de superficie ,limpieza con  ácido para encontrar perfil de anclaje y garantizar completa adherencia de la pintura y resanes necesarios</v>
      </c>
      <c r="B1649" s="954"/>
      <c r="C1649" s="954"/>
      <c r="D1649" s="954"/>
      <c r="E1649" s="955"/>
      <c r="F1649" s="44" t="s">
        <v>392</v>
      </c>
      <c r="G1649" s="45" t="str">
        <f>+'OFERTA ECONOMICA'!C78</f>
        <v>m2</v>
      </c>
    </row>
    <row r="1650" spans="1:7" s="7" customFormat="1" ht="13.5" thickBot="1">
      <c r="A1650" s="956"/>
      <c r="B1650" s="957"/>
      <c r="C1650" s="957"/>
      <c r="D1650" s="957"/>
      <c r="E1650" s="958"/>
      <c r="F1650" s="44" t="s">
        <v>393</v>
      </c>
      <c r="G1650" s="46">
        <f>+'OFERTA ECONOMICA'!D78</f>
        <v>800</v>
      </c>
    </row>
    <row r="1651" spans="1:7" s="7" customFormat="1" ht="13.5" thickBot="1">
      <c r="A1651" s="959"/>
      <c r="B1651" s="960"/>
      <c r="C1651" s="960"/>
      <c r="D1651" s="960"/>
      <c r="E1651" s="961"/>
      <c r="F1651" s="47" t="s">
        <v>394</v>
      </c>
      <c r="G1651" s="48" t="str">
        <f>+'OFERTA ECONOMICA'!A78</f>
        <v>2.1.22</v>
      </c>
    </row>
    <row r="1652" spans="1:7" s="7" customFormat="1" ht="13.5" thickBot="1">
      <c r="A1652" s="962" t="s">
        <v>1</v>
      </c>
      <c r="B1652" s="963" t="s">
        <v>395</v>
      </c>
      <c r="C1652" s="964"/>
      <c r="D1652" s="964"/>
      <c r="E1652" s="964"/>
      <c r="F1652" s="964"/>
      <c r="G1652" s="965"/>
    </row>
    <row r="1653" spans="1:7" s="7" customFormat="1" ht="13.5" thickBot="1">
      <c r="A1653" s="909"/>
      <c r="B1653" s="913" t="s">
        <v>396</v>
      </c>
      <c r="C1653" s="914"/>
      <c r="D1653" s="95" t="s">
        <v>3</v>
      </c>
      <c r="E1653" s="207" t="s">
        <v>398</v>
      </c>
      <c r="F1653" s="95" t="s">
        <v>439</v>
      </c>
      <c r="G1653" s="113" t="s">
        <v>399</v>
      </c>
    </row>
    <row r="1654" spans="1:7" s="7" customFormat="1" ht="13.5" thickBot="1">
      <c r="A1654" s="114"/>
      <c r="B1654" s="966" t="s">
        <v>538</v>
      </c>
      <c r="C1654" s="967"/>
      <c r="D1654" s="88" t="s">
        <v>539</v>
      </c>
      <c r="E1654" s="214">
        <f>+G1674</f>
        <v>29091</v>
      </c>
      <c r="F1654" s="89">
        <v>0.05</v>
      </c>
      <c r="G1654" s="117">
        <f t="shared" ref="G1654:G1655" si="109">ROUND((E1654*F1654),0)</f>
        <v>1455</v>
      </c>
    </row>
    <row r="1655" spans="1:7" s="7" customFormat="1" ht="12.75">
      <c r="A1655" s="154"/>
      <c r="B1655" s="968"/>
      <c r="C1655" s="969"/>
      <c r="D1655" s="171"/>
      <c r="E1655" s="220"/>
      <c r="F1655" s="93"/>
      <c r="G1655" s="149">
        <f t="shared" si="109"/>
        <v>0</v>
      </c>
    </row>
    <row r="1656" spans="1:7" s="7" customFormat="1" ht="13.5" thickBot="1">
      <c r="A1656" s="970"/>
      <c r="B1656" s="971"/>
      <c r="C1656" s="972"/>
      <c r="D1656" s="973" t="s">
        <v>403</v>
      </c>
      <c r="E1656" s="974"/>
      <c r="F1656" s="975"/>
      <c r="G1656" s="11">
        <f>SUM(G1654:G1655)</f>
        <v>1455</v>
      </c>
    </row>
    <row r="1657" spans="1:7" s="7" customFormat="1" ht="13.5" thickBot="1">
      <c r="A1657" s="908" t="s">
        <v>1</v>
      </c>
      <c r="B1657" s="910" t="s">
        <v>404</v>
      </c>
      <c r="C1657" s="911"/>
      <c r="D1657" s="911"/>
      <c r="E1657" s="911"/>
      <c r="F1657" s="911"/>
      <c r="G1657" s="912"/>
    </row>
    <row r="1658" spans="1:7" s="7" customFormat="1" ht="13.5" thickBot="1">
      <c r="A1658" s="909"/>
      <c r="B1658" s="913" t="s">
        <v>396</v>
      </c>
      <c r="C1658" s="914"/>
      <c r="D1658" s="95" t="s">
        <v>3</v>
      </c>
      <c r="E1658" s="207" t="s">
        <v>398</v>
      </c>
      <c r="F1658" s="95" t="s">
        <v>397</v>
      </c>
      <c r="G1658" s="113" t="s">
        <v>399</v>
      </c>
    </row>
    <row r="1659" spans="1:7" s="7" customFormat="1" ht="13.5" thickBot="1">
      <c r="A1659" s="178"/>
      <c r="B1659" s="926" t="s">
        <v>592</v>
      </c>
      <c r="C1659" s="927"/>
      <c r="D1659" s="88" t="s">
        <v>55</v>
      </c>
      <c r="E1659" s="221">
        <v>954900</v>
      </c>
      <c r="F1659" s="180">
        <v>7.3514789947024761E-2</v>
      </c>
      <c r="G1659" s="181">
        <f t="shared" ref="G1659" si="110">ROUND(E1659*F1659,)</f>
        <v>70199</v>
      </c>
    </row>
    <row r="1660" spans="1:7" s="7" customFormat="1" ht="13.5" thickBot="1">
      <c r="A1660" s="122"/>
      <c r="B1660" s="930"/>
      <c r="C1660" s="931"/>
      <c r="D1660" s="88"/>
      <c r="E1660" s="214"/>
      <c r="F1660" s="89"/>
      <c r="G1660" s="149">
        <f t="shared" ref="G1660:G1661" si="111">ROUND((E1660*F1660),0)</f>
        <v>0</v>
      </c>
    </row>
    <row r="1661" spans="1:7" s="7" customFormat="1" ht="13.5" thickBot="1">
      <c r="A1661" s="155"/>
      <c r="B1661" s="930"/>
      <c r="C1661" s="931"/>
      <c r="D1661" s="88"/>
      <c r="E1661" s="214"/>
      <c r="F1661" s="89"/>
      <c r="G1661" s="149">
        <f t="shared" si="111"/>
        <v>0</v>
      </c>
    </row>
    <row r="1662" spans="1:7" s="7" customFormat="1" ht="13.5" thickBot="1">
      <c r="A1662" s="932"/>
      <c r="B1662" s="933"/>
      <c r="C1662" s="934"/>
      <c r="D1662" s="935" t="s">
        <v>415</v>
      </c>
      <c r="E1662" s="936"/>
      <c r="F1662" s="937"/>
      <c r="G1662" s="18">
        <f>SUM(G1659:G1661)</f>
        <v>70199</v>
      </c>
    </row>
    <row r="1663" spans="1:7" s="7" customFormat="1" ht="13.5" thickBot="1">
      <c r="A1663" s="908" t="s">
        <v>1</v>
      </c>
      <c r="B1663" s="910" t="s">
        <v>416</v>
      </c>
      <c r="C1663" s="911"/>
      <c r="D1663" s="911"/>
      <c r="E1663" s="911"/>
      <c r="F1663" s="911"/>
      <c r="G1663" s="912"/>
    </row>
    <row r="1664" spans="1:7" s="7" customFormat="1" ht="13.5" thickBot="1">
      <c r="A1664" s="909"/>
      <c r="B1664" s="913" t="s">
        <v>396</v>
      </c>
      <c r="C1664" s="914"/>
      <c r="D1664" s="95" t="s">
        <v>3</v>
      </c>
      <c r="E1664" s="207" t="s">
        <v>398</v>
      </c>
      <c r="F1664" s="95" t="s">
        <v>397</v>
      </c>
      <c r="G1664" s="113" t="s">
        <v>399</v>
      </c>
    </row>
    <row r="1665" spans="1:7" s="7" customFormat="1" ht="13.5" thickBot="1">
      <c r="A1665" s="127"/>
      <c r="B1665" s="938"/>
      <c r="C1665" s="939"/>
      <c r="D1665" s="104"/>
      <c r="E1665" s="212"/>
      <c r="F1665" s="89"/>
      <c r="G1665" s="159">
        <f>ROUND(F1665*E1665,)</f>
        <v>0</v>
      </c>
    </row>
    <row r="1666" spans="1:7" s="7" customFormat="1" ht="12.75">
      <c r="A1666" s="156"/>
      <c r="B1666" s="940" t="s">
        <v>402</v>
      </c>
      <c r="C1666" s="941"/>
      <c r="D1666" s="157" t="s">
        <v>402</v>
      </c>
      <c r="E1666" s="219"/>
      <c r="F1666" s="158"/>
      <c r="G1666" s="159">
        <f>ROUND(F1666*E1666,)</f>
        <v>0</v>
      </c>
    </row>
    <row r="1667" spans="1:7" s="7" customFormat="1" ht="13.5" thickBot="1">
      <c r="A1667" s="130"/>
      <c r="B1667" s="942" t="s">
        <v>402</v>
      </c>
      <c r="C1667" s="943"/>
      <c r="D1667" s="104" t="s">
        <v>402</v>
      </c>
      <c r="E1667" s="212"/>
      <c r="F1667" s="105"/>
      <c r="G1667" s="131">
        <f>ROUND(F1667*E1667,)</f>
        <v>0</v>
      </c>
    </row>
    <row r="1668" spans="1:7" s="7" customFormat="1" ht="13.5" thickBot="1">
      <c r="A1668" s="944"/>
      <c r="B1668" s="945"/>
      <c r="C1668" s="946"/>
      <c r="D1668" s="947" t="s">
        <v>418</v>
      </c>
      <c r="E1668" s="948"/>
      <c r="F1668" s="949"/>
      <c r="G1668" s="11">
        <f>SUM(G1665:G1667)</f>
        <v>0</v>
      </c>
    </row>
    <row r="1669" spans="1:7" s="7" customFormat="1" ht="13.5" thickBot="1">
      <c r="A1669" s="908" t="s">
        <v>1</v>
      </c>
      <c r="B1669" s="910" t="s">
        <v>419</v>
      </c>
      <c r="C1669" s="911"/>
      <c r="D1669" s="911"/>
      <c r="E1669" s="911"/>
      <c r="F1669" s="911"/>
      <c r="G1669" s="912"/>
    </row>
    <row r="1670" spans="1:7" s="7" customFormat="1" ht="13.5" thickBot="1">
      <c r="A1670" s="909"/>
      <c r="B1670" s="913" t="s">
        <v>396</v>
      </c>
      <c r="C1670" s="914"/>
      <c r="D1670" s="95" t="s">
        <v>3</v>
      </c>
      <c r="E1670" s="207" t="s">
        <v>398</v>
      </c>
      <c r="F1670" s="95" t="s">
        <v>397</v>
      </c>
      <c r="G1670" s="113" t="s">
        <v>399</v>
      </c>
    </row>
    <row r="1671" spans="1:7" s="7" customFormat="1" ht="12.75">
      <c r="A1671" s="122"/>
      <c r="B1671" s="160" t="s">
        <v>466</v>
      </c>
      <c r="C1671" s="161"/>
      <c r="D1671" s="109" t="s">
        <v>422</v>
      </c>
      <c r="E1671" s="82">
        <f>_xlfn.IFNA(VLOOKUP(B1671,'sub M. DE OBRA'!$B$4:$E$19997,4,FALSE),0)</f>
        <v>290909.73333333334</v>
      </c>
      <c r="F1671" s="110">
        <v>0.1</v>
      </c>
      <c r="G1671" s="129">
        <f>ROUND(F1671*E1671,)</f>
        <v>29091</v>
      </c>
    </row>
    <row r="1672" spans="1:7" s="7" customFormat="1" ht="12.75">
      <c r="A1672" s="155"/>
      <c r="B1672" s="184"/>
      <c r="C1672" s="185"/>
      <c r="D1672" s="92"/>
      <c r="E1672" s="215"/>
      <c r="F1672" s="101"/>
      <c r="G1672" s="164">
        <f>ROUND(E1672*F1672*C1672,0)</f>
        <v>0</v>
      </c>
    </row>
    <row r="1673" spans="1:7" s="7" customFormat="1" ht="13.5" thickBot="1">
      <c r="A1673" s="165"/>
      <c r="B1673" s="166"/>
      <c r="C1673" s="167"/>
      <c r="D1673" s="168"/>
      <c r="E1673" s="222"/>
      <c r="F1673" s="169"/>
      <c r="G1673" s="170">
        <f>ROUND(E1673*F1673*C1673,0)</f>
        <v>0</v>
      </c>
    </row>
    <row r="1674" spans="1:7" s="7" customFormat="1" ht="13.5" thickBot="1">
      <c r="A1674" s="915" t="s">
        <v>424</v>
      </c>
      <c r="B1674" s="916"/>
      <c r="C1674" s="917"/>
      <c r="D1674" s="918" t="s">
        <v>425</v>
      </c>
      <c r="E1674" s="919"/>
      <c r="F1674" s="920"/>
      <c r="G1674" s="12">
        <f>SUM(G1671:G1673)</f>
        <v>29091</v>
      </c>
    </row>
    <row r="1675" spans="1:7" s="7" customFormat="1" ht="13.5" thickBot="1">
      <c r="A1675" s="921"/>
      <c r="B1675" s="922"/>
      <c r="C1675" s="922"/>
      <c r="D1675" s="923" t="s">
        <v>426</v>
      </c>
      <c r="E1675" s="924"/>
      <c r="F1675" s="925"/>
      <c r="G1675" s="153">
        <f>+G1656+G1662+G1668+G1674</f>
        <v>100745</v>
      </c>
    </row>
    <row r="1676" spans="1:7" s="7" customFormat="1" ht="13.5" thickBot="1"/>
    <row r="1677" spans="1:7" s="7" customFormat="1" ht="13.5" thickBot="1">
      <c r="A1677" s="950" t="s">
        <v>390</v>
      </c>
      <c r="B1677" s="951"/>
      <c r="C1677" s="951"/>
      <c r="D1677" s="951"/>
      <c r="E1677" s="952"/>
      <c r="F1677" s="42" t="s">
        <v>391</v>
      </c>
      <c r="G1677" s="191">
        <f ca="1">TODAY()</f>
        <v>46071</v>
      </c>
    </row>
    <row r="1678" spans="1:7" s="7" customFormat="1" ht="13.5" thickBot="1">
      <c r="A1678" s="953" t="str">
        <f>+'OFERTA ECONOMICA'!B79</f>
        <v>Construcción  de  media  caña  en  concreto  de  21  MPa.  con sección de 0.1 x 0.1m. Incluye: suministro y transporte interno y externo de los materiales.</v>
      </c>
      <c r="B1678" s="954"/>
      <c r="C1678" s="954"/>
      <c r="D1678" s="954"/>
      <c r="E1678" s="955"/>
      <c r="F1678" s="44" t="s">
        <v>392</v>
      </c>
      <c r="G1678" s="45" t="str">
        <f>+'OFERTA ECONOMICA'!C79</f>
        <v>m</v>
      </c>
    </row>
    <row r="1679" spans="1:7" s="7" customFormat="1" ht="13.5" thickBot="1">
      <c r="A1679" s="956"/>
      <c r="B1679" s="957"/>
      <c r="C1679" s="957"/>
      <c r="D1679" s="957"/>
      <c r="E1679" s="958"/>
      <c r="F1679" s="44" t="s">
        <v>393</v>
      </c>
      <c r="G1679" s="46">
        <f>+'OFERTA ECONOMICA'!D79</f>
        <v>260</v>
      </c>
    </row>
    <row r="1680" spans="1:7" s="7" customFormat="1" ht="13.5" thickBot="1">
      <c r="A1680" s="959"/>
      <c r="B1680" s="960"/>
      <c r="C1680" s="960"/>
      <c r="D1680" s="960"/>
      <c r="E1680" s="961"/>
      <c r="F1680" s="47" t="s">
        <v>394</v>
      </c>
      <c r="G1680" s="48" t="str">
        <f>+'OFERTA ECONOMICA'!A79</f>
        <v>2.1.23</v>
      </c>
    </row>
    <row r="1681" spans="1:7" s="7" customFormat="1" ht="13.5" thickBot="1">
      <c r="A1681" s="962" t="s">
        <v>1</v>
      </c>
      <c r="B1681" s="963" t="s">
        <v>395</v>
      </c>
      <c r="C1681" s="964"/>
      <c r="D1681" s="964"/>
      <c r="E1681" s="964"/>
      <c r="F1681" s="964"/>
      <c r="G1681" s="965"/>
    </row>
    <row r="1682" spans="1:7" s="7" customFormat="1" ht="13.5" thickBot="1">
      <c r="A1682" s="909"/>
      <c r="B1682" s="913" t="s">
        <v>396</v>
      </c>
      <c r="C1682" s="914"/>
      <c r="D1682" s="95" t="s">
        <v>3</v>
      </c>
      <c r="E1682" s="207" t="s">
        <v>398</v>
      </c>
      <c r="F1682" s="95" t="s">
        <v>439</v>
      </c>
      <c r="G1682" s="113" t="s">
        <v>399</v>
      </c>
    </row>
    <row r="1683" spans="1:7" s="7" customFormat="1" ht="13.5" thickBot="1">
      <c r="A1683" s="114"/>
      <c r="B1683" s="966" t="s">
        <v>538</v>
      </c>
      <c r="C1683" s="967"/>
      <c r="D1683" s="88" t="s">
        <v>539</v>
      </c>
      <c r="E1683" s="214">
        <f>+G1703</f>
        <v>14545</v>
      </c>
      <c r="F1683" s="89">
        <v>0.05</v>
      </c>
      <c r="G1683" s="117">
        <f t="shared" ref="G1683:G1684" si="112">ROUND((E1683*F1683),0)</f>
        <v>727</v>
      </c>
    </row>
    <row r="1684" spans="1:7" s="7" customFormat="1" ht="12.75">
      <c r="A1684" s="154"/>
      <c r="B1684" s="968"/>
      <c r="C1684" s="969"/>
      <c r="D1684" s="171"/>
      <c r="E1684" s="220"/>
      <c r="F1684" s="93"/>
      <c r="G1684" s="149">
        <f t="shared" si="112"/>
        <v>0</v>
      </c>
    </row>
    <row r="1685" spans="1:7" s="7" customFormat="1" ht="13.5" thickBot="1">
      <c r="A1685" s="970"/>
      <c r="B1685" s="971"/>
      <c r="C1685" s="972"/>
      <c r="D1685" s="973" t="s">
        <v>403</v>
      </c>
      <c r="E1685" s="974"/>
      <c r="F1685" s="975"/>
      <c r="G1685" s="11">
        <f>SUM(G1683:G1684)</f>
        <v>727</v>
      </c>
    </row>
    <row r="1686" spans="1:7" s="7" customFormat="1" ht="13.5" thickBot="1">
      <c r="A1686" s="908" t="s">
        <v>1</v>
      </c>
      <c r="B1686" s="910" t="s">
        <v>404</v>
      </c>
      <c r="C1686" s="911"/>
      <c r="D1686" s="911"/>
      <c r="E1686" s="911"/>
      <c r="F1686" s="911"/>
      <c r="G1686" s="912"/>
    </row>
    <row r="1687" spans="1:7" s="7" customFormat="1" ht="13.5" thickBot="1">
      <c r="A1687" s="909"/>
      <c r="B1687" s="913" t="s">
        <v>396</v>
      </c>
      <c r="C1687" s="914"/>
      <c r="D1687" s="95" t="s">
        <v>3</v>
      </c>
      <c r="E1687" s="207" t="s">
        <v>398</v>
      </c>
      <c r="F1687" s="95" t="s">
        <v>397</v>
      </c>
      <c r="G1687" s="113" t="s">
        <v>399</v>
      </c>
    </row>
    <row r="1688" spans="1:7" s="7" customFormat="1" ht="13.5" thickBot="1">
      <c r="A1688" s="178"/>
      <c r="B1688" s="926" t="s">
        <v>593</v>
      </c>
      <c r="C1688" s="927"/>
      <c r="D1688" s="88" t="s">
        <v>28</v>
      </c>
      <c r="E1688" s="221">
        <v>577575</v>
      </c>
      <c r="F1688" s="180">
        <v>2.7093472421267594E-2</v>
      </c>
      <c r="G1688" s="181">
        <f t="shared" ref="G1688" si="113">ROUND(E1688*F1688,)</f>
        <v>15649</v>
      </c>
    </row>
    <row r="1689" spans="1:7" s="7" customFormat="1" ht="13.5" thickBot="1">
      <c r="A1689" s="122"/>
      <c r="B1689" s="930"/>
      <c r="C1689" s="931"/>
      <c r="D1689" s="88"/>
      <c r="E1689" s="214"/>
      <c r="F1689" s="89"/>
      <c r="G1689" s="149">
        <f t="shared" ref="G1689:G1690" si="114">ROUND((E1689*F1689),0)</f>
        <v>0</v>
      </c>
    </row>
    <row r="1690" spans="1:7" s="7" customFormat="1" ht="13.5" thickBot="1">
      <c r="A1690" s="155"/>
      <c r="B1690" s="930"/>
      <c r="C1690" s="931"/>
      <c r="D1690" s="88"/>
      <c r="E1690" s="214"/>
      <c r="F1690" s="89"/>
      <c r="G1690" s="149">
        <f t="shared" si="114"/>
        <v>0</v>
      </c>
    </row>
    <row r="1691" spans="1:7" s="7" customFormat="1" ht="13.5" thickBot="1">
      <c r="A1691" s="932"/>
      <c r="B1691" s="933"/>
      <c r="C1691" s="934"/>
      <c r="D1691" s="935" t="s">
        <v>415</v>
      </c>
      <c r="E1691" s="936"/>
      <c r="F1691" s="937"/>
      <c r="G1691" s="18">
        <f>SUM(G1688:G1690)</f>
        <v>15649</v>
      </c>
    </row>
    <row r="1692" spans="1:7" s="7" customFormat="1" ht="13.5" thickBot="1">
      <c r="A1692" s="908" t="s">
        <v>1</v>
      </c>
      <c r="B1692" s="910" t="s">
        <v>416</v>
      </c>
      <c r="C1692" s="911"/>
      <c r="D1692" s="911"/>
      <c r="E1692" s="911"/>
      <c r="F1692" s="911"/>
      <c r="G1692" s="912"/>
    </row>
    <row r="1693" spans="1:7" s="7" customFormat="1" ht="13.5" thickBot="1">
      <c r="A1693" s="909"/>
      <c r="B1693" s="913" t="s">
        <v>396</v>
      </c>
      <c r="C1693" s="914"/>
      <c r="D1693" s="95" t="s">
        <v>3</v>
      </c>
      <c r="E1693" s="207" t="s">
        <v>398</v>
      </c>
      <c r="F1693" s="95" t="s">
        <v>397</v>
      </c>
      <c r="G1693" s="113" t="s">
        <v>399</v>
      </c>
    </row>
    <row r="1694" spans="1:7" s="7" customFormat="1" ht="13.5" thickBot="1">
      <c r="A1694" s="127"/>
      <c r="B1694" s="938"/>
      <c r="C1694" s="939"/>
      <c r="D1694" s="104"/>
      <c r="E1694" s="212"/>
      <c r="F1694" s="89"/>
      <c r="G1694" s="159">
        <f>ROUND(F1694*E1694,)</f>
        <v>0</v>
      </c>
    </row>
    <row r="1695" spans="1:7" s="7" customFormat="1" ht="12.75">
      <c r="A1695" s="156"/>
      <c r="B1695" s="940" t="s">
        <v>402</v>
      </c>
      <c r="C1695" s="941"/>
      <c r="D1695" s="157" t="s">
        <v>402</v>
      </c>
      <c r="E1695" s="219"/>
      <c r="F1695" s="158"/>
      <c r="G1695" s="159">
        <f>ROUND(F1695*E1695,)</f>
        <v>0</v>
      </c>
    </row>
    <row r="1696" spans="1:7" s="7" customFormat="1" ht="13.5" thickBot="1">
      <c r="A1696" s="130"/>
      <c r="B1696" s="942" t="s">
        <v>402</v>
      </c>
      <c r="C1696" s="943"/>
      <c r="D1696" s="104" t="s">
        <v>402</v>
      </c>
      <c r="E1696" s="212"/>
      <c r="F1696" s="105"/>
      <c r="G1696" s="131">
        <f>ROUND(F1696*E1696,)</f>
        <v>0</v>
      </c>
    </row>
    <row r="1697" spans="1:7" s="7" customFormat="1" ht="13.5" thickBot="1">
      <c r="A1697" s="944"/>
      <c r="B1697" s="945"/>
      <c r="C1697" s="946"/>
      <c r="D1697" s="947" t="s">
        <v>418</v>
      </c>
      <c r="E1697" s="948"/>
      <c r="F1697" s="949"/>
      <c r="G1697" s="11">
        <f>SUM(G1694:G1696)</f>
        <v>0</v>
      </c>
    </row>
    <row r="1698" spans="1:7" s="7" customFormat="1" ht="13.5" thickBot="1">
      <c r="A1698" s="908" t="s">
        <v>1</v>
      </c>
      <c r="B1698" s="910" t="s">
        <v>419</v>
      </c>
      <c r="C1698" s="911"/>
      <c r="D1698" s="911"/>
      <c r="E1698" s="911"/>
      <c r="F1698" s="911"/>
      <c r="G1698" s="912"/>
    </row>
    <row r="1699" spans="1:7" s="7" customFormat="1" ht="13.5" thickBot="1">
      <c r="A1699" s="909"/>
      <c r="B1699" s="913" t="s">
        <v>396</v>
      </c>
      <c r="C1699" s="914"/>
      <c r="D1699" s="95" t="s">
        <v>3</v>
      </c>
      <c r="E1699" s="207" t="s">
        <v>398</v>
      </c>
      <c r="F1699" s="95" t="s">
        <v>397</v>
      </c>
      <c r="G1699" s="113" t="s">
        <v>399</v>
      </c>
    </row>
    <row r="1700" spans="1:7" s="7" customFormat="1" ht="12.75">
      <c r="A1700" s="122"/>
      <c r="B1700" s="160" t="s">
        <v>466</v>
      </c>
      <c r="C1700" s="161"/>
      <c r="D1700" s="109" t="s">
        <v>422</v>
      </c>
      <c r="E1700" s="82">
        <f>_xlfn.IFNA(VLOOKUP(B1700,'sub M. DE OBRA'!$B$4:$E$19997,4,FALSE),0)</f>
        <v>290909.73333333334</v>
      </c>
      <c r="F1700" s="110">
        <v>0.05</v>
      </c>
      <c r="G1700" s="129">
        <f>ROUND(F1700*E1700,)</f>
        <v>14545</v>
      </c>
    </row>
    <row r="1701" spans="1:7" s="7" customFormat="1" ht="12.75">
      <c r="A1701" s="155"/>
      <c r="B1701" s="184"/>
      <c r="C1701" s="185"/>
      <c r="D1701" s="92"/>
      <c r="E1701" s="215"/>
      <c r="F1701" s="101"/>
      <c r="G1701" s="164">
        <f>ROUND(E1701*F1701*C1701,0)</f>
        <v>0</v>
      </c>
    </row>
    <row r="1702" spans="1:7" s="7" customFormat="1" ht="13.5" thickBot="1">
      <c r="A1702" s="165"/>
      <c r="B1702" s="166"/>
      <c r="C1702" s="167"/>
      <c r="D1702" s="168"/>
      <c r="E1702" s="222"/>
      <c r="F1702" s="169"/>
      <c r="G1702" s="170">
        <f>ROUND(E1702*F1702*C1702,0)</f>
        <v>0</v>
      </c>
    </row>
    <row r="1703" spans="1:7" s="7" customFormat="1" ht="13.5" thickBot="1">
      <c r="A1703" s="915" t="s">
        <v>424</v>
      </c>
      <c r="B1703" s="916"/>
      <c r="C1703" s="917"/>
      <c r="D1703" s="918" t="s">
        <v>425</v>
      </c>
      <c r="E1703" s="919"/>
      <c r="F1703" s="920"/>
      <c r="G1703" s="12">
        <f>SUM(G1700:G1702)</f>
        <v>14545</v>
      </c>
    </row>
    <row r="1704" spans="1:7" s="7" customFormat="1" ht="13.5" thickBot="1">
      <c r="A1704" s="921"/>
      <c r="B1704" s="922"/>
      <c r="C1704" s="922"/>
      <c r="D1704" s="923" t="s">
        <v>426</v>
      </c>
      <c r="E1704" s="924"/>
      <c r="F1704" s="925"/>
      <c r="G1704" s="153">
        <f>+G1685+G1691+G1697+G1703</f>
        <v>30921</v>
      </c>
    </row>
    <row r="1705" spans="1:7" s="7" customFormat="1" ht="13.5" thickBot="1"/>
    <row r="1706" spans="1:7" s="7" customFormat="1" ht="13.5" thickBot="1">
      <c r="A1706" s="950" t="s">
        <v>390</v>
      </c>
      <c r="B1706" s="951"/>
      <c r="C1706" s="951"/>
      <c r="D1706" s="951"/>
      <c r="E1706" s="952"/>
      <c r="F1706" s="42" t="s">
        <v>391</v>
      </c>
      <c r="G1706" s="191">
        <f ca="1">TODAY()</f>
        <v>46071</v>
      </c>
    </row>
    <row r="1707" spans="1:7" s="7" customFormat="1" ht="13.5" thickBot="1">
      <c r="A1707" s="953" t="str">
        <f>+'OFERTA ECONOMICA'!B80</f>
        <v>Suministro,   transporte   y   aplicación   de   pintura   epoxica PINTUCOAT de pintuco para media caña.Incluye preparacion de superficie y resanes</v>
      </c>
      <c r="B1707" s="954"/>
      <c r="C1707" s="954"/>
      <c r="D1707" s="954"/>
      <c r="E1707" s="955"/>
      <c r="F1707" s="44" t="s">
        <v>392</v>
      </c>
      <c r="G1707" s="45" t="str">
        <f>+'OFERTA ECONOMICA'!C80</f>
        <v>m</v>
      </c>
    </row>
    <row r="1708" spans="1:7" s="7" customFormat="1" ht="13.5" thickBot="1">
      <c r="A1708" s="956"/>
      <c r="B1708" s="957"/>
      <c r="C1708" s="957"/>
      <c r="D1708" s="957"/>
      <c r="E1708" s="958"/>
      <c r="F1708" s="44" t="s">
        <v>393</v>
      </c>
      <c r="G1708" s="46">
        <f>+'OFERTA ECONOMICA'!D80</f>
        <v>260</v>
      </c>
    </row>
    <row r="1709" spans="1:7" s="7" customFormat="1" ht="13.5" thickBot="1">
      <c r="A1709" s="959"/>
      <c r="B1709" s="960"/>
      <c r="C1709" s="960"/>
      <c r="D1709" s="960"/>
      <c r="E1709" s="961"/>
      <c r="F1709" s="47" t="s">
        <v>394</v>
      </c>
      <c r="G1709" s="48" t="str">
        <f>+'OFERTA ECONOMICA'!A80</f>
        <v>2.1.24</v>
      </c>
    </row>
    <row r="1710" spans="1:7" s="7" customFormat="1" ht="13.5" thickBot="1">
      <c r="A1710" s="962" t="s">
        <v>1</v>
      </c>
      <c r="B1710" s="963" t="s">
        <v>395</v>
      </c>
      <c r="C1710" s="964"/>
      <c r="D1710" s="964"/>
      <c r="E1710" s="964"/>
      <c r="F1710" s="964"/>
      <c r="G1710" s="965"/>
    </row>
    <row r="1711" spans="1:7" s="7" customFormat="1" ht="13.5" thickBot="1">
      <c r="A1711" s="909"/>
      <c r="B1711" s="913" t="s">
        <v>396</v>
      </c>
      <c r="C1711" s="914"/>
      <c r="D1711" s="95" t="s">
        <v>3</v>
      </c>
      <c r="E1711" s="207" t="s">
        <v>398</v>
      </c>
      <c r="F1711" s="95" t="s">
        <v>439</v>
      </c>
      <c r="G1711" s="113" t="s">
        <v>399</v>
      </c>
    </row>
    <row r="1712" spans="1:7" s="7" customFormat="1" ht="13.5" thickBot="1">
      <c r="A1712" s="114"/>
      <c r="B1712" s="966" t="s">
        <v>538</v>
      </c>
      <c r="C1712" s="967"/>
      <c r="D1712" s="88" t="s">
        <v>539</v>
      </c>
      <c r="E1712" s="214">
        <f>+G1732</f>
        <v>15127</v>
      </c>
      <c r="F1712" s="89">
        <v>0.05</v>
      </c>
      <c r="G1712" s="117">
        <f t="shared" ref="G1712:G1713" si="115">ROUND((E1712*F1712),0)</f>
        <v>756</v>
      </c>
    </row>
    <row r="1713" spans="1:7" s="7" customFormat="1" ht="12.75">
      <c r="A1713" s="154"/>
      <c r="B1713" s="968"/>
      <c r="C1713" s="969"/>
      <c r="D1713" s="171"/>
      <c r="E1713" s="220"/>
      <c r="F1713" s="93"/>
      <c r="G1713" s="149">
        <f t="shared" si="115"/>
        <v>0</v>
      </c>
    </row>
    <row r="1714" spans="1:7" s="7" customFormat="1" ht="13.5" thickBot="1">
      <c r="A1714" s="970"/>
      <c r="B1714" s="971"/>
      <c r="C1714" s="972"/>
      <c r="D1714" s="973" t="s">
        <v>403</v>
      </c>
      <c r="E1714" s="974"/>
      <c r="F1714" s="975"/>
      <c r="G1714" s="11">
        <f>SUM(G1712:G1713)</f>
        <v>756</v>
      </c>
    </row>
    <row r="1715" spans="1:7" s="7" customFormat="1" ht="13.5" thickBot="1">
      <c r="A1715" s="908" t="s">
        <v>1</v>
      </c>
      <c r="B1715" s="910" t="s">
        <v>404</v>
      </c>
      <c r="C1715" s="911"/>
      <c r="D1715" s="911"/>
      <c r="E1715" s="911"/>
      <c r="F1715" s="911"/>
      <c r="G1715" s="912"/>
    </row>
    <row r="1716" spans="1:7" s="7" customFormat="1" ht="13.5" thickBot="1">
      <c r="A1716" s="909"/>
      <c r="B1716" s="913" t="s">
        <v>396</v>
      </c>
      <c r="C1716" s="914"/>
      <c r="D1716" s="95" t="s">
        <v>3</v>
      </c>
      <c r="E1716" s="207" t="s">
        <v>398</v>
      </c>
      <c r="F1716" s="95" t="s">
        <v>397</v>
      </c>
      <c r="G1716" s="113" t="s">
        <v>399</v>
      </c>
    </row>
    <row r="1717" spans="1:7" s="7" customFormat="1" ht="13.5" thickBot="1">
      <c r="A1717" s="178"/>
      <c r="B1717" s="926" t="s">
        <v>592</v>
      </c>
      <c r="C1717" s="927"/>
      <c r="D1717" s="88" t="s">
        <v>55</v>
      </c>
      <c r="E1717" s="221">
        <v>954900</v>
      </c>
      <c r="F1717" s="180">
        <v>2.0256323711280135E-2</v>
      </c>
      <c r="G1717" s="181">
        <f t="shared" ref="G1717" si="116">ROUND(E1717*F1717,)</f>
        <v>19343</v>
      </c>
    </row>
    <row r="1718" spans="1:7" s="7" customFormat="1" ht="13.5" thickBot="1">
      <c r="A1718" s="122"/>
      <c r="B1718" s="930"/>
      <c r="C1718" s="931"/>
      <c r="D1718" s="88"/>
      <c r="E1718" s="214"/>
      <c r="F1718" s="89"/>
      <c r="G1718" s="149">
        <f t="shared" ref="G1718:G1719" si="117">ROUND((E1718*F1718),0)</f>
        <v>0</v>
      </c>
    </row>
    <row r="1719" spans="1:7" s="7" customFormat="1" ht="13.5" thickBot="1">
      <c r="A1719" s="155"/>
      <c r="B1719" s="930"/>
      <c r="C1719" s="931"/>
      <c r="D1719" s="88"/>
      <c r="E1719" s="214"/>
      <c r="F1719" s="89"/>
      <c r="G1719" s="149">
        <f t="shared" si="117"/>
        <v>0</v>
      </c>
    </row>
    <row r="1720" spans="1:7" s="7" customFormat="1" ht="13.5" thickBot="1">
      <c r="A1720" s="932"/>
      <c r="B1720" s="933"/>
      <c r="C1720" s="934"/>
      <c r="D1720" s="935" t="s">
        <v>415</v>
      </c>
      <c r="E1720" s="936"/>
      <c r="F1720" s="937"/>
      <c r="G1720" s="18">
        <f>SUM(G1717:G1719)</f>
        <v>19343</v>
      </c>
    </row>
    <row r="1721" spans="1:7" s="7" customFormat="1" ht="13.5" thickBot="1">
      <c r="A1721" s="908" t="s">
        <v>1</v>
      </c>
      <c r="B1721" s="910" t="s">
        <v>416</v>
      </c>
      <c r="C1721" s="911"/>
      <c r="D1721" s="911"/>
      <c r="E1721" s="911"/>
      <c r="F1721" s="911"/>
      <c r="G1721" s="912"/>
    </row>
    <row r="1722" spans="1:7" s="7" customFormat="1" ht="13.5" thickBot="1">
      <c r="A1722" s="909"/>
      <c r="B1722" s="913" t="s">
        <v>396</v>
      </c>
      <c r="C1722" s="914"/>
      <c r="D1722" s="95" t="s">
        <v>3</v>
      </c>
      <c r="E1722" s="207" t="s">
        <v>398</v>
      </c>
      <c r="F1722" s="95" t="s">
        <v>397</v>
      </c>
      <c r="G1722" s="113" t="s">
        <v>399</v>
      </c>
    </row>
    <row r="1723" spans="1:7" s="7" customFormat="1" ht="13.5" thickBot="1">
      <c r="A1723" s="127"/>
      <c r="B1723" s="938"/>
      <c r="C1723" s="939"/>
      <c r="D1723" s="104"/>
      <c r="E1723" s="212"/>
      <c r="F1723" s="89"/>
      <c r="G1723" s="159">
        <f>ROUND(F1723*E1723,)</f>
        <v>0</v>
      </c>
    </row>
    <row r="1724" spans="1:7" s="7" customFormat="1" ht="12.75">
      <c r="A1724" s="156"/>
      <c r="B1724" s="940" t="s">
        <v>402</v>
      </c>
      <c r="C1724" s="941"/>
      <c r="D1724" s="157" t="s">
        <v>402</v>
      </c>
      <c r="E1724" s="219"/>
      <c r="F1724" s="158"/>
      <c r="G1724" s="159">
        <f>ROUND(F1724*E1724,)</f>
        <v>0</v>
      </c>
    </row>
    <row r="1725" spans="1:7" s="7" customFormat="1" ht="13.5" thickBot="1">
      <c r="A1725" s="130"/>
      <c r="B1725" s="942" t="s">
        <v>402</v>
      </c>
      <c r="C1725" s="943"/>
      <c r="D1725" s="104" t="s">
        <v>402</v>
      </c>
      <c r="E1725" s="212"/>
      <c r="F1725" s="105"/>
      <c r="G1725" s="131">
        <f>ROUND(F1725*E1725,)</f>
        <v>0</v>
      </c>
    </row>
    <row r="1726" spans="1:7" s="7" customFormat="1" ht="13.5" thickBot="1">
      <c r="A1726" s="944"/>
      <c r="B1726" s="945"/>
      <c r="C1726" s="946"/>
      <c r="D1726" s="947" t="s">
        <v>418</v>
      </c>
      <c r="E1726" s="948"/>
      <c r="F1726" s="949"/>
      <c r="G1726" s="11">
        <f>SUM(G1723:G1725)</f>
        <v>0</v>
      </c>
    </row>
    <row r="1727" spans="1:7" s="7" customFormat="1" ht="13.5" thickBot="1">
      <c r="A1727" s="908" t="s">
        <v>1</v>
      </c>
      <c r="B1727" s="910" t="s">
        <v>419</v>
      </c>
      <c r="C1727" s="911"/>
      <c r="D1727" s="911"/>
      <c r="E1727" s="911"/>
      <c r="F1727" s="911"/>
      <c r="G1727" s="912"/>
    </row>
    <row r="1728" spans="1:7" s="7" customFormat="1" ht="13.5" thickBot="1">
      <c r="A1728" s="909"/>
      <c r="B1728" s="913" t="s">
        <v>396</v>
      </c>
      <c r="C1728" s="914"/>
      <c r="D1728" s="95" t="s">
        <v>3</v>
      </c>
      <c r="E1728" s="207" t="s">
        <v>398</v>
      </c>
      <c r="F1728" s="95" t="s">
        <v>397</v>
      </c>
      <c r="G1728" s="113" t="s">
        <v>399</v>
      </c>
    </row>
    <row r="1729" spans="1:7" s="7" customFormat="1" ht="12.75">
      <c r="A1729" s="122"/>
      <c r="B1729" s="160" t="s">
        <v>466</v>
      </c>
      <c r="C1729" s="161"/>
      <c r="D1729" s="109" t="s">
        <v>422</v>
      </c>
      <c r="E1729" s="82">
        <f>_xlfn.IFNA(VLOOKUP(B1729,'sub M. DE OBRA'!$B$4:$E$19997,4,FALSE),0)</f>
        <v>290909.73333333334</v>
      </c>
      <c r="F1729" s="110">
        <v>5.1999999999999998E-2</v>
      </c>
      <c r="G1729" s="129">
        <f>ROUND(F1729*E1729,)</f>
        <v>15127</v>
      </c>
    </row>
    <row r="1730" spans="1:7" s="7" customFormat="1" ht="12.75">
      <c r="A1730" s="155"/>
      <c r="B1730" s="184"/>
      <c r="C1730" s="185"/>
      <c r="D1730" s="92"/>
      <c r="E1730" s="215"/>
      <c r="F1730" s="101"/>
      <c r="G1730" s="164">
        <f>ROUND(E1730*F1730*C1730,0)</f>
        <v>0</v>
      </c>
    </row>
    <row r="1731" spans="1:7" s="7" customFormat="1" ht="13.5" thickBot="1">
      <c r="A1731" s="165"/>
      <c r="B1731" s="166"/>
      <c r="C1731" s="167"/>
      <c r="D1731" s="168"/>
      <c r="E1731" s="222"/>
      <c r="F1731" s="169"/>
      <c r="G1731" s="170">
        <f>ROUND(E1731*F1731*C1731,0)</f>
        <v>0</v>
      </c>
    </row>
    <row r="1732" spans="1:7" s="7" customFormat="1" ht="13.5" thickBot="1">
      <c r="A1732" s="915" t="s">
        <v>424</v>
      </c>
      <c r="B1732" s="916"/>
      <c r="C1732" s="917"/>
      <c r="D1732" s="918" t="s">
        <v>425</v>
      </c>
      <c r="E1732" s="919"/>
      <c r="F1732" s="920"/>
      <c r="G1732" s="12">
        <f>SUM(G1729:G1731)</f>
        <v>15127</v>
      </c>
    </row>
    <row r="1733" spans="1:7" s="7" customFormat="1" ht="13.5" thickBot="1">
      <c r="A1733" s="921"/>
      <c r="B1733" s="922"/>
      <c r="C1733" s="922"/>
      <c r="D1733" s="923" t="s">
        <v>426</v>
      </c>
      <c r="E1733" s="924"/>
      <c r="F1733" s="925"/>
      <c r="G1733" s="153">
        <f>+G1714+G1720+G1726+G1732</f>
        <v>35226</v>
      </c>
    </row>
    <row r="1734" spans="1:7" s="7" customFormat="1" ht="13.5" thickBot="1"/>
    <row r="1735" spans="1:7" ht="15" thickBot="1">
      <c r="A1735" s="950" t="s">
        <v>390</v>
      </c>
      <c r="B1735" s="951"/>
      <c r="C1735" s="951"/>
      <c r="D1735" s="951"/>
      <c r="E1735" s="952"/>
      <c r="F1735" s="272" t="s">
        <v>391</v>
      </c>
      <c r="G1735" s="43">
        <f ca="1">TODAY()</f>
        <v>46071</v>
      </c>
    </row>
    <row r="1736" spans="1:7" ht="15" thickBot="1">
      <c r="A1736" s="953" t="str">
        <f>+'OFERTA ECONOMICA'!B83</f>
        <v>Suministro, transporte e instalación de malla electrosoldada tipo D84. Incluye el suministro y el transporte del material y todos los elementos necesarios para su correcta colocación.</v>
      </c>
      <c r="B1736" s="954"/>
      <c r="C1736" s="954"/>
      <c r="D1736" s="954"/>
      <c r="E1736" s="955"/>
      <c r="F1736" s="273" t="s">
        <v>392</v>
      </c>
      <c r="G1736" s="45" t="s">
        <v>594</v>
      </c>
    </row>
    <row r="1737" spans="1:7" ht="15" thickBot="1">
      <c r="A1737" s="956"/>
      <c r="B1737" s="957"/>
      <c r="C1737" s="957"/>
      <c r="D1737" s="957"/>
      <c r="E1737" s="958"/>
      <c r="F1737" s="273" t="s">
        <v>393</v>
      </c>
      <c r="G1737" s="46">
        <v>1</v>
      </c>
    </row>
    <row r="1738" spans="1:7" ht="15" thickBot="1">
      <c r="A1738" s="959"/>
      <c r="B1738" s="960"/>
      <c r="C1738" s="960"/>
      <c r="D1738" s="960"/>
      <c r="E1738" s="961"/>
      <c r="F1738" s="274" t="s">
        <v>394</v>
      </c>
      <c r="G1738" s="48" t="s">
        <v>156</v>
      </c>
    </row>
    <row r="1739" spans="1:7" ht="15" thickBot="1">
      <c r="A1739" s="962" t="s">
        <v>1</v>
      </c>
      <c r="B1739" s="963" t="s">
        <v>395</v>
      </c>
      <c r="C1739" s="964"/>
      <c r="D1739" s="964"/>
      <c r="E1739" s="964"/>
      <c r="F1739" s="964"/>
      <c r="G1739" s="965"/>
    </row>
    <row r="1740" spans="1:7" ht="15" thickBot="1">
      <c r="A1740" s="909"/>
      <c r="B1740" s="913" t="s">
        <v>396</v>
      </c>
      <c r="C1740" s="914"/>
      <c r="D1740" s="95" t="s">
        <v>3</v>
      </c>
      <c r="E1740" s="242" t="s">
        <v>398</v>
      </c>
      <c r="F1740" s="286" t="s">
        <v>439</v>
      </c>
      <c r="G1740" s="113" t="s">
        <v>399</v>
      </c>
    </row>
    <row r="1741" spans="1:7" ht="15" thickBot="1">
      <c r="A1741" s="114"/>
      <c r="B1741" s="966" t="s">
        <v>427</v>
      </c>
      <c r="C1741" s="967"/>
      <c r="D1741" s="88" t="s">
        <v>428</v>
      </c>
      <c r="E1741" s="251">
        <f>+G1761</f>
        <v>9038</v>
      </c>
      <c r="F1741" s="284">
        <v>0.05</v>
      </c>
      <c r="G1741" s="117">
        <f>ROUND((E1741*F1741),0)</f>
        <v>452</v>
      </c>
    </row>
    <row r="1742" spans="1:7">
      <c r="A1742" s="154"/>
      <c r="B1742" s="968" t="s">
        <v>457</v>
      </c>
      <c r="C1742" s="969"/>
      <c r="D1742" s="171" t="s">
        <v>458</v>
      </c>
      <c r="E1742" s="260">
        <v>1800</v>
      </c>
      <c r="F1742" s="285">
        <v>0.03</v>
      </c>
      <c r="G1742" s="149">
        <f>ROUND((E1742*F1742),0)</f>
        <v>54</v>
      </c>
    </row>
    <row r="1743" spans="1:7" ht="15" thickBot="1">
      <c r="A1743" s="970"/>
      <c r="B1743" s="971"/>
      <c r="C1743" s="972"/>
      <c r="D1743" s="973" t="s">
        <v>403</v>
      </c>
      <c r="E1743" s="974"/>
      <c r="F1743" s="975"/>
      <c r="G1743" s="11">
        <f>SUM(G1741:G1742)</f>
        <v>506</v>
      </c>
    </row>
    <row r="1744" spans="1:7" ht="15" thickBot="1">
      <c r="A1744" s="908" t="s">
        <v>1</v>
      </c>
      <c r="B1744" s="910" t="s">
        <v>404</v>
      </c>
      <c r="C1744" s="911"/>
      <c r="D1744" s="911"/>
      <c r="E1744" s="911"/>
      <c r="F1744" s="911"/>
      <c r="G1744" s="912"/>
    </row>
    <row r="1745" spans="1:7" ht="15" thickBot="1">
      <c r="A1745" s="909"/>
      <c r="B1745" s="913" t="s">
        <v>396</v>
      </c>
      <c r="C1745" s="914"/>
      <c r="D1745" s="95" t="s">
        <v>3</v>
      </c>
      <c r="E1745" s="242" t="s">
        <v>397</v>
      </c>
      <c r="F1745" s="292" t="s">
        <v>398</v>
      </c>
      <c r="G1745" s="113" t="s">
        <v>399</v>
      </c>
    </row>
    <row r="1746" spans="1:7" ht="15" thickBot="1">
      <c r="A1746" s="122"/>
      <c r="B1746" s="930" t="s">
        <v>459</v>
      </c>
      <c r="C1746" s="931"/>
      <c r="D1746" s="88" t="s">
        <v>15</v>
      </c>
      <c r="E1746" s="251">
        <v>7051</v>
      </c>
      <c r="F1746" s="284">
        <v>1.2</v>
      </c>
      <c r="G1746" s="149">
        <f>ROUND((E1746*F1746),0)</f>
        <v>8461</v>
      </c>
    </row>
    <row r="1747" spans="1:7">
      <c r="A1747" s="155"/>
      <c r="B1747" s="930" t="s">
        <v>460</v>
      </c>
      <c r="C1747" s="931"/>
      <c r="D1747" s="88" t="s">
        <v>411</v>
      </c>
      <c r="E1747" s="251">
        <v>8600</v>
      </c>
      <c r="F1747" s="284">
        <v>0.11</v>
      </c>
      <c r="G1747" s="149">
        <f>ROUND((E1747*F1747),0)</f>
        <v>946</v>
      </c>
    </row>
    <row r="1748" spans="1:7" ht="15" thickBot="1">
      <c r="A1748" s="178"/>
      <c r="B1748" s="926"/>
      <c r="C1748" s="927"/>
      <c r="D1748" s="179"/>
      <c r="E1748" s="261"/>
      <c r="F1748" s="305"/>
      <c r="G1748" s="181">
        <f>ROUND(E1748*F1748,)</f>
        <v>0</v>
      </c>
    </row>
    <row r="1749" spans="1:7" ht="15" thickBot="1">
      <c r="A1749" s="932"/>
      <c r="B1749" s="933"/>
      <c r="C1749" s="934"/>
      <c r="D1749" s="935" t="s">
        <v>415</v>
      </c>
      <c r="E1749" s="936"/>
      <c r="F1749" s="937"/>
      <c r="G1749" s="18">
        <f>SUM(G1746:G1748)</f>
        <v>9407</v>
      </c>
    </row>
    <row r="1750" spans="1:7" ht="15" thickBot="1">
      <c r="A1750" s="908" t="s">
        <v>1</v>
      </c>
      <c r="B1750" s="910" t="s">
        <v>416</v>
      </c>
      <c r="C1750" s="911"/>
      <c r="D1750" s="911"/>
      <c r="E1750" s="911"/>
      <c r="F1750" s="911"/>
      <c r="G1750" s="912"/>
    </row>
    <row r="1751" spans="1:7" ht="15" thickBot="1">
      <c r="A1751" s="909"/>
      <c r="B1751" s="913" t="s">
        <v>396</v>
      </c>
      <c r="C1751" s="914"/>
      <c r="D1751" s="95" t="s">
        <v>3</v>
      </c>
      <c r="E1751" s="242" t="s">
        <v>398</v>
      </c>
      <c r="F1751" s="286" t="s">
        <v>397</v>
      </c>
      <c r="G1751" s="113" t="s">
        <v>399</v>
      </c>
    </row>
    <row r="1752" spans="1:7">
      <c r="A1752" s="127"/>
      <c r="B1752" s="930" t="s">
        <v>461</v>
      </c>
      <c r="C1752" s="931"/>
      <c r="D1752" s="88" t="s">
        <v>411</v>
      </c>
      <c r="E1752" s="251">
        <v>300</v>
      </c>
      <c r="F1752" s="284">
        <v>3.51</v>
      </c>
      <c r="G1752" s="159">
        <f>ROUND(F1752*E1752,)</f>
        <v>1053</v>
      </c>
    </row>
    <row r="1753" spans="1:7">
      <c r="A1753" s="156"/>
      <c r="B1753" s="940" t="s">
        <v>402</v>
      </c>
      <c r="C1753" s="941"/>
      <c r="D1753" s="157" t="s">
        <v>402</v>
      </c>
      <c r="E1753" s="259"/>
      <c r="F1753" s="303"/>
      <c r="G1753" s="159">
        <f>ROUND(F1753*E1753,)</f>
        <v>0</v>
      </c>
    </row>
    <row r="1754" spans="1:7" ht="15" thickBot="1">
      <c r="A1754" s="130"/>
      <c r="B1754" s="942" t="s">
        <v>402</v>
      </c>
      <c r="C1754" s="943"/>
      <c r="D1754" s="104" t="s">
        <v>402</v>
      </c>
      <c r="E1754" s="247"/>
      <c r="F1754" s="288"/>
      <c r="G1754" s="131">
        <f>ROUND(F1754*E1754,)</f>
        <v>0</v>
      </c>
    </row>
    <row r="1755" spans="1:7" ht="15" thickBot="1">
      <c r="A1755" s="944"/>
      <c r="B1755" s="945"/>
      <c r="C1755" s="946"/>
      <c r="D1755" s="947" t="s">
        <v>418</v>
      </c>
      <c r="E1755" s="948"/>
      <c r="F1755" s="949"/>
      <c r="G1755" s="11">
        <f>SUM(G1752:G1754)</f>
        <v>1053</v>
      </c>
    </row>
    <row r="1756" spans="1:7" ht="15" thickBot="1">
      <c r="A1756" s="908" t="s">
        <v>1</v>
      </c>
      <c r="B1756" s="910" t="s">
        <v>419</v>
      </c>
      <c r="C1756" s="911"/>
      <c r="D1756" s="911"/>
      <c r="E1756" s="911"/>
      <c r="F1756" s="911"/>
      <c r="G1756" s="912"/>
    </row>
    <row r="1757" spans="1:7" ht="15" thickBot="1">
      <c r="A1757" s="909"/>
      <c r="B1757" s="913" t="s">
        <v>396</v>
      </c>
      <c r="C1757" s="914"/>
      <c r="D1757" s="95" t="s">
        <v>3</v>
      </c>
      <c r="E1757" s="242" t="s">
        <v>398</v>
      </c>
      <c r="F1757" s="286" t="s">
        <v>397</v>
      </c>
      <c r="G1757" s="113" t="s">
        <v>399</v>
      </c>
    </row>
    <row r="1758" spans="1:7">
      <c r="A1758" s="122"/>
      <c r="B1758" s="985" t="s">
        <v>421</v>
      </c>
      <c r="C1758" s="986"/>
      <c r="D1758" s="109" t="s">
        <v>422</v>
      </c>
      <c r="E1758" s="82">
        <f>_xlfn.IFNA(VLOOKUP(B1758,'sub M. DE OBRA'!$B$4:$E$19997,4,FALSE),0)</f>
        <v>301253.33333333331</v>
      </c>
      <c r="F1758" s="304">
        <v>0.03</v>
      </c>
      <c r="G1758" s="129">
        <f>ROUND(F1758*E1758,)</f>
        <v>9038</v>
      </c>
    </row>
    <row r="1759" spans="1:7">
      <c r="A1759" s="155"/>
      <c r="B1759" s="184"/>
      <c r="C1759" s="185"/>
      <c r="D1759" s="92"/>
      <c r="E1759" s="252"/>
      <c r="F1759" s="287"/>
      <c r="G1759" s="164">
        <f>ROUND(E1759*F1759*C1759,0)</f>
        <v>0</v>
      </c>
    </row>
    <row r="1760" spans="1:7" ht="15" thickBot="1">
      <c r="A1760" s="165"/>
      <c r="B1760" s="166"/>
      <c r="C1760" s="167"/>
      <c r="D1760" s="168"/>
      <c r="E1760" s="262"/>
      <c r="F1760" s="306"/>
      <c r="G1760" s="170">
        <f>ROUND(E1760*F1760*C1760,0)</f>
        <v>0</v>
      </c>
    </row>
    <row r="1761" spans="1:7" ht="15" thickBot="1">
      <c r="A1761" s="915" t="s">
        <v>424</v>
      </c>
      <c r="B1761" s="916"/>
      <c r="C1761" s="917"/>
      <c r="D1761" s="918" t="s">
        <v>425</v>
      </c>
      <c r="E1761" s="919"/>
      <c r="F1761" s="920"/>
      <c r="G1761" s="12">
        <f>SUM(G1758:G1760)</f>
        <v>9038</v>
      </c>
    </row>
    <row r="1762" spans="1:7" ht="15" thickBot="1">
      <c r="A1762" s="921"/>
      <c r="B1762" s="922"/>
      <c r="C1762" s="922"/>
      <c r="D1762" s="923" t="s">
        <v>426</v>
      </c>
      <c r="E1762" s="924"/>
      <c r="F1762" s="925"/>
      <c r="G1762" s="78">
        <f>+G1743+G1749+G1755+G1761</f>
        <v>20004</v>
      </c>
    </row>
    <row r="1763" spans="1:7" ht="15" thickBot="1">
      <c r="E1763" s="41"/>
      <c r="F1763" s="41"/>
    </row>
    <row r="1764" spans="1:7" ht="15" thickBot="1">
      <c r="A1764" s="1006" t="s">
        <v>390</v>
      </c>
      <c r="B1764" s="1007"/>
      <c r="C1764" s="1007"/>
      <c r="D1764" s="1007"/>
      <c r="E1764" s="1007"/>
      <c r="F1764" s="272" t="s">
        <v>391</v>
      </c>
      <c r="G1764" s="43">
        <f ca="1">TODAY()</f>
        <v>46071</v>
      </c>
    </row>
    <row r="1765" spans="1:7" ht="21" customHeight="1" thickBot="1">
      <c r="A1765" s="953" t="str">
        <f>+'OFERTA ECONOMICA'!B85</f>
        <v>Suministro, transporte y aplicación en exteriores de pintura vinilo tipo exterior Koraza profesional o similar en muros y columnas, en color requerido por diseño o especificación del proyecto; de acuerdo a especificación técnica del fabricante, en preparación de superficie, preparación del producto y aplicación en tres manos para obtener una superficie pareja y homogénea. Incluye andamiaje y todos los elementos necesarios para su correcta aplicación. Trabajos en altura hasta 3.0 m. Incluye personal y andamios certificados para trabajos en alturas.  (100% del area total de la losa)</v>
      </c>
      <c r="B1765" s="954"/>
      <c r="C1765" s="954"/>
      <c r="D1765" s="954"/>
      <c r="E1765" s="955"/>
      <c r="F1765" s="273" t="s">
        <v>392</v>
      </c>
      <c r="G1765" s="45" t="s">
        <v>594</v>
      </c>
    </row>
    <row r="1766" spans="1:7" ht="21" customHeight="1" thickBot="1">
      <c r="A1766" s="956"/>
      <c r="B1766" s="957"/>
      <c r="C1766" s="957"/>
      <c r="D1766" s="957"/>
      <c r="E1766" s="958"/>
      <c r="F1766" s="273" t="s">
        <v>393</v>
      </c>
      <c r="G1766" s="46">
        <v>1</v>
      </c>
    </row>
    <row r="1767" spans="1:7" ht="27.75" customHeight="1" thickBot="1">
      <c r="A1767" s="959"/>
      <c r="B1767" s="960"/>
      <c r="C1767" s="960"/>
      <c r="D1767" s="960"/>
      <c r="E1767" s="961"/>
      <c r="F1767" s="274" t="s">
        <v>394</v>
      </c>
      <c r="G1767" s="48" t="s">
        <v>159</v>
      </c>
    </row>
    <row r="1768" spans="1:7" ht="15" thickBot="1">
      <c r="A1768" s="1008" t="s">
        <v>1</v>
      </c>
      <c r="B1768" s="1009" t="s">
        <v>395</v>
      </c>
      <c r="C1768" s="1009"/>
      <c r="D1768" s="1009"/>
      <c r="E1768" s="1009"/>
      <c r="F1768" s="1009"/>
      <c r="G1768" s="1010"/>
    </row>
    <row r="1769" spans="1:7" ht="15" thickBot="1">
      <c r="A1769" s="982"/>
      <c r="B1769" s="913" t="s">
        <v>396</v>
      </c>
      <c r="C1769" s="914"/>
      <c r="D1769" s="95" t="s">
        <v>3</v>
      </c>
      <c r="E1769" s="242" t="s">
        <v>398</v>
      </c>
      <c r="F1769" s="286" t="s">
        <v>4</v>
      </c>
      <c r="G1769" s="97" t="s">
        <v>399</v>
      </c>
    </row>
    <row r="1770" spans="1:7">
      <c r="A1770" s="87"/>
      <c r="B1770" s="930" t="s">
        <v>427</v>
      </c>
      <c r="C1770" s="931"/>
      <c r="D1770" s="88" t="s">
        <v>428</v>
      </c>
      <c r="E1770" s="251">
        <f>+G1789</f>
        <v>27564.679999999997</v>
      </c>
      <c r="F1770" s="284">
        <v>0.05</v>
      </c>
      <c r="G1770" s="90">
        <f t="shared" ref="G1770:G1772" si="118">ROUND((E1770*F1770),0)</f>
        <v>1378</v>
      </c>
    </row>
    <row r="1771" spans="1:7">
      <c r="A1771" s="91"/>
      <c r="B1771" s="968" t="s">
        <v>462</v>
      </c>
      <c r="C1771" s="969"/>
      <c r="D1771" s="92" t="s">
        <v>430</v>
      </c>
      <c r="E1771" s="252">
        <v>36500</v>
      </c>
      <c r="F1771" s="285">
        <v>1.5630000000000002E-2</v>
      </c>
      <c r="G1771" s="94">
        <f t="shared" si="118"/>
        <v>570</v>
      </c>
    </row>
    <row r="1772" spans="1:7">
      <c r="A1772" s="91"/>
      <c r="B1772" s="968"/>
      <c r="C1772" s="969"/>
      <c r="D1772" s="92"/>
      <c r="E1772" s="252"/>
      <c r="F1772" s="285"/>
      <c r="G1772" s="94">
        <f t="shared" si="118"/>
        <v>0</v>
      </c>
    </row>
    <row r="1773" spans="1:7" ht="15" thickBot="1">
      <c r="A1773" s="994"/>
      <c r="B1773" s="995"/>
      <c r="C1773" s="995"/>
      <c r="D1773" s="981" t="s">
        <v>403</v>
      </c>
      <c r="E1773" s="981"/>
      <c r="F1773" s="981"/>
      <c r="G1773" s="13">
        <f>SUM(G1770:G1772)</f>
        <v>1948</v>
      </c>
    </row>
    <row r="1774" spans="1:7" ht="15" thickBot="1">
      <c r="A1774" s="982" t="s">
        <v>1</v>
      </c>
      <c r="B1774" s="983" t="s">
        <v>404</v>
      </c>
      <c r="C1774" s="983"/>
      <c r="D1774" s="983"/>
      <c r="E1774" s="983"/>
      <c r="F1774" s="983"/>
      <c r="G1774" s="984"/>
    </row>
    <row r="1775" spans="1:7" ht="15" thickBot="1">
      <c r="A1775" s="982"/>
      <c r="B1775" s="913" t="s">
        <v>396</v>
      </c>
      <c r="C1775" s="914"/>
      <c r="D1775" s="95" t="s">
        <v>3</v>
      </c>
      <c r="E1775" s="242" t="s">
        <v>398</v>
      </c>
      <c r="F1775" s="286" t="s">
        <v>397</v>
      </c>
      <c r="G1775" s="97" t="s">
        <v>399</v>
      </c>
    </row>
    <row r="1776" spans="1:7">
      <c r="A1776" s="98"/>
      <c r="B1776" s="928" t="s">
        <v>468</v>
      </c>
      <c r="C1776" s="929"/>
      <c r="D1776" s="99" t="s">
        <v>55</v>
      </c>
      <c r="E1776" s="253">
        <v>1510</v>
      </c>
      <c r="F1776" s="287">
        <v>0.6</v>
      </c>
      <c r="G1776" s="102">
        <f t="shared" ref="G1776:G1780" si="119">ROUND(E1776*F1776,)</f>
        <v>906</v>
      </c>
    </row>
    <row r="1777" spans="1:7">
      <c r="A1777" s="98"/>
      <c r="B1777" s="928" t="s">
        <v>469</v>
      </c>
      <c r="C1777" s="929"/>
      <c r="D1777" s="92" t="s">
        <v>411</v>
      </c>
      <c r="E1777" s="252">
        <v>15900</v>
      </c>
      <c r="F1777" s="287">
        <v>0.2</v>
      </c>
      <c r="G1777" s="102">
        <f t="shared" si="119"/>
        <v>3180</v>
      </c>
    </row>
    <row r="1778" spans="1:7">
      <c r="A1778" s="98"/>
      <c r="B1778" s="928" t="s">
        <v>472</v>
      </c>
      <c r="C1778" s="929"/>
      <c r="D1778" s="99" t="s">
        <v>473</v>
      </c>
      <c r="E1778" s="253">
        <v>1461</v>
      </c>
      <c r="F1778" s="287">
        <v>0.3</v>
      </c>
      <c r="G1778" s="102">
        <f t="shared" si="119"/>
        <v>438</v>
      </c>
    </row>
    <row r="1779" spans="1:7">
      <c r="A1779" s="98"/>
      <c r="B1779" s="928" t="s">
        <v>475</v>
      </c>
      <c r="C1779" s="929"/>
      <c r="D1779" s="99" t="s">
        <v>473</v>
      </c>
      <c r="E1779" s="253">
        <v>115900</v>
      </c>
      <c r="F1779" s="287">
        <v>0.05</v>
      </c>
      <c r="G1779" s="102">
        <f t="shared" si="119"/>
        <v>5795</v>
      </c>
    </row>
    <row r="1780" spans="1:7">
      <c r="A1780" s="98"/>
      <c r="B1780" s="928" t="s">
        <v>476</v>
      </c>
      <c r="C1780" s="929"/>
      <c r="D1780" s="99" t="s">
        <v>473</v>
      </c>
      <c r="E1780" s="253">
        <f>100800*1.03</f>
        <v>103824</v>
      </c>
      <c r="F1780" s="287">
        <v>0.05</v>
      </c>
      <c r="G1780" s="102">
        <f t="shared" si="119"/>
        <v>5191</v>
      </c>
    </row>
    <row r="1781" spans="1:7" ht="15" thickBot="1">
      <c r="A1781" s="996"/>
      <c r="B1781" s="997"/>
      <c r="C1781" s="998"/>
      <c r="D1781" s="981" t="s">
        <v>415</v>
      </c>
      <c r="E1781" s="981"/>
      <c r="F1781" s="981"/>
      <c r="G1781" s="13">
        <f>SUM(G1776:G1780)</f>
        <v>15510</v>
      </c>
    </row>
    <row r="1782" spans="1:7" ht="15" thickBot="1">
      <c r="A1782" s="982" t="s">
        <v>1</v>
      </c>
      <c r="B1782" s="983" t="s">
        <v>416</v>
      </c>
      <c r="C1782" s="983"/>
      <c r="D1782" s="983"/>
      <c r="E1782" s="983"/>
      <c r="F1782" s="983"/>
      <c r="G1782" s="984"/>
    </row>
    <row r="1783" spans="1:7" ht="15" thickBot="1">
      <c r="A1783" s="982"/>
      <c r="B1783" s="913" t="s">
        <v>396</v>
      </c>
      <c r="C1783" s="914"/>
      <c r="D1783" s="95" t="s">
        <v>3</v>
      </c>
      <c r="E1783" s="242" t="s">
        <v>398</v>
      </c>
      <c r="F1783" s="286" t="s">
        <v>397</v>
      </c>
      <c r="G1783" s="97" t="s">
        <v>399</v>
      </c>
    </row>
    <row r="1784" spans="1:7" ht="15" thickBot="1">
      <c r="A1784" s="103"/>
      <c r="B1784" s="942"/>
      <c r="C1784" s="943"/>
      <c r="D1784" s="104"/>
      <c r="E1784" s="247"/>
      <c r="F1784" s="288"/>
      <c r="G1784" s="106">
        <f>ROUND(F1784*E1784,)</f>
        <v>0</v>
      </c>
    </row>
    <row r="1785" spans="1:7" ht="15" thickBot="1">
      <c r="A1785" s="978"/>
      <c r="B1785" s="979"/>
      <c r="C1785" s="980"/>
      <c r="D1785" s="981" t="s">
        <v>418</v>
      </c>
      <c r="E1785" s="981"/>
      <c r="F1785" s="981"/>
      <c r="G1785" s="13">
        <f>SUM(G1784:G1784)</f>
        <v>0</v>
      </c>
    </row>
    <row r="1786" spans="1:7" ht="15" thickBot="1">
      <c r="A1786" s="982" t="s">
        <v>1</v>
      </c>
      <c r="B1786" s="983" t="s">
        <v>419</v>
      </c>
      <c r="C1786" s="983"/>
      <c r="D1786" s="983"/>
      <c r="E1786" s="983"/>
      <c r="F1786" s="983"/>
      <c r="G1786" s="984"/>
    </row>
    <row r="1787" spans="1:7" ht="15" thickBot="1">
      <c r="A1787" s="982"/>
      <c r="B1787" s="913" t="s">
        <v>396</v>
      </c>
      <c r="C1787" s="914"/>
      <c r="D1787" s="95" t="s">
        <v>3</v>
      </c>
      <c r="E1787" s="242" t="s">
        <v>4</v>
      </c>
      <c r="F1787" s="289" t="s">
        <v>420</v>
      </c>
      <c r="G1787" s="97" t="s">
        <v>399</v>
      </c>
    </row>
    <row r="1788" spans="1:7">
      <c r="A1788" s="108"/>
      <c r="B1788" s="985" t="s">
        <v>421</v>
      </c>
      <c r="C1788" s="986"/>
      <c r="D1788" s="109" t="s">
        <v>467</v>
      </c>
      <c r="E1788" s="254">
        <v>9.1499999999999998E-2</v>
      </c>
      <c r="F1788" s="82">
        <f>_xlfn.IFNA(VLOOKUP(B1788,'sub M. DE OBRA'!$B$4:$E$19997,4,FALSE),0)</f>
        <v>301253.33333333331</v>
      </c>
      <c r="G1788" s="111">
        <f>+E1788*F1788</f>
        <v>27564.679999999997</v>
      </c>
    </row>
    <row r="1789" spans="1:7" ht="15" thickBot="1">
      <c r="A1789" s="987" t="s">
        <v>424</v>
      </c>
      <c r="B1789" s="988"/>
      <c r="C1789" s="989"/>
      <c r="D1789" s="990" t="s">
        <v>425</v>
      </c>
      <c r="E1789" s="990"/>
      <c r="F1789" s="990"/>
      <c r="G1789" s="14">
        <f>SUM(G1788:G1788)</f>
        <v>27564.679999999997</v>
      </c>
    </row>
    <row r="1790" spans="1:7" ht="15" thickBot="1">
      <c r="A1790" s="991"/>
      <c r="B1790" s="991"/>
      <c r="C1790" s="991"/>
      <c r="D1790" s="992" t="s">
        <v>426</v>
      </c>
      <c r="E1790" s="993"/>
      <c r="F1790" s="993"/>
      <c r="G1790" s="112">
        <f>ROUND(+G1773+G1781+G1785+G1789,)</f>
        <v>45023</v>
      </c>
    </row>
    <row r="1791" spans="1:7" ht="15" thickBot="1">
      <c r="E1791" s="41"/>
      <c r="F1791" s="41"/>
    </row>
    <row r="1792" spans="1:7" ht="15" thickBot="1">
      <c r="A1792" s="1006" t="s">
        <v>390</v>
      </c>
      <c r="B1792" s="1007"/>
      <c r="C1792" s="1007"/>
      <c r="D1792" s="1007"/>
      <c r="E1792" s="1007"/>
      <c r="F1792" s="272" t="s">
        <v>391</v>
      </c>
      <c r="G1792" s="43">
        <f ca="1">TODAY()</f>
        <v>46071</v>
      </c>
    </row>
    <row r="1793" spans="1:7" ht="15" thickBot="1">
      <c r="A1793" s="953" t="str">
        <f>+'OFERTA ECONOMICA'!B86</f>
        <v>Mantenimiento de malla y tableros de baloncesto, incluye pintura e instalacion de aros y malla nueva si es necesario.</v>
      </c>
      <c r="B1793" s="954"/>
      <c r="C1793" s="954"/>
      <c r="D1793" s="954"/>
      <c r="E1793" s="955"/>
      <c r="F1793" s="273" t="s">
        <v>392</v>
      </c>
      <c r="G1793" s="45" t="s">
        <v>595</v>
      </c>
    </row>
    <row r="1794" spans="1:7" ht="15" thickBot="1">
      <c r="A1794" s="956"/>
      <c r="B1794" s="957"/>
      <c r="C1794" s="957"/>
      <c r="D1794" s="957"/>
      <c r="E1794" s="958"/>
      <c r="F1794" s="273" t="s">
        <v>393</v>
      </c>
      <c r="G1794" s="46">
        <v>1</v>
      </c>
    </row>
    <row r="1795" spans="1:7" ht="15" thickBot="1">
      <c r="A1795" s="959"/>
      <c r="B1795" s="960"/>
      <c r="C1795" s="960"/>
      <c r="D1795" s="960"/>
      <c r="E1795" s="961"/>
      <c r="F1795" s="274" t="s">
        <v>394</v>
      </c>
      <c r="G1795" s="48" t="s">
        <v>161</v>
      </c>
    </row>
    <row r="1796" spans="1:7" ht="15" thickBot="1">
      <c r="A1796" s="1008" t="s">
        <v>1</v>
      </c>
      <c r="B1796" s="1009" t="s">
        <v>395</v>
      </c>
      <c r="C1796" s="1009"/>
      <c r="D1796" s="1009"/>
      <c r="E1796" s="1009"/>
      <c r="F1796" s="1009"/>
      <c r="G1796" s="1010"/>
    </row>
    <row r="1797" spans="1:7" ht="15" thickBot="1">
      <c r="A1797" s="982"/>
      <c r="B1797" s="913" t="s">
        <v>396</v>
      </c>
      <c r="C1797" s="914"/>
      <c r="D1797" s="95" t="s">
        <v>3</v>
      </c>
      <c r="E1797" s="242" t="s">
        <v>398</v>
      </c>
      <c r="F1797" s="286" t="s">
        <v>4</v>
      </c>
      <c r="G1797" s="97" t="s">
        <v>399</v>
      </c>
    </row>
    <row r="1798" spans="1:7">
      <c r="A1798" s="87"/>
      <c r="B1798" s="930" t="s">
        <v>427</v>
      </c>
      <c r="C1798" s="931"/>
      <c r="D1798" s="88" t="s">
        <v>428</v>
      </c>
      <c r="E1798" s="251">
        <f>+G1813</f>
        <v>301253.33333333331</v>
      </c>
      <c r="F1798" s="284">
        <v>0.05</v>
      </c>
      <c r="G1798" s="90">
        <f t="shared" ref="G1798:G1800" si="120">ROUND((E1798*F1798),0)</f>
        <v>15063</v>
      </c>
    </row>
    <row r="1799" spans="1:7">
      <c r="A1799" s="91"/>
      <c r="B1799" s="968" t="s">
        <v>462</v>
      </c>
      <c r="C1799" s="969"/>
      <c r="D1799" s="92" t="s">
        <v>430</v>
      </c>
      <c r="E1799" s="252">
        <v>36500</v>
      </c>
      <c r="F1799" s="285">
        <v>1.5630000000000002E-2</v>
      </c>
      <c r="G1799" s="94">
        <f t="shared" si="120"/>
        <v>570</v>
      </c>
    </row>
    <row r="1800" spans="1:7">
      <c r="A1800" s="91"/>
      <c r="B1800" s="968"/>
      <c r="C1800" s="969"/>
      <c r="D1800" s="92"/>
      <c r="E1800" s="252"/>
      <c r="F1800" s="285"/>
      <c r="G1800" s="94">
        <f t="shared" si="120"/>
        <v>0</v>
      </c>
    </row>
    <row r="1801" spans="1:7" ht="15" thickBot="1">
      <c r="A1801" s="994"/>
      <c r="B1801" s="995"/>
      <c r="C1801" s="995"/>
      <c r="D1801" s="981" t="s">
        <v>403</v>
      </c>
      <c r="E1801" s="981"/>
      <c r="F1801" s="981"/>
      <c r="G1801" s="13">
        <f>SUM(G1798:G1800)</f>
        <v>15633</v>
      </c>
    </row>
    <row r="1802" spans="1:7" ht="15" thickBot="1">
      <c r="A1802" s="982" t="s">
        <v>1</v>
      </c>
      <c r="B1802" s="983" t="s">
        <v>404</v>
      </c>
      <c r="C1802" s="983"/>
      <c r="D1802" s="983"/>
      <c r="E1802" s="983"/>
      <c r="F1802" s="983"/>
      <c r="G1802" s="984"/>
    </row>
    <row r="1803" spans="1:7" ht="15" thickBot="1">
      <c r="A1803" s="982"/>
      <c r="B1803" s="913" t="s">
        <v>396</v>
      </c>
      <c r="C1803" s="914"/>
      <c r="D1803" s="95" t="s">
        <v>3</v>
      </c>
      <c r="E1803" s="242" t="s">
        <v>398</v>
      </c>
      <c r="F1803" s="286" t="s">
        <v>397</v>
      </c>
      <c r="G1803" s="97" t="s">
        <v>399</v>
      </c>
    </row>
    <row r="1804" spans="1:7">
      <c r="A1804" s="98"/>
      <c r="B1804" s="928" t="s">
        <v>596</v>
      </c>
      <c r="C1804" s="929"/>
      <c r="D1804" s="99" t="s">
        <v>55</v>
      </c>
      <c r="E1804" s="253">
        <v>1704549.1</v>
      </c>
      <c r="F1804" s="287">
        <v>1</v>
      </c>
      <c r="G1804" s="102">
        <f t="shared" ref="G1804" si="121">ROUND(E1804*F1804,)</f>
        <v>1704549</v>
      </c>
    </row>
    <row r="1805" spans="1:7" ht="15" thickBot="1">
      <c r="A1805" s="996"/>
      <c r="B1805" s="997"/>
      <c r="C1805" s="998"/>
      <c r="D1805" s="981" t="s">
        <v>415</v>
      </c>
      <c r="E1805" s="981"/>
      <c r="F1805" s="981"/>
      <c r="G1805" s="13">
        <f>SUM(G1804:G1804)</f>
        <v>1704549</v>
      </c>
    </row>
    <row r="1806" spans="1:7" ht="15" thickBot="1">
      <c r="A1806" s="982" t="s">
        <v>1</v>
      </c>
      <c r="B1806" s="983" t="s">
        <v>416</v>
      </c>
      <c r="C1806" s="983"/>
      <c r="D1806" s="983"/>
      <c r="E1806" s="983"/>
      <c r="F1806" s="983"/>
      <c r="G1806" s="984"/>
    </row>
    <row r="1807" spans="1:7" ht="15" thickBot="1">
      <c r="A1807" s="982"/>
      <c r="B1807" s="913" t="s">
        <v>396</v>
      </c>
      <c r="C1807" s="914"/>
      <c r="D1807" s="95" t="s">
        <v>3</v>
      </c>
      <c r="E1807" s="242" t="s">
        <v>398</v>
      </c>
      <c r="F1807" s="286" t="s">
        <v>397</v>
      </c>
      <c r="G1807" s="97" t="s">
        <v>399</v>
      </c>
    </row>
    <row r="1808" spans="1:7" ht="15" thickBot="1">
      <c r="A1808" s="103"/>
      <c r="B1808" s="942"/>
      <c r="C1808" s="943"/>
      <c r="D1808" s="104"/>
      <c r="E1808" s="247"/>
      <c r="F1808" s="288"/>
      <c r="G1808" s="106">
        <f>ROUND(F1808*E1808,)</f>
        <v>0</v>
      </c>
    </row>
    <row r="1809" spans="1:7" ht="15" thickBot="1">
      <c r="A1809" s="978"/>
      <c r="B1809" s="979"/>
      <c r="C1809" s="980"/>
      <c r="D1809" s="981" t="s">
        <v>418</v>
      </c>
      <c r="E1809" s="981"/>
      <c r="F1809" s="981"/>
      <c r="G1809" s="13">
        <f>SUM(G1808:G1808)</f>
        <v>0</v>
      </c>
    </row>
    <row r="1810" spans="1:7" ht="15" thickBot="1">
      <c r="A1810" s="982" t="s">
        <v>1</v>
      </c>
      <c r="B1810" s="983" t="s">
        <v>419</v>
      </c>
      <c r="C1810" s="983"/>
      <c r="D1810" s="983"/>
      <c r="E1810" s="983"/>
      <c r="F1810" s="983"/>
      <c r="G1810" s="984"/>
    </row>
    <row r="1811" spans="1:7" ht="15" thickBot="1">
      <c r="A1811" s="982"/>
      <c r="B1811" s="913" t="s">
        <v>396</v>
      </c>
      <c r="C1811" s="914"/>
      <c r="D1811" s="95" t="s">
        <v>3</v>
      </c>
      <c r="E1811" s="242" t="s">
        <v>4</v>
      </c>
      <c r="F1811" s="289" t="s">
        <v>420</v>
      </c>
      <c r="G1811" s="97" t="s">
        <v>399</v>
      </c>
    </row>
    <row r="1812" spans="1:7">
      <c r="A1812" s="108"/>
      <c r="B1812" s="985" t="s">
        <v>421</v>
      </c>
      <c r="C1812" s="986"/>
      <c r="D1812" s="109" t="s">
        <v>467</v>
      </c>
      <c r="E1812" s="254">
        <v>1</v>
      </c>
      <c r="F1812" s="82">
        <f>_xlfn.IFNA(VLOOKUP(B1812,'sub M. DE OBRA'!$B$4:$E$19997,4,FALSE),0)</f>
        <v>301253.33333333331</v>
      </c>
      <c r="G1812" s="111">
        <f>+E1812*F1812</f>
        <v>301253.33333333331</v>
      </c>
    </row>
    <row r="1813" spans="1:7" ht="15" thickBot="1">
      <c r="A1813" s="987" t="s">
        <v>424</v>
      </c>
      <c r="B1813" s="988"/>
      <c r="C1813" s="989"/>
      <c r="D1813" s="990" t="s">
        <v>425</v>
      </c>
      <c r="E1813" s="990"/>
      <c r="F1813" s="990"/>
      <c r="G1813" s="14">
        <f>SUM(G1812:G1812)</f>
        <v>301253.33333333331</v>
      </c>
    </row>
    <row r="1814" spans="1:7" ht="15" thickBot="1">
      <c r="A1814" s="991"/>
      <c r="B1814" s="991"/>
      <c r="C1814" s="991"/>
      <c r="D1814" s="992" t="s">
        <v>426</v>
      </c>
      <c r="E1814" s="993"/>
      <c r="F1814" s="993"/>
      <c r="G1814" s="112">
        <f>ROUND(+G1801+G1805+G1809+G1813,)</f>
        <v>2021435</v>
      </c>
    </row>
    <row r="1815" spans="1:7" ht="15" thickBot="1">
      <c r="E1815" s="41"/>
      <c r="F1815" s="41"/>
    </row>
    <row r="1816" spans="1:7" ht="15" thickBot="1">
      <c r="A1816" s="1027" t="s">
        <v>389</v>
      </c>
      <c r="B1816" s="1028"/>
      <c r="C1816" s="1028"/>
      <c r="D1816" s="1028"/>
      <c r="E1816" s="1028"/>
      <c r="F1816" s="1028"/>
      <c r="G1816" s="1029"/>
    </row>
    <row r="1817" spans="1:7" ht="15" thickBot="1">
      <c r="A1817" s="950" t="s">
        <v>390</v>
      </c>
      <c r="B1817" s="951"/>
      <c r="C1817" s="951"/>
      <c r="D1817" s="951"/>
      <c r="E1817" s="952"/>
      <c r="F1817" s="272" t="s">
        <v>391</v>
      </c>
      <c r="G1817" s="43">
        <f ca="1">TODAY()</f>
        <v>46071</v>
      </c>
    </row>
    <row r="1818" spans="1:7" ht="21.75" customHeight="1" thickBot="1">
      <c r="A1818" s="1018" t="str">
        <f>+'OFERTA ECONOMICA'!B88</f>
        <v>Limpieza, lavado y desobstrucción de cárcamo y tuberías de desagües de aguas lluvias existentes, con equipo mecánico o manual, incluye mangueras, sondas flexibles y herramienta menor, el retiro y reinstalación de tapas y rejillas, la recolección y botada del material extraído. (desobstrucción de cajas, redes ALL y AR , tuberias y lavado de estructura metalica cancha y graderias)</v>
      </c>
      <c r="B1818" s="1019"/>
      <c r="C1818" s="1019"/>
      <c r="D1818" s="1019"/>
      <c r="E1818" s="1020"/>
      <c r="F1818" s="273" t="s">
        <v>392</v>
      </c>
      <c r="G1818" s="45" t="s">
        <v>430</v>
      </c>
    </row>
    <row r="1819" spans="1:7" ht="21.75" customHeight="1" thickBot="1">
      <c r="A1819" s="1021"/>
      <c r="B1819" s="1022"/>
      <c r="C1819" s="1022"/>
      <c r="D1819" s="1022"/>
      <c r="E1819" s="1023"/>
      <c r="F1819" s="273" t="s">
        <v>393</v>
      </c>
      <c r="G1819" s="46">
        <v>1</v>
      </c>
    </row>
    <row r="1820" spans="1:7" ht="21.75" customHeight="1" thickBot="1">
      <c r="A1820" s="1024"/>
      <c r="B1820" s="1025"/>
      <c r="C1820" s="1025"/>
      <c r="D1820" s="1025"/>
      <c r="E1820" s="1026"/>
      <c r="F1820" s="274" t="s">
        <v>394</v>
      </c>
      <c r="G1820" s="48" t="s">
        <v>164</v>
      </c>
    </row>
    <row r="1821" spans="1:7" ht="15" thickBot="1">
      <c r="A1821" s="962" t="s">
        <v>1</v>
      </c>
      <c r="B1821" s="963" t="s">
        <v>395</v>
      </c>
      <c r="C1821" s="964"/>
      <c r="D1821" s="964"/>
      <c r="E1821" s="964"/>
      <c r="F1821" s="964"/>
      <c r="G1821" s="965"/>
    </row>
    <row r="1822" spans="1:7" ht="15" thickBot="1">
      <c r="A1822" s="909"/>
      <c r="B1822" s="913" t="s">
        <v>396</v>
      </c>
      <c r="C1822" s="914"/>
      <c r="D1822" s="95" t="s">
        <v>3</v>
      </c>
      <c r="E1822" s="242" t="s">
        <v>398</v>
      </c>
      <c r="F1822" s="286" t="s">
        <v>439</v>
      </c>
      <c r="G1822" s="113" t="s">
        <v>399</v>
      </c>
    </row>
    <row r="1823" spans="1:7" ht="15" thickBot="1">
      <c r="A1823" s="114"/>
      <c r="B1823" s="966"/>
      <c r="C1823" s="967"/>
      <c r="D1823" s="88"/>
      <c r="E1823" s="251"/>
      <c r="F1823" s="284"/>
      <c r="G1823" s="117">
        <f t="shared" ref="G1823:G1825" si="122">ROUND((E1823*F1823),0)</f>
        <v>0</v>
      </c>
    </row>
    <row r="1824" spans="1:7" ht="15" thickBot="1">
      <c r="A1824" s="114"/>
      <c r="B1824" s="966"/>
      <c r="C1824" s="967"/>
      <c r="D1824" s="88"/>
      <c r="E1824" s="251"/>
      <c r="F1824" s="284"/>
      <c r="G1824" s="117">
        <f t="shared" si="122"/>
        <v>0</v>
      </c>
    </row>
    <row r="1825" spans="1:7">
      <c r="A1825" s="154"/>
      <c r="B1825" s="968"/>
      <c r="C1825" s="969"/>
      <c r="D1825" s="171"/>
      <c r="E1825" s="260"/>
      <c r="F1825" s="285"/>
      <c r="G1825" s="149">
        <f t="shared" si="122"/>
        <v>0</v>
      </c>
    </row>
    <row r="1826" spans="1:7" ht="15" thickBot="1">
      <c r="A1826" s="970"/>
      <c r="B1826" s="971"/>
      <c r="C1826" s="972"/>
      <c r="D1826" s="973" t="s">
        <v>403</v>
      </c>
      <c r="E1826" s="974"/>
      <c r="F1826" s="975"/>
      <c r="G1826" s="11">
        <f>SUM(G1823:G1825)</f>
        <v>0</v>
      </c>
    </row>
    <row r="1827" spans="1:7" ht="15" thickBot="1">
      <c r="A1827" s="908" t="s">
        <v>1</v>
      </c>
      <c r="B1827" s="910" t="s">
        <v>404</v>
      </c>
      <c r="C1827" s="911"/>
      <c r="D1827" s="911"/>
      <c r="E1827" s="911"/>
      <c r="F1827" s="911"/>
      <c r="G1827" s="912"/>
    </row>
    <row r="1828" spans="1:7" ht="15" thickBot="1">
      <c r="A1828" s="909"/>
      <c r="B1828" s="913" t="s">
        <v>396</v>
      </c>
      <c r="C1828" s="914"/>
      <c r="D1828" s="95" t="s">
        <v>3</v>
      </c>
      <c r="E1828" s="242" t="s">
        <v>398</v>
      </c>
      <c r="F1828" s="286" t="s">
        <v>397</v>
      </c>
      <c r="G1828" s="113" t="s">
        <v>399</v>
      </c>
    </row>
    <row r="1829" spans="1:7" ht="67.150000000000006" customHeight="1" thickBot="1">
      <c r="A1829" s="122"/>
      <c r="B1829" s="976" t="str">
        <f>+A1818</f>
        <v>Limpieza, lavado y desobstrucción de cárcamo y tuberías de desagües de aguas lluvias existentes, con equipo mecánico o manual, incluye mangueras, sondas flexibles y herramienta menor, el retiro y reinstalación de tapas y rejillas, la recolección y botada del material extraído. (desobstrucción de cajas, redes ALL y AR , tuberias y lavado de estructura metalica cancha y graderias)</v>
      </c>
      <c r="C1829" s="977"/>
      <c r="D1829" s="88" t="s">
        <v>496</v>
      </c>
      <c r="E1829" s="214">
        <v>680513</v>
      </c>
      <c r="F1829" s="284">
        <v>1</v>
      </c>
      <c r="G1829" s="149">
        <f t="shared" ref="G1829:G1830" si="123">ROUND((E1829*F1829),0)</f>
        <v>680513</v>
      </c>
    </row>
    <row r="1830" spans="1:7" ht="15" thickBot="1">
      <c r="A1830" s="122"/>
      <c r="B1830" s="976"/>
      <c r="C1830" s="977"/>
      <c r="D1830" s="88"/>
      <c r="E1830" s="251"/>
      <c r="F1830" s="284"/>
      <c r="G1830" s="149">
        <f t="shared" si="123"/>
        <v>0</v>
      </c>
    </row>
    <row r="1831" spans="1:7" ht="15" thickBot="1">
      <c r="A1831" s="932"/>
      <c r="B1831" s="933"/>
      <c r="C1831" s="934"/>
      <c r="D1831" s="935" t="s">
        <v>415</v>
      </c>
      <c r="E1831" s="936"/>
      <c r="F1831" s="937"/>
      <c r="G1831" s="18">
        <f>SUM(G1829:G1830)</f>
        <v>680513</v>
      </c>
    </row>
    <row r="1832" spans="1:7" ht="15" thickBot="1">
      <c r="A1832" s="908" t="s">
        <v>1</v>
      </c>
      <c r="B1832" s="910" t="s">
        <v>416</v>
      </c>
      <c r="C1832" s="911"/>
      <c r="D1832" s="911"/>
      <c r="E1832" s="911"/>
      <c r="F1832" s="911"/>
      <c r="G1832" s="912"/>
    </row>
    <row r="1833" spans="1:7" ht="15" thickBot="1">
      <c r="A1833" s="909"/>
      <c r="B1833" s="913" t="s">
        <v>396</v>
      </c>
      <c r="C1833" s="914"/>
      <c r="D1833" s="95" t="s">
        <v>3</v>
      </c>
      <c r="E1833" s="242" t="s">
        <v>398</v>
      </c>
      <c r="F1833" s="286" t="s">
        <v>397</v>
      </c>
      <c r="G1833" s="113" t="s">
        <v>399</v>
      </c>
    </row>
    <row r="1834" spans="1:7">
      <c r="A1834" s="127"/>
      <c r="B1834" s="930"/>
      <c r="C1834" s="931"/>
      <c r="D1834" s="88"/>
      <c r="E1834" s="251"/>
      <c r="F1834" s="284"/>
      <c r="G1834" s="159">
        <f>ROUND(F1834*E1834,)</f>
        <v>0</v>
      </c>
    </row>
    <row r="1835" spans="1:7">
      <c r="A1835" s="156"/>
      <c r="B1835" s="940"/>
      <c r="C1835" s="941"/>
      <c r="D1835" s="157"/>
      <c r="E1835" s="259"/>
      <c r="F1835" s="303"/>
      <c r="G1835" s="159">
        <f>ROUND(F1835*E1835,)</f>
        <v>0</v>
      </c>
    </row>
    <row r="1836" spans="1:7" ht="15" thickBot="1">
      <c r="A1836" s="130"/>
      <c r="B1836" s="942" t="s">
        <v>402</v>
      </c>
      <c r="C1836" s="943"/>
      <c r="D1836" s="104" t="s">
        <v>402</v>
      </c>
      <c r="E1836" s="247"/>
      <c r="F1836" s="288"/>
      <c r="G1836" s="131">
        <f>ROUND(F1836*E1836,)</f>
        <v>0</v>
      </c>
    </row>
    <row r="1837" spans="1:7" ht="15" thickBot="1">
      <c r="A1837" s="944"/>
      <c r="B1837" s="945"/>
      <c r="C1837" s="946"/>
      <c r="D1837" s="947" t="s">
        <v>418</v>
      </c>
      <c r="E1837" s="948"/>
      <c r="F1837" s="949"/>
      <c r="G1837" s="11">
        <f>SUM(G1834:G1836)</f>
        <v>0</v>
      </c>
    </row>
    <row r="1838" spans="1:7" ht="15" thickBot="1">
      <c r="A1838" s="908" t="s">
        <v>1</v>
      </c>
      <c r="B1838" s="910" t="s">
        <v>419</v>
      </c>
      <c r="C1838" s="911"/>
      <c r="D1838" s="911"/>
      <c r="E1838" s="911"/>
      <c r="F1838" s="911"/>
      <c r="G1838" s="912"/>
    </row>
    <row r="1839" spans="1:7" ht="15" thickBot="1">
      <c r="A1839" s="909"/>
      <c r="B1839" s="913" t="s">
        <v>396</v>
      </c>
      <c r="C1839" s="914"/>
      <c r="D1839" s="95" t="s">
        <v>3</v>
      </c>
      <c r="E1839" s="242" t="s">
        <v>398</v>
      </c>
      <c r="F1839" s="286" t="s">
        <v>397</v>
      </c>
      <c r="G1839" s="113" t="s">
        <v>399</v>
      </c>
    </row>
    <row r="1840" spans="1:7" ht="15" thickBot="1">
      <c r="A1840" s="122"/>
      <c r="B1840" s="985"/>
      <c r="C1840" s="986"/>
      <c r="D1840" s="109"/>
      <c r="E1840" s="254"/>
      <c r="F1840" s="304"/>
      <c r="G1840" s="129">
        <f>ROUND(F1840*E1840,)</f>
        <v>0</v>
      </c>
    </row>
    <row r="1841" spans="1:7" s="7" customFormat="1" ht="13.5" thickBot="1">
      <c r="A1841" s="165"/>
      <c r="B1841" s="985"/>
      <c r="C1841" s="986"/>
      <c r="D1841" s="168"/>
      <c r="E1841" s="262"/>
      <c r="F1841" s="306"/>
      <c r="G1841" s="170">
        <f>ROUND(E1841*F1841*C1841,0)</f>
        <v>0</v>
      </c>
    </row>
    <row r="1842" spans="1:7" ht="15" thickBot="1">
      <c r="A1842" s="915" t="s">
        <v>424</v>
      </c>
      <c r="B1842" s="916"/>
      <c r="C1842" s="917"/>
      <c r="D1842" s="918" t="s">
        <v>425</v>
      </c>
      <c r="E1842" s="919"/>
      <c r="F1842" s="920"/>
      <c r="G1842" s="12">
        <f>SUM(G1840:G1841)</f>
        <v>0</v>
      </c>
    </row>
    <row r="1843" spans="1:7" ht="15" thickBot="1">
      <c r="A1843" s="921"/>
      <c r="B1843" s="922"/>
      <c r="C1843" s="922"/>
      <c r="D1843" s="923" t="s">
        <v>426</v>
      </c>
      <c r="E1843" s="924"/>
      <c r="F1843" s="925"/>
      <c r="G1843" s="112">
        <f>+G1826+G1831+G1837+G1842</f>
        <v>680513</v>
      </c>
    </row>
    <row r="1844" spans="1:7" ht="15" thickBot="1">
      <c r="E1844" s="41"/>
      <c r="F1844" s="41"/>
    </row>
    <row r="1845" spans="1:7" ht="15" thickBot="1">
      <c r="A1845" s="1006" t="s">
        <v>390</v>
      </c>
      <c r="B1845" s="1007"/>
      <c r="C1845" s="1007"/>
      <c r="D1845" s="1007"/>
      <c r="E1845" s="1007"/>
      <c r="F1845" s="42" t="s">
        <v>391</v>
      </c>
      <c r="G1845" s="43">
        <f ca="1">TODAY()</f>
        <v>46071</v>
      </c>
    </row>
    <row r="1846" spans="1:7" ht="19.5" customHeight="1" thickBot="1">
      <c r="A1846" s="1018" t="str">
        <f>+'OFERTA ECONOMICA'!B90</f>
        <v xml:space="preserve">Mantenimiento de techo en teja de barro, incluye:  retiro de tejas en un 100 %, retiro de impermeabilización en un 100 %, retiro de tablilla en un 100 %, retiro de alfardas en un  27 %; suministro y colocación de alfardas de 2" x 5", suministro y colocación de tablilla de pino en un 100 %, suministro y colocación de impermeabilización con fieltro Permofit en un 100 %, suministro y reemplazo de tejas de barro hasta un máximo de 20% donde sea necesario y cargue y botada de escombros. </v>
      </c>
      <c r="B1846" s="1019"/>
      <c r="C1846" s="1019"/>
      <c r="D1846" s="1019"/>
      <c r="E1846" s="1020"/>
      <c r="F1846" s="44" t="s">
        <v>392</v>
      </c>
      <c r="G1846" s="45" t="s">
        <v>594</v>
      </c>
    </row>
    <row r="1847" spans="1:7" ht="19.5" customHeight="1" thickBot="1">
      <c r="A1847" s="1021"/>
      <c r="B1847" s="1022"/>
      <c r="C1847" s="1022"/>
      <c r="D1847" s="1022"/>
      <c r="E1847" s="1023"/>
      <c r="F1847" s="44" t="s">
        <v>393</v>
      </c>
      <c r="G1847" s="46">
        <v>1</v>
      </c>
    </row>
    <row r="1848" spans="1:7" ht="19.5" customHeight="1" thickBot="1">
      <c r="A1848" s="1024"/>
      <c r="B1848" s="1025"/>
      <c r="C1848" s="1025"/>
      <c r="D1848" s="1025"/>
      <c r="E1848" s="1026"/>
      <c r="F1848" s="47" t="s">
        <v>394</v>
      </c>
      <c r="G1848" s="48" t="s">
        <v>166</v>
      </c>
    </row>
    <row r="1849" spans="1:7" ht="15" thickBot="1">
      <c r="A1849" s="1008" t="s">
        <v>1</v>
      </c>
      <c r="B1849" s="1009" t="s">
        <v>395</v>
      </c>
      <c r="C1849" s="1009"/>
      <c r="D1849" s="1009"/>
      <c r="E1849" s="1009"/>
      <c r="F1849" s="1009"/>
      <c r="G1849" s="1010"/>
    </row>
    <row r="1850" spans="1:7" ht="15" thickBot="1">
      <c r="A1850" s="982"/>
      <c r="B1850" s="913" t="s">
        <v>396</v>
      </c>
      <c r="C1850" s="914"/>
      <c r="D1850" s="95" t="s">
        <v>3</v>
      </c>
      <c r="E1850" s="207" t="s">
        <v>398</v>
      </c>
      <c r="F1850" s="95" t="s">
        <v>4</v>
      </c>
      <c r="G1850" s="97" t="s">
        <v>399</v>
      </c>
    </row>
    <row r="1851" spans="1:7">
      <c r="A1851" s="91"/>
      <c r="B1851" s="968"/>
      <c r="C1851" s="969"/>
      <c r="D1851" s="92"/>
      <c r="E1851" s="215"/>
      <c r="F1851" s="93"/>
      <c r="G1851" s="94">
        <f>ROUND((E1851*F1851),0)</f>
        <v>0</v>
      </c>
    </row>
    <row r="1852" spans="1:7" ht="15" thickBot="1">
      <c r="A1852" s="994"/>
      <c r="B1852" s="995"/>
      <c r="C1852" s="995"/>
      <c r="D1852" s="981" t="s">
        <v>403</v>
      </c>
      <c r="E1852" s="981"/>
      <c r="F1852" s="981"/>
      <c r="G1852" s="13">
        <f>SUM(G1851:G1851)</f>
        <v>0</v>
      </c>
    </row>
    <row r="1853" spans="1:7" ht="15" thickBot="1">
      <c r="A1853" s="982" t="s">
        <v>1</v>
      </c>
      <c r="B1853" s="983" t="s">
        <v>404</v>
      </c>
      <c r="C1853" s="983"/>
      <c r="D1853" s="983"/>
      <c r="E1853" s="983"/>
      <c r="F1853" s="983"/>
      <c r="G1853" s="984"/>
    </row>
    <row r="1854" spans="1:7" ht="15" thickBot="1">
      <c r="A1854" s="982"/>
      <c r="B1854" s="913" t="s">
        <v>396</v>
      </c>
      <c r="C1854" s="914"/>
      <c r="D1854" s="95" t="s">
        <v>3</v>
      </c>
      <c r="E1854" s="207" t="s">
        <v>398</v>
      </c>
      <c r="F1854" s="95" t="s">
        <v>397</v>
      </c>
      <c r="G1854" s="97" t="s">
        <v>399</v>
      </c>
    </row>
    <row r="1855" spans="1:7">
      <c r="A1855" s="98"/>
      <c r="B1855" s="928"/>
      <c r="C1855" s="929"/>
      <c r="D1855" s="99"/>
      <c r="E1855" s="216"/>
      <c r="F1855" s="101"/>
      <c r="G1855" s="102">
        <f>ROUND(E1855*F1855,)</f>
        <v>0</v>
      </c>
    </row>
    <row r="1856" spans="1:7" ht="15" thickBot="1">
      <c r="A1856" s="996"/>
      <c r="B1856" s="997"/>
      <c r="C1856" s="998"/>
      <c r="D1856" s="981" t="s">
        <v>415</v>
      </c>
      <c r="E1856" s="981"/>
      <c r="F1856" s="981"/>
      <c r="G1856" s="13">
        <f>SUM(G1855:G1855)</f>
        <v>0</v>
      </c>
    </row>
    <row r="1857" spans="1:8" ht="15" thickBot="1">
      <c r="A1857" s="982" t="s">
        <v>1</v>
      </c>
      <c r="B1857" s="983" t="s">
        <v>416</v>
      </c>
      <c r="C1857" s="983"/>
      <c r="D1857" s="983"/>
      <c r="E1857" s="983"/>
      <c r="F1857" s="983"/>
      <c r="G1857" s="984"/>
    </row>
    <row r="1858" spans="1:8" ht="15" thickBot="1">
      <c r="A1858" s="982"/>
      <c r="B1858" s="913" t="s">
        <v>396</v>
      </c>
      <c r="C1858" s="914"/>
      <c r="D1858" s="95" t="s">
        <v>3</v>
      </c>
      <c r="E1858" s="207" t="s">
        <v>398</v>
      </c>
      <c r="F1858" s="95" t="s">
        <v>397</v>
      </c>
      <c r="G1858" s="97" t="s">
        <v>399</v>
      </c>
    </row>
    <row r="1859" spans="1:8" ht="15" thickBot="1">
      <c r="A1859" s="103"/>
      <c r="B1859" s="942"/>
      <c r="C1859" s="943"/>
      <c r="D1859" s="104"/>
      <c r="E1859" s="212"/>
      <c r="F1859" s="105"/>
      <c r="G1859" s="106">
        <f>ROUND(F1859*E1859,)</f>
        <v>0</v>
      </c>
    </row>
    <row r="1860" spans="1:8" ht="15" thickBot="1">
      <c r="A1860" s="978"/>
      <c r="B1860" s="979"/>
      <c r="C1860" s="980"/>
      <c r="D1860" s="981" t="s">
        <v>418</v>
      </c>
      <c r="E1860" s="981"/>
      <c r="F1860" s="981"/>
      <c r="G1860" s="13">
        <f>SUM(G1859:G1859)</f>
        <v>0</v>
      </c>
    </row>
    <row r="1861" spans="1:8" ht="15" thickBot="1">
      <c r="A1861" s="982" t="s">
        <v>1</v>
      </c>
      <c r="B1861" s="983" t="s">
        <v>419</v>
      </c>
      <c r="C1861" s="983"/>
      <c r="D1861" s="983"/>
      <c r="E1861" s="983"/>
      <c r="F1861" s="983"/>
      <c r="G1861" s="984"/>
    </row>
    <row r="1862" spans="1:8" ht="15" thickBot="1">
      <c r="A1862" s="982"/>
      <c r="B1862" s="913" t="s">
        <v>396</v>
      </c>
      <c r="C1862" s="914"/>
      <c r="D1862" s="95" t="s">
        <v>3</v>
      </c>
      <c r="E1862" s="207" t="s">
        <v>4</v>
      </c>
      <c r="F1862" s="107" t="s">
        <v>420</v>
      </c>
      <c r="G1862" s="97" t="s">
        <v>399</v>
      </c>
    </row>
    <row r="1863" spans="1:8">
      <c r="A1863" s="108"/>
      <c r="B1863" s="985" t="str">
        <f>+A1846</f>
        <v xml:space="preserve">Mantenimiento de techo en teja de barro, incluye:  retiro de tejas en un 100 %, retiro de impermeabilización en un 100 %, retiro de tablilla en un 100 %, retiro de alfardas en un  27 %; suministro y colocación de alfardas de 2" x 5", suministro y colocación de tablilla de pino en un 100 %, suministro y colocación de impermeabilización con fieltro Permofit en un 100 %, suministro y reemplazo de tejas de barro hasta un máximo de 20% donde sea necesario y cargue y botada de escombros. </v>
      </c>
      <c r="C1863" s="986"/>
      <c r="D1863" s="109" t="s">
        <v>15</v>
      </c>
      <c r="E1863" s="321">
        <v>1</v>
      </c>
      <c r="F1863" s="100">
        <v>273250</v>
      </c>
      <c r="G1863" s="111">
        <f>+E1863*F1863</f>
        <v>273250</v>
      </c>
      <c r="H1863" s="320"/>
    </row>
    <row r="1864" spans="1:8" ht="15" thickBot="1">
      <c r="A1864" s="987" t="s">
        <v>424</v>
      </c>
      <c r="B1864" s="988"/>
      <c r="C1864" s="989"/>
      <c r="D1864" s="990" t="s">
        <v>425</v>
      </c>
      <c r="E1864" s="990"/>
      <c r="F1864" s="990"/>
      <c r="G1864" s="14">
        <f>SUM(G1863:G1863)</f>
        <v>273250</v>
      </c>
    </row>
    <row r="1865" spans="1:8" ht="15" thickBot="1">
      <c r="A1865" s="991"/>
      <c r="B1865" s="991"/>
      <c r="C1865" s="991"/>
      <c r="D1865" s="992" t="s">
        <v>426</v>
      </c>
      <c r="E1865" s="993"/>
      <c r="F1865" s="993"/>
      <c r="G1865" s="112">
        <f>ROUND(+G1852+G1856+G1860+G1864,)</f>
        <v>273250</v>
      </c>
    </row>
    <row r="1866" spans="1:8" ht="15" thickBot="1">
      <c r="E1866" s="41"/>
      <c r="F1866" s="41"/>
    </row>
    <row r="1867" spans="1:8" ht="15" thickBot="1">
      <c r="A1867" s="1006" t="s">
        <v>390</v>
      </c>
      <c r="B1867" s="1007"/>
      <c r="C1867" s="1007"/>
      <c r="D1867" s="1007"/>
      <c r="E1867" s="1007"/>
      <c r="F1867" s="272" t="s">
        <v>391</v>
      </c>
      <c r="G1867" s="43">
        <f ca="1">TODAY()</f>
        <v>46071</v>
      </c>
    </row>
    <row r="1868" spans="1:8" ht="15" thickBot="1">
      <c r="A1868" s="953" t="str">
        <f>+'OFERTA ECONOMICA'!B92</f>
        <v>Suministro, transporte y colocación de ruana en lámina galvanizada calibre 24, desarrollo 55 cm. Incluye  pintura anticorrosiva y a base de aceite, pestaña de 5 cm, y todos los elementos necesarios para su correcta construcción. Según diseño de cubierta. Incluye personal y andamios certificados para trabajos en alturas.</v>
      </c>
      <c r="B1868" s="954"/>
      <c r="C1868" s="954"/>
      <c r="D1868" s="954"/>
      <c r="E1868" s="955"/>
      <c r="F1868" s="273" t="s">
        <v>392</v>
      </c>
      <c r="G1868" s="45" t="s">
        <v>12</v>
      </c>
    </row>
    <row r="1869" spans="1:8" ht="15" thickBot="1">
      <c r="A1869" s="956"/>
      <c r="B1869" s="957"/>
      <c r="C1869" s="957"/>
      <c r="D1869" s="957"/>
      <c r="E1869" s="958"/>
      <c r="F1869" s="273" t="s">
        <v>393</v>
      </c>
      <c r="G1869" s="46">
        <v>1</v>
      </c>
    </row>
    <row r="1870" spans="1:8" ht="15" thickBot="1">
      <c r="A1870" s="959"/>
      <c r="B1870" s="960"/>
      <c r="C1870" s="960"/>
      <c r="D1870" s="960"/>
      <c r="E1870" s="961"/>
      <c r="F1870" s="274" t="s">
        <v>394</v>
      </c>
      <c r="G1870" s="48" t="s">
        <v>169</v>
      </c>
    </row>
    <row r="1871" spans="1:8" ht="15" thickBot="1">
      <c r="A1871" s="1008" t="s">
        <v>1</v>
      </c>
      <c r="B1871" s="1009" t="s">
        <v>395</v>
      </c>
      <c r="C1871" s="1009"/>
      <c r="D1871" s="1009"/>
      <c r="E1871" s="1009"/>
      <c r="F1871" s="1009"/>
      <c r="G1871" s="1010"/>
    </row>
    <row r="1872" spans="1:8" ht="15" thickBot="1">
      <c r="A1872" s="982"/>
      <c r="B1872" s="913" t="s">
        <v>396</v>
      </c>
      <c r="C1872" s="914"/>
      <c r="D1872" s="95" t="s">
        <v>3</v>
      </c>
      <c r="E1872" s="242" t="s">
        <v>398</v>
      </c>
      <c r="F1872" s="286" t="s">
        <v>4</v>
      </c>
      <c r="G1872" s="97" t="s">
        <v>399</v>
      </c>
    </row>
    <row r="1873" spans="1:7">
      <c r="A1873" s="87"/>
      <c r="B1873" s="930" t="s">
        <v>427</v>
      </c>
      <c r="C1873" s="931"/>
      <c r="D1873" s="88" t="s">
        <v>428</v>
      </c>
      <c r="E1873" s="251">
        <f>+G1894</f>
        <v>23347.133333333331</v>
      </c>
      <c r="F1873" s="284">
        <v>0.05</v>
      </c>
      <c r="G1873" s="90">
        <f t="shared" ref="G1873:G1875" si="124">ROUND((E1873*F1873),0)</f>
        <v>1167</v>
      </c>
    </row>
    <row r="1874" spans="1:7">
      <c r="A1874" s="91"/>
      <c r="B1874" s="968" t="s">
        <v>462</v>
      </c>
      <c r="C1874" s="969"/>
      <c r="D1874" s="92" t="s">
        <v>430</v>
      </c>
      <c r="E1874" s="252">
        <v>36500</v>
      </c>
      <c r="F1874" s="285">
        <v>0.11429</v>
      </c>
      <c r="G1874" s="94">
        <f t="shared" si="124"/>
        <v>4172</v>
      </c>
    </row>
    <row r="1875" spans="1:7">
      <c r="A1875" s="91"/>
      <c r="B1875" s="968"/>
      <c r="C1875" s="969"/>
      <c r="D1875" s="92"/>
      <c r="E1875" s="252"/>
      <c r="F1875" s="285"/>
      <c r="G1875" s="94">
        <f t="shared" si="124"/>
        <v>0</v>
      </c>
    </row>
    <row r="1876" spans="1:7" ht="15" thickBot="1">
      <c r="A1876" s="994"/>
      <c r="B1876" s="995"/>
      <c r="C1876" s="995"/>
      <c r="D1876" s="981" t="s">
        <v>403</v>
      </c>
      <c r="E1876" s="981"/>
      <c r="F1876" s="981"/>
      <c r="G1876" s="13">
        <f>SUM(G1873:G1875)</f>
        <v>5339</v>
      </c>
    </row>
    <row r="1877" spans="1:7" ht="15" thickBot="1">
      <c r="A1877" s="982" t="s">
        <v>1</v>
      </c>
      <c r="B1877" s="983" t="s">
        <v>404</v>
      </c>
      <c r="C1877" s="983"/>
      <c r="D1877" s="983"/>
      <c r="E1877" s="983"/>
      <c r="F1877" s="983"/>
      <c r="G1877" s="984"/>
    </row>
    <row r="1878" spans="1:7" ht="15" thickBot="1">
      <c r="A1878" s="982"/>
      <c r="B1878" s="913" t="s">
        <v>396</v>
      </c>
      <c r="C1878" s="914"/>
      <c r="D1878" s="95" t="s">
        <v>3</v>
      </c>
      <c r="E1878" s="242" t="s">
        <v>398</v>
      </c>
      <c r="F1878" s="286" t="s">
        <v>397</v>
      </c>
      <c r="G1878" s="97" t="s">
        <v>399</v>
      </c>
    </row>
    <row r="1879" spans="1:7">
      <c r="A1879" s="108"/>
      <c r="B1879" s="985" t="s">
        <v>524</v>
      </c>
      <c r="C1879" s="986"/>
      <c r="D1879" s="109" t="s">
        <v>12</v>
      </c>
      <c r="E1879" s="254">
        <v>36689</v>
      </c>
      <c r="F1879" s="304">
        <v>1.05</v>
      </c>
      <c r="G1879" s="111">
        <f t="shared" ref="G1879:G1880" si="125">ROUND(E1879*F1879,)</f>
        <v>38523</v>
      </c>
    </row>
    <row r="1880" spans="1:7" ht="15" thickBot="1">
      <c r="A1880" s="178"/>
      <c r="B1880" s="926" t="s">
        <v>525</v>
      </c>
      <c r="C1880" s="927"/>
      <c r="D1880" s="179" t="s">
        <v>55</v>
      </c>
      <c r="E1880" s="261">
        <v>257</v>
      </c>
      <c r="F1880" s="305">
        <v>4</v>
      </c>
      <c r="G1880" s="181">
        <f t="shared" si="125"/>
        <v>1028</v>
      </c>
    </row>
    <row r="1881" spans="1:7" ht="15" thickBot="1">
      <c r="A1881" s="122"/>
      <c r="B1881" s="930" t="s">
        <v>526</v>
      </c>
      <c r="C1881" s="931"/>
      <c r="D1881" s="88" t="s">
        <v>473</v>
      </c>
      <c r="E1881" s="251">
        <v>40500</v>
      </c>
      <c r="F1881" s="284">
        <v>0.1</v>
      </c>
      <c r="G1881" s="149">
        <f t="shared" ref="G1881:G1882" si="126">ROUND((E1881*F1881),0)</f>
        <v>4050</v>
      </c>
    </row>
    <row r="1882" spans="1:7">
      <c r="A1882" s="155"/>
      <c r="B1882" s="930" t="s">
        <v>527</v>
      </c>
      <c r="C1882" s="931"/>
      <c r="D1882" s="88" t="s">
        <v>473</v>
      </c>
      <c r="E1882" s="251">
        <v>72000</v>
      </c>
      <c r="F1882" s="284">
        <v>0.1</v>
      </c>
      <c r="G1882" s="149">
        <f t="shared" si="126"/>
        <v>7200</v>
      </c>
    </row>
    <row r="1883" spans="1:7" ht="15" thickBot="1">
      <c r="A1883" s="178"/>
      <c r="B1883" s="926" t="s">
        <v>528</v>
      </c>
      <c r="C1883" s="927"/>
      <c r="D1883" s="179" t="s">
        <v>473</v>
      </c>
      <c r="E1883" s="261">
        <v>31900</v>
      </c>
      <c r="F1883" s="305">
        <v>2.5000000000000001E-2</v>
      </c>
      <c r="G1883" s="181">
        <f t="shared" ref="G1883:G1885" si="127">ROUND(E1883*F1883,)</f>
        <v>798</v>
      </c>
    </row>
    <row r="1884" spans="1:7" ht="15" thickBot="1">
      <c r="A1884" s="98"/>
      <c r="B1884" s="928" t="s">
        <v>529</v>
      </c>
      <c r="C1884" s="929"/>
      <c r="D1884" s="92" t="s">
        <v>28</v>
      </c>
      <c r="E1884" s="251">
        <v>482316</v>
      </c>
      <c r="F1884" s="287">
        <v>4.0000000000000001E-3</v>
      </c>
      <c r="G1884" s="102">
        <f t="shared" si="127"/>
        <v>1929</v>
      </c>
    </row>
    <row r="1885" spans="1:7">
      <c r="A1885" s="98"/>
      <c r="B1885" s="985" t="s">
        <v>530</v>
      </c>
      <c r="C1885" s="986"/>
      <c r="D1885" s="109" t="s">
        <v>411</v>
      </c>
      <c r="E1885" s="254">
        <v>12438</v>
      </c>
      <c r="F1885" s="304">
        <v>5.5E-2</v>
      </c>
      <c r="G1885" s="102">
        <f t="shared" si="127"/>
        <v>684</v>
      </c>
    </row>
    <row r="1886" spans="1:7" ht="15" thickBot="1">
      <c r="A1886" s="996"/>
      <c r="B1886" s="997"/>
      <c r="C1886" s="998"/>
      <c r="D1886" s="981" t="s">
        <v>415</v>
      </c>
      <c r="E1886" s="981"/>
      <c r="F1886" s="981"/>
      <c r="G1886" s="13">
        <f>SUM(G1879:G1885)</f>
        <v>54212</v>
      </c>
    </row>
    <row r="1887" spans="1:7" ht="15" thickBot="1">
      <c r="A1887" s="982" t="s">
        <v>1</v>
      </c>
      <c r="B1887" s="983" t="s">
        <v>416</v>
      </c>
      <c r="C1887" s="983"/>
      <c r="D1887" s="983"/>
      <c r="E1887" s="983"/>
      <c r="F1887" s="983"/>
      <c r="G1887" s="984"/>
    </row>
    <row r="1888" spans="1:7" ht="15" thickBot="1">
      <c r="A1888" s="982"/>
      <c r="B1888" s="913" t="s">
        <v>396</v>
      </c>
      <c r="C1888" s="914"/>
      <c r="D1888" s="95" t="s">
        <v>3</v>
      </c>
      <c r="E1888" s="242" t="s">
        <v>398</v>
      </c>
      <c r="F1888" s="286" t="s">
        <v>397</v>
      </c>
      <c r="G1888" s="97" t="s">
        <v>399</v>
      </c>
    </row>
    <row r="1889" spans="1:7" ht="15" thickBot="1">
      <c r="A1889" s="103"/>
      <c r="B1889" s="942"/>
      <c r="C1889" s="943"/>
      <c r="D1889" s="104"/>
      <c r="E1889" s="247"/>
      <c r="F1889" s="288"/>
      <c r="G1889" s="106">
        <f>ROUND(F1889*E1889,)</f>
        <v>0</v>
      </c>
    </row>
    <row r="1890" spans="1:7" ht="15" thickBot="1">
      <c r="A1890" s="978"/>
      <c r="B1890" s="979"/>
      <c r="C1890" s="980"/>
      <c r="D1890" s="981" t="s">
        <v>418</v>
      </c>
      <c r="E1890" s="981"/>
      <c r="F1890" s="981"/>
      <c r="G1890" s="13">
        <f>SUM(G1889:G1889)</f>
        <v>0</v>
      </c>
    </row>
    <row r="1891" spans="1:7" ht="15" thickBot="1">
      <c r="A1891" s="982" t="s">
        <v>1</v>
      </c>
      <c r="B1891" s="983" t="s">
        <v>419</v>
      </c>
      <c r="C1891" s="983"/>
      <c r="D1891" s="983"/>
      <c r="E1891" s="983"/>
      <c r="F1891" s="983"/>
      <c r="G1891" s="984"/>
    </row>
    <row r="1892" spans="1:7" ht="15" thickBot="1">
      <c r="A1892" s="982"/>
      <c r="B1892" s="913" t="s">
        <v>396</v>
      </c>
      <c r="C1892" s="914"/>
      <c r="D1892" s="95" t="s">
        <v>3</v>
      </c>
      <c r="E1892" s="242" t="s">
        <v>4</v>
      </c>
      <c r="F1892" s="289" t="s">
        <v>420</v>
      </c>
      <c r="G1892" s="97" t="s">
        <v>399</v>
      </c>
    </row>
    <row r="1893" spans="1:7">
      <c r="A1893" s="108"/>
      <c r="B1893" s="985" t="s">
        <v>512</v>
      </c>
      <c r="C1893" s="986"/>
      <c r="D1893" s="109" t="s">
        <v>467</v>
      </c>
      <c r="E1893" s="254">
        <v>7.7499999999999999E-2</v>
      </c>
      <c r="F1893" s="82">
        <f>_xlfn.IFNA(VLOOKUP(B1893,'sub M. DE OBRA'!$B$4:$E$19997,4,FALSE),0)</f>
        <v>301253.33333333331</v>
      </c>
      <c r="G1893" s="111">
        <f>+E1893*F1893</f>
        <v>23347.133333333331</v>
      </c>
    </row>
    <row r="1894" spans="1:7" ht="15" thickBot="1">
      <c r="A1894" s="987" t="s">
        <v>424</v>
      </c>
      <c r="B1894" s="988"/>
      <c r="C1894" s="989"/>
      <c r="D1894" s="990" t="s">
        <v>425</v>
      </c>
      <c r="E1894" s="990"/>
      <c r="F1894" s="990"/>
      <c r="G1894" s="14">
        <f>SUM(G1893:G1893)</f>
        <v>23347.133333333331</v>
      </c>
    </row>
    <row r="1895" spans="1:7" ht="15" thickBot="1">
      <c r="A1895" s="991"/>
      <c r="B1895" s="991"/>
      <c r="C1895" s="991"/>
      <c r="D1895" s="992" t="s">
        <v>426</v>
      </c>
      <c r="E1895" s="993"/>
      <c r="F1895" s="993"/>
      <c r="G1895" s="112">
        <f>ROUND(+G1876+G1886+G1890+G1894,)</f>
        <v>82898</v>
      </c>
    </row>
    <row r="1896" spans="1:7" ht="15" thickBot="1">
      <c r="E1896" s="41"/>
      <c r="F1896" s="41"/>
    </row>
    <row r="1897" spans="1:7" ht="15" thickBot="1">
      <c r="A1897" s="1006" t="s">
        <v>390</v>
      </c>
      <c r="B1897" s="1007"/>
      <c r="C1897" s="1007"/>
      <c r="D1897" s="1007"/>
      <c r="E1897" s="1007"/>
      <c r="F1897" s="42" t="s">
        <v>391</v>
      </c>
      <c r="G1897" s="43">
        <f ca="1">TODAY()</f>
        <v>46071</v>
      </c>
    </row>
    <row r="1898" spans="1:7" ht="15" thickBot="1">
      <c r="A1898" s="953" t="str">
        <f>+'OFERTA ECONOMICA'!B95</f>
        <v xml:space="preserve">S.T.I de Champeado para taludes </v>
      </c>
      <c r="B1898" s="954"/>
      <c r="C1898" s="954"/>
      <c r="D1898" s="954"/>
      <c r="E1898" s="955"/>
      <c r="F1898" s="44" t="s">
        <v>392</v>
      </c>
      <c r="G1898" s="45" t="s">
        <v>597</v>
      </c>
    </row>
    <row r="1899" spans="1:7" ht="15" thickBot="1">
      <c r="A1899" s="956"/>
      <c r="B1899" s="957"/>
      <c r="C1899" s="957"/>
      <c r="D1899" s="957"/>
      <c r="E1899" s="958"/>
      <c r="F1899" s="44" t="s">
        <v>393</v>
      </c>
      <c r="G1899" s="46">
        <v>1</v>
      </c>
    </row>
    <row r="1900" spans="1:7" ht="15" thickBot="1">
      <c r="A1900" s="959"/>
      <c r="B1900" s="960"/>
      <c r="C1900" s="960"/>
      <c r="D1900" s="960"/>
      <c r="E1900" s="961"/>
      <c r="F1900" s="47" t="s">
        <v>394</v>
      </c>
      <c r="G1900" s="48" t="s">
        <v>172</v>
      </c>
    </row>
    <row r="1901" spans="1:7" ht="15" thickBot="1">
      <c r="A1901" s="909" t="s">
        <v>1</v>
      </c>
      <c r="B1901" s="1009" t="s">
        <v>395</v>
      </c>
      <c r="C1901" s="1009"/>
      <c r="D1901" s="1009"/>
      <c r="E1901" s="1009"/>
      <c r="F1901" s="1009"/>
      <c r="G1901" s="1011"/>
    </row>
    <row r="1902" spans="1:7" ht="15" thickBot="1">
      <c r="A1902" s="1002"/>
      <c r="B1902" s="913" t="s">
        <v>396</v>
      </c>
      <c r="C1902" s="914"/>
      <c r="D1902" s="95" t="s">
        <v>3</v>
      </c>
      <c r="E1902" s="207" t="s">
        <v>439</v>
      </c>
      <c r="F1902" s="95" t="s">
        <v>478</v>
      </c>
      <c r="G1902" s="113" t="s">
        <v>399</v>
      </c>
    </row>
    <row r="1903" spans="1:7">
      <c r="A1903" s="114"/>
      <c r="B1903" s="930" t="s">
        <v>427</v>
      </c>
      <c r="C1903" s="931"/>
      <c r="D1903" s="88" t="s">
        <v>428</v>
      </c>
      <c r="E1903" s="208">
        <v>0.05</v>
      </c>
      <c r="F1903" s="116">
        <f>+G1921</f>
        <v>30125.333333333332</v>
      </c>
      <c r="G1903" s="117">
        <f>ROUND((E1903*F1903),0)</f>
        <v>1506</v>
      </c>
    </row>
    <row r="1904" spans="1:7">
      <c r="A1904" s="148"/>
      <c r="B1904" s="968" t="s">
        <v>462</v>
      </c>
      <c r="C1904" s="969"/>
      <c r="D1904" s="92" t="s">
        <v>430</v>
      </c>
      <c r="E1904" s="215">
        <v>36500</v>
      </c>
      <c r="F1904" s="93">
        <v>0.05</v>
      </c>
      <c r="G1904" s="149">
        <f>ROUND((E1904*F1904),0)</f>
        <v>1825</v>
      </c>
    </row>
    <row r="1905" spans="1:11" ht="15" thickBot="1">
      <c r="A1905" s="118"/>
      <c r="B1905" s="1012" t="s">
        <v>402</v>
      </c>
      <c r="C1905" s="1013"/>
      <c r="D1905" s="119" t="s">
        <v>402</v>
      </c>
      <c r="E1905" s="209"/>
      <c r="F1905" s="120"/>
      <c r="G1905" s="121">
        <f>ROUND((E1905*F1905),0)</f>
        <v>0</v>
      </c>
    </row>
    <row r="1906" spans="1:11" ht="15" thickBot="1">
      <c r="A1906" s="1014"/>
      <c r="B1906" s="995"/>
      <c r="C1906" s="995"/>
      <c r="D1906" s="981" t="s">
        <v>403</v>
      </c>
      <c r="E1906" s="981"/>
      <c r="F1906" s="981"/>
      <c r="G1906" s="11">
        <f>SUM(G1903:G1905)</f>
        <v>3331</v>
      </c>
    </row>
    <row r="1907" spans="1:11" ht="15" thickBot="1">
      <c r="A1907" s="1002" t="s">
        <v>1</v>
      </c>
      <c r="B1907" s="983" t="s">
        <v>404</v>
      </c>
      <c r="C1907" s="983"/>
      <c r="D1907" s="983"/>
      <c r="E1907" s="983"/>
      <c r="F1907" s="983"/>
      <c r="G1907" s="1003"/>
    </row>
    <row r="1908" spans="1:11" ht="15" thickBot="1">
      <c r="A1908" s="1002"/>
      <c r="B1908" s="913" t="s">
        <v>396</v>
      </c>
      <c r="C1908" s="914"/>
      <c r="D1908" s="95" t="s">
        <v>3</v>
      </c>
      <c r="E1908" s="207" t="s">
        <v>439</v>
      </c>
      <c r="F1908" s="95" t="s">
        <v>478</v>
      </c>
      <c r="G1908" s="113" t="s">
        <v>399</v>
      </c>
    </row>
    <row r="1909" spans="1:11" ht="15" thickBot="1">
      <c r="A1909" s="148"/>
      <c r="B1909" s="976" t="s">
        <v>598</v>
      </c>
      <c r="C1909" s="977"/>
      <c r="D1909" s="88" t="s">
        <v>15</v>
      </c>
      <c r="E1909" s="323">
        <v>1.3</v>
      </c>
      <c r="F1909" s="116">
        <v>29804.496260704094</v>
      </c>
      <c r="G1909" s="149">
        <f>ROUND((E1909*F1909),0)</f>
        <v>38746</v>
      </c>
    </row>
    <row r="1910" spans="1:11" ht="15" thickBot="1">
      <c r="A1910" s="123"/>
      <c r="B1910" s="1015"/>
      <c r="C1910" s="1016"/>
      <c r="D1910" s="139"/>
      <c r="E1910" s="208"/>
      <c r="F1910" s="116"/>
      <c r="G1910" s="124">
        <f>ROUND(E1910*F1910,)</f>
        <v>0</v>
      </c>
    </row>
    <row r="1911" spans="1:11" ht="15" thickBot="1">
      <c r="A1911" s="1017"/>
      <c r="B1911" s="997"/>
      <c r="C1911" s="998"/>
      <c r="D1911" s="981" t="s">
        <v>415</v>
      </c>
      <c r="E1911" s="981"/>
      <c r="F1911" s="981"/>
      <c r="G1911" s="11">
        <f>SUM(G1909:G1910)</f>
        <v>38746</v>
      </c>
    </row>
    <row r="1912" spans="1:11" ht="15" thickBot="1">
      <c r="A1912" s="1002" t="s">
        <v>1</v>
      </c>
      <c r="B1912" s="983" t="s">
        <v>416</v>
      </c>
      <c r="C1912" s="983"/>
      <c r="D1912" s="983"/>
      <c r="E1912" s="983"/>
      <c r="F1912" s="983"/>
      <c r="G1912" s="1003"/>
    </row>
    <row r="1913" spans="1:11" s="7" customFormat="1" ht="15" thickBot="1">
      <c r="A1913" s="1002"/>
      <c r="B1913" s="913" t="s">
        <v>396</v>
      </c>
      <c r="C1913" s="914"/>
      <c r="D1913" s="95" t="s">
        <v>3</v>
      </c>
      <c r="E1913" s="207" t="s">
        <v>398</v>
      </c>
      <c r="F1913" s="95" t="s">
        <v>397</v>
      </c>
      <c r="G1913" s="113" t="s">
        <v>399</v>
      </c>
      <c r="H1913" s="41"/>
      <c r="I1913" s="41"/>
      <c r="J1913" s="41"/>
      <c r="K1913" s="41"/>
    </row>
    <row r="1914" spans="1:11" s="7" customFormat="1">
      <c r="A1914" s="127"/>
      <c r="B1914" s="999" t="s">
        <v>417</v>
      </c>
      <c r="C1914" s="1000"/>
      <c r="D1914" s="128" t="s">
        <v>28</v>
      </c>
      <c r="E1914" s="211">
        <v>22500</v>
      </c>
      <c r="F1914" s="324">
        <v>1.3</v>
      </c>
      <c r="G1914" s="129">
        <f>ROUND(F1914*E1914,)</f>
        <v>29250</v>
      </c>
      <c r="H1914" s="41"/>
      <c r="I1914" s="41"/>
      <c r="J1914" s="41"/>
      <c r="K1914" s="41"/>
    </row>
    <row r="1915" spans="1:11" s="7" customFormat="1" ht="15" thickBot="1">
      <c r="A1915" s="130"/>
      <c r="B1915" s="942"/>
      <c r="C1915" s="943"/>
      <c r="D1915" s="104"/>
      <c r="E1915" s="212"/>
      <c r="F1915" s="105"/>
      <c r="G1915" s="131">
        <f>ROUND(F1915*E1915,)</f>
        <v>0</v>
      </c>
      <c r="H1915" s="41"/>
      <c r="I1915" s="41"/>
      <c r="J1915" s="41"/>
      <c r="K1915" s="41"/>
    </row>
    <row r="1916" spans="1:11" s="7" customFormat="1" ht="15" thickBot="1">
      <c r="A1916" s="1001"/>
      <c r="B1916" s="979"/>
      <c r="C1916" s="980"/>
      <c r="D1916" s="981" t="s">
        <v>418</v>
      </c>
      <c r="E1916" s="981"/>
      <c r="F1916" s="981"/>
      <c r="G1916" s="11">
        <f>SUM(G1914:G1915)</f>
        <v>29250</v>
      </c>
      <c r="H1916" s="41"/>
      <c r="I1916" s="41"/>
      <c r="J1916" s="41"/>
      <c r="K1916" s="41"/>
    </row>
    <row r="1917" spans="1:11" s="7" customFormat="1" ht="15" thickBot="1">
      <c r="A1917" s="1002" t="s">
        <v>1</v>
      </c>
      <c r="B1917" s="983" t="s">
        <v>419</v>
      </c>
      <c r="C1917" s="983"/>
      <c r="D1917" s="983"/>
      <c r="E1917" s="983"/>
      <c r="F1917" s="983"/>
      <c r="G1917" s="1003"/>
      <c r="H1917" s="41"/>
      <c r="I1917" s="41"/>
      <c r="J1917" s="41"/>
      <c r="K1917" s="41"/>
    </row>
    <row r="1918" spans="1:11" s="7" customFormat="1" ht="13.5" thickBot="1">
      <c r="A1918" s="1002"/>
      <c r="B1918" s="913" t="s">
        <v>396</v>
      </c>
      <c r="C1918" s="914"/>
      <c r="D1918" s="95" t="s">
        <v>3</v>
      </c>
      <c r="E1918" s="207" t="s">
        <v>4</v>
      </c>
      <c r="F1918" s="107" t="s">
        <v>420</v>
      </c>
      <c r="G1918" s="113" t="s">
        <v>399</v>
      </c>
    </row>
    <row r="1919" spans="1:11" s="7" customFormat="1" ht="15" thickBot="1">
      <c r="A1919" s="127"/>
      <c r="B1919" s="985" t="s">
        <v>421</v>
      </c>
      <c r="C1919" s="986"/>
      <c r="D1919" s="109" t="s">
        <v>422</v>
      </c>
      <c r="E1919" s="254">
        <v>0.1</v>
      </c>
      <c r="F1919" s="82">
        <f>_xlfn.IFNA(VLOOKUP(B1919,'sub M. DE OBRA'!$B$4:$E$19997,4,FALSE),0)</f>
        <v>301253.33333333331</v>
      </c>
      <c r="G1919" s="129">
        <f>+E1919*F1919</f>
        <v>30125.333333333332</v>
      </c>
      <c r="H1919" s="41"/>
      <c r="I1919" s="41"/>
      <c r="J1919" s="41"/>
      <c r="K1919" s="41"/>
    </row>
    <row r="1920" spans="1:11" s="7" customFormat="1">
      <c r="A1920" s="132"/>
      <c r="B1920" s="133"/>
      <c r="C1920" s="134"/>
      <c r="D1920" s="135"/>
      <c r="E1920" s="213"/>
      <c r="F1920" s="136"/>
      <c r="G1920" s="152"/>
      <c r="H1920" s="41"/>
      <c r="I1920" s="41"/>
      <c r="J1920" s="41"/>
      <c r="K1920" s="41"/>
    </row>
    <row r="1921" spans="1:11" s="7" customFormat="1" ht="15" thickBot="1">
      <c r="A1921" s="1004" t="s">
        <v>424</v>
      </c>
      <c r="B1921" s="988"/>
      <c r="C1921" s="989"/>
      <c r="D1921" s="990" t="s">
        <v>425</v>
      </c>
      <c r="E1921" s="990"/>
      <c r="F1921" s="990"/>
      <c r="G1921" s="12">
        <f>SUM(G1919:G1920)</f>
        <v>30125.333333333332</v>
      </c>
      <c r="H1921" s="41"/>
      <c r="I1921" s="41"/>
      <c r="J1921" s="41"/>
      <c r="K1921" s="41"/>
    </row>
    <row r="1922" spans="1:11" s="7" customFormat="1" ht="15" thickBot="1">
      <c r="A1922" s="1005"/>
      <c r="B1922" s="1005"/>
      <c r="C1922" s="921"/>
      <c r="D1922" s="992" t="s">
        <v>426</v>
      </c>
      <c r="E1922" s="993"/>
      <c r="F1922" s="993"/>
      <c r="G1922" s="153">
        <f>ROUND(G1906+G1911+G1916+G1921,0)</f>
        <v>101452</v>
      </c>
      <c r="H1922" s="41"/>
      <c r="I1922" s="41"/>
      <c r="J1922" s="41"/>
      <c r="K1922" s="41"/>
    </row>
    <row r="1923" spans="1:11" s="7" customFormat="1" ht="15" thickBot="1">
      <c r="A1923" s="41"/>
      <c r="B1923" s="41"/>
      <c r="C1923" s="41"/>
      <c r="D1923" s="41"/>
      <c r="E1923" s="41"/>
      <c r="F1923" s="41"/>
      <c r="G1923" s="41"/>
      <c r="H1923" s="41"/>
      <c r="I1923" s="41"/>
      <c r="J1923" s="41"/>
      <c r="K1923" s="41"/>
    </row>
    <row r="1924" spans="1:11" ht="15" thickBot="1">
      <c r="A1924" s="1006" t="s">
        <v>390</v>
      </c>
      <c r="B1924" s="1007"/>
      <c r="C1924" s="1007"/>
      <c r="D1924" s="1007"/>
      <c r="E1924" s="1007"/>
      <c r="F1924" s="42" t="s">
        <v>391</v>
      </c>
      <c r="G1924" s="43">
        <f ca="1">TODAY()</f>
        <v>46071</v>
      </c>
    </row>
    <row r="1925" spans="1:11" ht="15" thickBot="1">
      <c r="A1925" s="953" t="str">
        <f>+'OFERTA ECONOMICA'!B96</f>
        <v xml:space="preserve">Reflector LED 400W 6500K de iluminacion potente y eficiente para placa multifuncional </v>
      </c>
      <c r="B1925" s="954"/>
      <c r="C1925" s="954"/>
      <c r="D1925" s="954"/>
      <c r="E1925" s="955"/>
      <c r="F1925" s="44" t="s">
        <v>392</v>
      </c>
      <c r="G1925" s="45" t="s">
        <v>55</v>
      </c>
    </row>
    <row r="1926" spans="1:11" ht="15" thickBot="1">
      <c r="A1926" s="956"/>
      <c r="B1926" s="957"/>
      <c r="C1926" s="957"/>
      <c r="D1926" s="957"/>
      <c r="E1926" s="958"/>
      <c r="F1926" s="44" t="s">
        <v>393</v>
      </c>
      <c r="G1926" s="46">
        <v>1</v>
      </c>
    </row>
    <row r="1927" spans="1:11" ht="15" thickBot="1">
      <c r="A1927" s="959"/>
      <c r="B1927" s="960"/>
      <c r="C1927" s="960"/>
      <c r="D1927" s="960"/>
      <c r="E1927" s="961"/>
      <c r="F1927" s="47" t="s">
        <v>394</v>
      </c>
      <c r="G1927" s="48" t="s">
        <v>174</v>
      </c>
    </row>
    <row r="1928" spans="1:11" ht="15" thickBot="1">
      <c r="A1928" s="909" t="s">
        <v>1</v>
      </c>
      <c r="B1928" s="1009" t="s">
        <v>395</v>
      </c>
      <c r="C1928" s="1009"/>
      <c r="D1928" s="1009"/>
      <c r="E1928" s="1009"/>
      <c r="F1928" s="1009"/>
      <c r="G1928" s="1011"/>
    </row>
    <row r="1929" spans="1:11" ht="15" thickBot="1">
      <c r="A1929" s="1002"/>
      <c r="B1929" s="913" t="s">
        <v>396</v>
      </c>
      <c r="C1929" s="914"/>
      <c r="D1929" s="95" t="s">
        <v>3</v>
      </c>
      <c r="E1929" s="207" t="s">
        <v>439</v>
      </c>
      <c r="F1929" s="95" t="s">
        <v>478</v>
      </c>
      <c r="G1929" s="113" t="s">
        <v>399</v>
      </c>
    </row>
    <row r="1930" spans="1:11" ht="15" thickBot="1">
      <c r="A1930" s="114"/>
      <c r="B1930" s="930" t="s">
        <v>427</v>
      </c>
      <c r="C1930" s="931"/>
      <c r="D1930" s="88" t="s">
        <v>428</v>
      </c>
      <c r="E1930" s="323">
        <v>0.05</v>
      </c>
      <c r="F1930" s="116">
        <f>+G1949</f>
        <v>145454.86666666667</v>
      </c>
      <c r="G1930" s="117">
        <f>ROUND((E1930*F1930),0)</f>
        <v>7273</v>
      </c>
    </row>
    <row r="1931" spans="1:11">
      <c r="A1931" s="148"/>
      <c r="B1931" s="968" t="s">
        <v>462</v>
      </c>
      <c r="C1931" s="969"/>
      <c r="D1931" s="92" t="s">
        <v>430</v>
      </c>
      <c r="E1931" s="419">
        <f>+E1947</f>
        <v>0.5</v>
      </c>
      <c r="F1931" s="116">
        <v>36500</v>
      </c>
      <c r="G1931" s="149">
        <f>ROUND((E1931*F1931),0)</f>
        <v>18250</v>
      </c>
    </row>
    <row r="1932" spans="1:11" ht="15" thickBot="1">
      <c r="A1932" s="118"/>
      <c r="B1932" s="1012" t="s">
        <v>402</v>
      </c>
      <c r="C1932" s="1013"/>
      <c r="D1932" s="119" t="s">
        <v>402</v>
      </c>
      <c r="E1932" s="209"/>
      <c r="F1932" s="120"/>
      <c r="G1932" s="121">
        <f>ROUND((E1932*F1932),0)</f>
        <v>0</v>
      </c>
    </row>
    <row r="1933" spans="1:11" ht="15" thickBot="1">
      <c r="A1933" s="1014"/>
      <c r="B1933" s="995"/>
      <c r="C1933" s="995"/>
      <c r="D1933" s="981" t="s">
        <v>403</v>
      </c>
      <c r="E1933" s="981"/>
      <c r="F1933" s="981"/>
      <c r="G1933" s="11">
        <f>SUM(G1930:G1932)</f>
        <v>25523</v>
      </c>
    </row>
    <row r="1934" spans="1:11" ht="15" thickBot="1">
      <c r="A1934" s="1002" t="s">
        <v>1</v>
      </c>
      <c r="B1934" s="983" t="s">
        <v>404</v>
      </c>
      <c r="C1934" s="983"/>
      <c r="D1934" s="983"/>
      <c r="E1934" s="983"/>
      <c r="F1934" s="983"/>
      <c r="G1934" s="1003"/>
    </row>
    <row r="1935" spans="1:11" ht="15" thickBot="1">
      <c r="A1935" s="1002"/>
      <c r="B1935" s="913" t="s">
        <v>396</v>
      </c>
      <c r="C1935" s="914"/>
      <c r="D1935" s="95" t="s">
        <v>3</v>
      </c>
      <c r="E1935" s="207" t="s">
        <v>439</v>
      </c>
      <c r="F1935" s="95" t="s">
        <v>478</v>
      </c>
      <c r="G1935" s="113" t="s">
        <v>399</v>
      </c>
    </row>
    <row r="1936" spans="1:11" ht="15" thickBot="1">
      <c r="A1936" s="148"/>
      <c r="B1936" s="976" t="s">
        <v>599</v>
      </c>
      <c r="C1936" s="977"/>
      <c r="D1936" s="88" t="s">
        <v>55</v>
      </c>
      <c r="E1936" s="323">
        <v>1</v>
      </c>
      <c r="F1936" s="116">
        <v>677850</v>
      </c>
      <c r="G1936" s="149">
        <f>ROUND((E1936*F1936),0)</f>
        <v>677850</v>
      </c>
    </row>
    <row r="1937" spans="1:11" ht="15" thickBot="1">
      <c r="A1937" s="231"/>
      <c r="B1937" s="976" t="s">
        <v>600</v>
      </c>
      <c r="C1937" s="977"/>
      <c r="D1937" s="139" t="s">
        <v>601</v>
      </c>
      <c r="E1937" s="323">
        <v>1</v>
      </c>
      <c r="F1937" s="116">
        <f>+F1936*0.1</f>
        <v>67785</v>
      </c>
      <c r="G1937" s="149">
        <f>ROUND((E1937*F1937),0)</f>
        <v>67785</v>
      </c>
    </row>
    <row r="1938" spans="1:11" ht="15" thickBot="1">
      <c r="A1938" s="123"/>
      <c r="B1938" s="1015"/>
      <c r="C1938" s="1016"/>
      <c r="D1938" s="139"/>
      <c r="E1938" s="208"/>
      <c r="F1938" s="116"/>
      <c r="G1938" s="124">
        <f>ROUND(E1938*F1938,)</f>
        <v>0</v>
      </c>
    </row>
    <row r="1939" spans="1:11" ht="15" thickBot="1">
      <c r="A1939" s="1017"/>
      <c r="B1939" s="997"/>
      <c r="C1939" s="998"/>
      <c r="D1939" s="981" t="s">
        <v>415</v>
      </c>
      <c r="E1939" s="981"/>
      <c r="F1939" s="981"/>
      <c r="G1939" s="11">
        <f>SUM(G1936:G1938)</f>
        <v>745635</v>
      </c>
    </row>
    <row r="1940" spans="1:11" ht="15" thickBot="1">
      <c r="A1940" s="1002" t="s">
        <v>1</v>
      </c>
      <c r="B1940" s="983" t="s">
        <v>416</v>
      </c>
      <c r="C1940" s="983"/>
      <c r="D1940" s="983"/>
      <c r="E1940" s="983"/>
      <c r="F1940" s="983"/>
      <c r="G1940" s="1003"/>
    </row>
    <row r="1941" spans="1:11" s="7" customFormat="1" ht="15" thickBot="1">
      <c r="A1941" s="1002"/>
      <c r="B1941" s="913" t="s">
        <v>396</v>
      </c>
      <c r="C1941" s="914"/>
      <c r="D1941" s="95" t="s">
        <v>3</v>
      </c>
      <c r="E1941" s="207" t="s">
        <v>398</v>
      </c>
      <c r="F1941" s="95" t="s">
        <v>397</v>
      </c>
      <c r="G1941" s="113" t="s">
        <v>399</v>
      </c>
      <c r="H1941" s="41"/>
      <c r="I1941" s="41"/>
      <c r="J1941" s="41"/>
      <c r="K1941" s="41"/>
    </row>
    <row r="1942" spans="1:11" s="7" customFormat="1">
      <c r="A1942" s="127"/>
      <c r="B1942" s="999"/>
      <c r="C1942" s="1000"/>
      <c r="D1942" s="128"/>
      <c r="E1942" s="211"/>
      <c r="F1942" s="115"/>
      <c r="G1942" s="129">
        <f>ROUND(F1942*E1942,)</f>
        <v>0</v>
      </c>
      <c r="H1942" s="41"/>
      <c r="I1942" s="41"/>
      <c r="J1942" s="41"/>
      <c r="K1942" s="41"/>
    </row>
    <row r="1943" spans="1:11" s="7" customFormat="1" ht="15" thickBot="1">
      <c r="A1943" s="130"/>
      <c r="B1943" s="942"/>
      <c r="C1943" s="943"/>
      <c r="D1943" s="104"/>
      <c r="E1943" s="212"/>
      <c r="F1943" s="105"/>
      <c r="G1943" s="131">
        <f>ROUND(F1943*E1943,)</f>
        <v>0</v>
      </c>
      <c r="H1943" s="41"/>
      <c r="I1943" s="41"/>
      <c r="J1943" s="41"/>
      <c r="K1943" s="41"/>
    </row>
    <row r="1944" spans="1:11" s="7" customFormat="1" ht="15" thickBot="1">
      <c r="A1944" s="1001"/>
      <c r="B1944" s="979"/>
      <c r="C1944" s="980"/>
      <c r="D1944" s="981" t="s">
        <v>418</v>
      </c>
      <c r="E1944" s="981"/>
      <c r="F1944" s="981"/>
      <c r="G1944" s="11">
        <f>SUM(G1942:G1943)</f>
        <v>0</v>
      </c>
      <c r="H1944" s="41"/>
      <c r="I1944" s="41"/>
      <c r="J1944" s="41"/>
      <c r="K1944" s="41"/>
    </row>
    <row r="1945" spans="1:11" s="7" customFormat="1" ht="15" thickBot="1">
      <c r="A1945" s="1002" t="s">
        <v>1</v>
      </c>
      <c r="B1945" s="983" t="s">
        <v>419</v>
      </c>
      <c r="C1945" s="983"/>
      <c r="D1945" s="983"/>
      <c r="E1945" s="983"/>
      <c r="F1945" s="983"/>
      <c r="G1945" s="1003"/>
      <c r="H1945" s="41"/>
      <c r="I1945" s="41"/>
      <c r="J1945" s="41"/>
      <c r="K1945" s="41"/>
    </row>
    <row r="1946" spans="1:11" s="7" customFormat="1" ht="13.5" thickBot="1">
      <c r="A1946" s="1002"/>
      <c r="B1946" s="913" t="s">
        <v>396</v>
      </c>
      <c r="C1946" s="914"/>
      <c r="D1946" s="95" t="s">
        <v>3</v>
      </c>
      <c r="E1946" s="207" t="s">
        <v>4</v>
      </c>
      <c r="F1946" s="107" t="s">
        <v>420</v>
      </c>
      <c r="G1946" s="113" t="s">
        <v>399</v>
      </c>
    </row>
    <row r="1947" spans="1:11" s="7" customFormat="1" ht="15" thickBot="1">
      <c r="A1947" s="127"/>
      <c r="B1947" s="985" t="s">
        <v>557</v>
      </c>
      <c r="C1947" s="986"/>
      <c r="D1947" s="109" t="s">
        <v>422</v>
      </c>
      <c r="E1947" s="254">
        <v>0.5</v>
      </c>
      <c r="F1947" s="82">
        <f>_xlfn.IFNA(VLOOKUP(B1947,'sub M. DE OBRA'!$B$4:$E$19997,4,FALSE),0)</f>
        <v>290909.73333333334</v>
      </c>
      <c r="G1947" s="129">
        <f>+E1947*F1947</f>
        <v>145454.86666666667</v>
      </c>
      <c r="H1947" s="41"/>
      <c r="I1947" s="41"/>
      <c r="J1947" s="41"/>
      <c r="K1947" s="41"/>
    </row>
    <row r="1948" spans="1:11" s="7" customFormat="1">
      <c r="A1948" s="132"/>
      <c r="B1948" s="133"/>
      <c r="C1948" s="134"/>
      <c r="D1948" s="135"/>
      <c r="E1948" s="213"/>
      <c r="F1948" s="136"/>
      <c r="G1948" s="152"/>
      <c r="H1948" s="41"/>
      <c r="I1948" s="41"/>
      <c r="J1948" s="41"/>
      <c r="K1948" s="41"/>
    </row>
    <row r="1949" spans="1:11" s="7" customFormat="1" ht="15" thickBot="1">
      <c r="A1949" s="1004" t="s">
        <v>424</v>
      </c>
      <c r="B1949" s="988"/>
      <c r="C1949" s="989"/>
      <c r="D1949" s="990" t="s">
        <v>425</v>
      </c>
      <c r="E1949" s="990"/>
      <c r="F1949" s="990"/>
      <c r="G1949" s="12">
        <f>SUM(G1947:G1948)</f>
        <v>145454.86666666667</v>
      </c>
      <c r="H1949" s="41"/>
      <c r="I1949" s="41"/>
      <c r="J1949" s="41"/>
      <c r="K1949" s="41"/>
    </row>
    <row r="1950" spans="1:11" s="7" customFormat="1" ht="15" thickBot="1">
      <c r="A1950" s="1005"/>
      <c r="B1950" s="1005"/>
      <c r="C1950" s="921"/>
      <c r="D1950" s="992" t="s">
        <v>426</v>
      </c>
      <c r="E1950" s="993"/>
      <c r="F1950" s="993"/>
      <c r="G1950" s="153">
        <f>ROUND(G1933+G1939+G1944+G1949,0)</f>
        <v>916613</v>
      </c>
      <c r="H1950" s="41"/>
      <c r="I1950" s="41"/>
      <c r="J1950" s="41"/>
      <c r="K1950" s="41"/>
    </row>
    <row r="1951" spans="1:11" s="7" customFormat="1" ht="15" thickBot="1">
      <c r="A1951" s="41"/>
      <c r="B1951" s="41"/>
      <c r="C1951" s="41"/>
      <c r="D1951" s="41"/>
      <c r="E1951" s="41"/>
      <c r="F1951" s="41"/>
      <c r="G1951" s="41"/>
      <c r="H1951" s="41"/>
      <c r="I1951" s="41"/>
      <c r="J1951" s="41"/>
      <c r="K1951" s="41"/>
    </row>
    <row r="1952" spans="1:11" ht="15" thickBot="1">
      <c r="A1952" s="1006" t="s">
        <v>390</v>
      </c>
      <c r="B1952" s="1007"/>
      <c r="C1952" s="1007"/>
      <c r="D1952" s="1007"/>
      <c r="E1952" s="1007"/>
      <c r="F1952" s="42" t="s">
        <v>391</v>
      </c>
      <c r="G1952" s="43">
        <f ca="1">TODAY()</f>
        <v>46071</v>
      </c>
    </row>
    <row r="1953" spans="1:11" ht="15" thickBot="1">
      <c r="A1953" s="953" t="str">
        <f>+'OFERTA ECONOMICA'!B97</f>
        <v>Llenos con material seleccionado proveniente de las excavaciones, compactados mecánicamente hasta obtener una densidad del 95% de la máxima obtenida en el ensayo del próctor modificado. Incluye el suministro, transportes externo e interno del material y su medida será compactado en sitio.</v>
      </c>
      <c r="B1953" s="954"/>
      <c r="C1953" s="954"/>
      <c r="D1953" s="954"/>
      <c r="E1953" s="955"/>
      <c r="F1953" s="44" t="s">
        <v>392</v>
      </c>
      <c r="G1953" s="45" t="s">
        <v>28</v>
      </c>
    </row>
    <row r="1954" spans="1:11" ht="15" thickBot="1">
      <c r="A1954" s="956"/>
      <c r="B1954" s="957"/>
      <c r="C1954" s="957"/>
      <c r="D1954" s="957"/>
      <c r="E1954" s="958"/>
      <c r="F1954" s="44" t="s">
        <v>393</v>
      </c>
      <c r="G1954" s="46">
        <v>1</v>
      </c>
    </row>
    <row r="1955" spans="1:11" ht="15" thickBot="1">
      <c r="A1955" s="959"/>
      <c r="B1955" s="960"/>
      <c r="C1955" s="960"/>
      <c r="D1955" s="960"/>
      <c r="E1955" s="961"/>
      <c r="F1955" s="47" t="s">
        <v>394</v>
      </c>
      <c r="G1955" s="48" t="s">
        <v>176</v>
      </c>
    </row>
    <row r="1956" spans="1:11" ht="15" thickBot="1">
      <c r="A1956" s="909" t="s">
        <v>1</v>
      </c>
      <c r="B1956" s="1009" t="s">
        <v>395</v>
      </c>
      <c r="C1956" s="1009"/>
      <c r="D1956" s="1009"/>
      <c r="E1956" s="1009"/>
      <c r="F1956" s="1009"/>
      <c r="G1956" s="1011"/>
    </row>
    <row r="1957" spans="1:11" ht="15" thickBot="1">
      <c r="A1957" s="1002"/>
      <c r="B1957" s="913" t="s">
        <v>396</v>
      </c>
      <c r="C1957" s="914"/>
      <c r="D1957" s="95" t="s">
        <v>3</v>
      </c>
      <c r="E1957" s="207" t="s">
        <v>439</v>
      </c>
      <c r="F1957" s="95" t="s">
        <v>478</v>
      </c>
      <c r="G1957" s="113" t="s">
        <v>399</v>
      </c>
    </row>
    <row r="1958" spans="1:11" ht="15" thickBot="1">
      <c r="A1958" s="114"/>
      <c r="B1958" s="930" t="s">
        <v>427</v>
      </c>
      <c r="C1958" s="931"/>
      <c r="D1958" s="88" t="s">
        <v>428</v>
      </c>
      <c r="E1958" s="323">
        <v>0.05</v>
      </c>
      <c r="F1958" s="116">
        <f>+G1976</f>
        <v>46273.134680168274</v>
      </c>
      <c r="G1958" s="117">
        <f>ROUND((E1958*F1958),0)</f>
        <v>2314</v>
      </c>
    </row>
    <row r="1959" spans="1:11">
      <c r="A1959" s="148"/>
      <c r="B1959" s="968" t="s">
        <v>543</v>
      </c>
      <c r="C1959" s="969"/>
      <c r="D1959" s="92" t="s">
        <v>430</v>
      </c>
      <c r="E1959" s="323">
        <v>73577</v>
      </c>
      <c r="F1959" s="116">
        <f>+E1974</f>
        <v>0.15360206696523948</v>
      </c>
      <c r="G1959" s="149">
        <f>ROUND((E1959*F1959),0)</f>
        <v>11302</v>
      </c>
    </row>
    <row r="1960" spans="1:11" ht="15" thickBot="1">
      <c r="A1960" s="118"/>
      <c r="B1960" s="1012" t="s">
        <v>402</v>
      </c>
      <c r="C1960" s="1013"/>
      <c r="D1960" s="119" t="s">
        <v>402</v>
      </c>
      <c r="E1960" s="209"/>
      <c r="F1960" s="120"/>
      <c r="G1960" s="121">
        <f>ROUND((E1960*F1960),0)</f>
        <v>0</v>
      </c>
    </row>
    <row r="1961" spans="1:11" ht="15" thickBot="1">
      <c r="A1961" s="1014"/>
      <c r="B1961" s="995"/>
      <c r="C1961" s="995"/>
      <c r="D1961" s="981" t="s">
        <v>403</v>
      </c>
      <c r="E1961" s="981"/>
      <c r="F1961" s="981"/>
      <c r="G1961" s="11">
        <f>SUM(G1958:G1960)</f>
        <v>13616</v>
      </c>
    </row>
    <row r="1962" spans="1:11" ht="15" thickBot="1">
      <c r="A1962" s="1002" t="s">
        <v>1</v>
      </c>
      <c r="B1962" s="983" t="s">
        <v>404</v>
      </c>
      <c r="C1962" s="983"/>
      <c r="D1962" s="983"/>
      <c r="E1962" s="983"/>
      <c r="F1962" s="983"/>
      <c r="G1962" s="1003"/>
    </row>
    <row r="1963" spans="1:11" ht="15" thickBot="1">
      <c r="A1963" s="1002"/>
      <c r="B1963" s="913" t="s">
        <v>396</v>
      </c>
      <c r="C1963" s="914"/>
      <c r="D1963" s="95" t="s">
        <v>3</v>
      </c>
      <c r="E1963" s="207" t="s">
        <v>439</v>
      </c>
      <c r="F1963" s="95" t="s">
        <v>478</v>
      </c>
      <c r="G1963" s="113" t="s">
        <v>399</v>
      </c>
    </row>
    <row r="1964" spans="1:11" ht="15" thickBot="1">
      <c r="A1964" s="148"/>
      <c r="B1964" s="976"/>
      <c r="C1964" s="977"/>
      <c r="D1964" s="88"/>
      <c r="E1964" s="323"/>
      <c r="F1964" s="116"/>
      <c r="G1964" s="149">
        <f>ROUND((E1964*F1964),0)</f>
        <v>0</v>
      </c>
    </row>
    <row r="1965" spans="1:11" ht="15" thickBot="1">
      <c r="A1965" s="123"/>
      <c r="B1965" s="1015"/>
      <c r="C1965" s="1016"/>
      <c r="D1965" s="139"/>
      <c r="E1965" s="208"/>
      <c r="F1965" s="116"/>
      <c r="G1965" s="124">
        <f>ROUND(E1965*F1965,)</f>
        <v>0</v>
      </c>
    </row>
    <row r="1966" spans="1:11" ht="15" thickBot="1">
      <c r="A1966" s="1017"/>
      <c r="B1966" s="997"/>
      <c r="C1966" s="998"/>
      <c r="D1966" s="981" t="s">
        <v>415</v>
      </c>
      <c r="E1966" s="981"/>
      <c r="F1966" s="981"/>
      <c r="G1966" s="11">
        <f>SUM(G1964:G1965)</f>
        <v>0</v>
      </c>
    </row>
    <row r="1967" spans="1:11" ht="15" thickBot="1">
      <c r="A1967" s="1002" t="s">
        <v>1</v>
      </c>
      <c r="B1967" s="983" t="s">
        <v>416</v>
      </c>
      <c r="C1967" s="983"/>
      <c r="D1967" s="983"/>
      <c r="E1967" s="983"/>
      <c r="F1967" s="983"/>
      <c r="G1967" s="1003"/>
    </row>
    <row r="1968" spans="1:11" s="7" customFormat="1" ht="15" thickBot="1">
      <c r="A1968" s="1002"/>
      <c r="B1968" s="913" t="s">
        <v>396</v>
      </c>
      <c r="C1968" s="914"/>
      <c r="D1968" s="95" t="s">
        <v>3</v>
      </c>
      <c r="E1968" s="207" t="s">
        <v>398</v>
      </c>
      <c r="F1968" s="95" t="s">
        <v>397</v>
      </c>
      <c r="G1968" s="113" t="s">
        <v>399</v>
      </c>
      <c r="H1968" s="41"/>
      <c r="I1968" s="41"/>
      <c r="J1968" s="41"/>
      <c r="K1968" s="41"/>
    </row>
    <row r="1969" spans="1:11" s="7" customFormat="1">
      <c r="A1969" s="127"/>
      <c r="B1969" s="999" t="s">
        <v>602</v>
      </c>
      <c r="C1969" s="1000"/>
      <c r="D1969" s="128" t="s">
        <v>28</v>
      </c>
      <c r="E1969" s="211">
        <v>22500</v>
      </c>
      <c r="F1969" s="115">
        <v>1</v>
      </c>
      <c r="G1969" s="129">
        <f>ROUND(F1969*E1969,)</f>
        <v>22500</v>
      </c>
      <c r="H1969" s="41"/>
      <c r="I1969" s="41"/>
      <c r="J1969" s="41"/>
      <c r="K1969" s="41"/>
    </row>
    <row r="1970" spans="1:11" s="7" customFormat="1" ht="15" thickBot="1">
      <c r="A1970" s="130"/>
      <c r="B1970" s="942"/>
      <c r="C1970" s="943"/>
      <c r="D1970" s="104"/>
      <c r="E1970" s="212"/>
      <c r="F1970" s="105"/>
      <c r="G1970" s="131">
        <f>ROUND(F1970*E1970,)</f>
        <v>0</v>
      </c>
      <c r="H1970" s="41"/>
      <c r="I1970" s="41"/>
      <c r="J1970" s="41"/>
      <c r="K1970" s="41"/>
    </row>
    <row r="1971" spans="1:11" s="7" customFormat="1" ht="15" thickBot="1">
      <c r="A1971" s="1001"/>
      <c r="B1971" s="979"/>
      <c r="C1971" s="980"/>
      <c r="D1971" s="981" t="s">
        <v>418</v>
      </c>
      <c r="E1971" s="981"/>
      <c r="F1971" s="981"/>
      <c r="G1971" s="11">
        <f>SUM(G1969:G1970)</f>
        <v>22500</v>
      </c>
      <c r="H1971" s="41"/>
      <c r="I1971" s="41"/>
      <c r="J1971" s="41"/>
      <c r="K1971" s="41"/>
    </row>
    <row r="1972" spans="1:11" s="7" customFormat="1" ht="15" thickBot="1">
      <c r="A1972" s="1002" t="s">
        <v>1</v>
      </c>
      <c r="B1972" s="983" t="s">
        <v>419</v>
      </c>
      <c r="C1972" s="983"/>
      <c r="D1972" s="983"/>
      <c r="E1972" s="983"/>
      <c r="F1972" s="983"/>
      <c r="G1972" s="1003"/>
      <c r="H1972" s="41"/>
      <c r="I1972" s="41"/>
      <c r="J1972" s="41"/>
      <c r="K1972" s="41"/>
    </row>
    <row r="1973" spans="1:11" s="7" customFormat="1" ht="13.5" thickBot="1">
      <c r="A1973" s="1002"/>
      <c r="B1973" s="913" t="s">
        <v>396</v>
      </c>
      <c r="C1973" s="914"/>
      <c r="D1973" s="95" t="s">
        <v>3</v>
      </c>
      <c r="E1973" s="207" t="s">
        <v>4</v>
      </c>
      <c r="F1973" s="107" t="s">
        <v>420</v>
      </c>
      <c r="G1973" s="113" t="s">
        <v>399</v>
      </c>
    </row>
    <row r="1974" spans="1:11" s="7" customFormat="1" ht="15" thickBot="1">
      <c r="A1974" s="127"/>
      <c r="B1974" s="985" t="s">
        <v>421</v>
      </c>
      <c r="C1974" s="986"/>
      <c r="D1974" s="109" t="s">
        <v>422</v>
      </c>
      <c r="E1974" s="254">
        <v>0.15360206696523948</v>
      </c>
      <c r="F1974" s="82">
        <f>_xlfn.IFNA(VLOOKUP(B1974,'sub M. DE OBRA'!$B$4:$E$19997,4,FALSE),0)</f>
        <v>301253.33333333331</v>
      </c>
      <c r="G1974" s="129">
        <f>+E1974*F1974</f>
        <v>46273.134680168274</v>
      </c>
      <c r="H1974" s="41"/>
      <c r="I1974" s="41"/>
      <c r="J1974" s="41"/>
      <c r="K1974" s="41"/>
    </row>
    <row r="1975" spans="1:11" s="7" customFormat="1">
      <c r="A1975" s="132"/>
      <c r="B1975" s="133"/>
      <c r="C1975" s="134"/>
      <c r="D1975" s="135"/>
      <c r="E1975" s="213"/>
      <c r="F1975" s="136"/>
      <c r="G1975" s="152"/>
      <c r="H1975" s="41"/>
      <c r="I1975" s="41"/>
      <c r="J1975" s="41"/>
      <c r="K1975" s="41"/>
    </row>
    <row r="1976" spans="1:11" s="7" customFormat="1" ht="15" thickBot="1">
      <c r="A1976" s="1004" t="s">
        <v>424</v>
      </c>
      <c r="B1976" s="988"/>
      <c r="C1976" s="989"/>
      <c r="D1976" s="990" t="s">
        <v>425</v>
      </c>
      <c r="E1976" s="990"/>
      <c r="F1976" s="990"/>
      <c r="G1976" s="12">
        <f>SUM(G1974:G1975)</f>
        <v>46273.134680168274</v>
      </c>
      <c r="H1976" s="41"/>
      <c r="I1976" s="41"/>
      <c r="J1976" s="41"/>
      <c r="K1976" s="41"/>
    </row>
    <row r="1977" spans="1:11" s="7" customFormat="1" ht="15" thickBot="1">
      <c r="A1977" s="1005"/>
      <c r="B1977" s="1005"/>
      <c r="C1977" s="921"/>
      <c r="D1977" s="992" t="s">
        <v>426</v>
      </c>
      <c r="E1977" s="993"/>
      <c r="F1977" s="993"/>
      <c r="G1977" s="153">
        <f>ROUND(G1961+G1966+G1971+G1976,0)</f>
        <v>82389</v>
      </c>
      <c r="H1977" s="41"/>
      <c r="I1977" s="41"/>
      <c r="J1977" s="41"/>
      <c r="K1977" s="41"/>
    </row>
    <row r="1978" spans="1:11" s="7" customFormat="1" ht="15" thickBot="1">
      <c r="A1978" s="41"/>
      <c r="B1978" s="41"/>
      <c r="C1978" s="41"/>
      <c r="D1978" s="41"/>
      <c r="E1978" s="41"/>
      <c r="F1978" s="41"/>
      <c r="G1978" s="41"/>
      <c r="H1978" s="41"/>
      <c r="I1978" s="41"/>
      <c r="J1978" s="41"/>
      <c r="K1978" s="41"/>
    </row>
    <row r="1979" spans="1:11" ht="15" thickBot="1">
      <c r="A1979" s="1006" t="s">
        <v>390</v>
      </c>
      <c r="B1979" s="1007"/>
      <c r="C1979" s="1007"/>
      <c r="D1979" s="1007"/>
      <c r="E1979" s="1007"/>
      <c r="F1979" s="42" t="s">
        <v>391</v>
      </c>
      <c r="G1979" s="43">
        <f ca="1">TODAY()</f>
        <v>46071</v>
      </c>
    </row>
    <row r="1980" spans="1:11" ht="19.5" customHeight="1" thickBot="1">
      <c r="A1980" s="953" t="str">
        <f>+'OFERTA ECONOMICA'!B98</f>
        <v>Impermeabilización con producto cementicio flexible (Terraza sobre ludoteca ) Descarificación y limpieza de piso existente + suministro de instalación de vulken 45 , aplicado en dilataciones y aristas + suministro e instalación de producto cementicio flexible Metic Lastic plus + suministro e instalación de malla alcalina de 160 gramos + suministro e intalación de dos manos de metic lastic plus + suministro e instalación de pintura elastomerica color gris como acabado final.</v>
      </c>
      <c r="B1980" s="954"/>
      <c r="C1980" s="954"/>
      <c r="D1980" s="954"/>
      <c r="E1980" s="955"/>
      <c r="F1980" s="44" t="s">
        <v>392</v>
      </c>
      <c r="G1980" s="45" t="s">
        <v>15</v>
      </c>
    </row>
    <row r="1981" spans="1:11" ht="19.5" customHeight="1" thickBot="1">
      <c r="A1981" s="956"/>
      <c r="B1981" s="957"/>
      <c r="C1981" s="957"/>
      <c r="D1981" s="957"/>
      <c r="E1981" s="958"/>
      <c r="F1981" s="44" t="s">
        <v>393</v>
      </c>
      <c r="G1981" s="46">
        <v>1</v>
      </c>
    </row>
    <row r="1982" spans="1:11" ht="19.5" customHeight="1" thickBot="1">
      <c r="A1982" s="959"/>
      <c r="B1982" s="960"/>
      <c r="C1982" s="960"/>
      <c r="D1982" s="960"/>
      <c r="E1982" s="961"/>
      <c r="F1982" s="47" t="s">
        <v>394</v>
      </c>
      <c r="G1982" s="48" t="s">
        <v>178</v>
      </c>
    </row>
    <row r="1983" spans="1:11" ht="15" thickBot="1">
      <c r="A1983" s="1008" t="s">
        <v>1</v>
      </c>
      <c r="B1983" s="1009" t="s">
        <v>395</v>
      </c>
      <c r="C1983" s="1009"/>
      <c r="D1983" s="1009"/>
      <c r="E1983" s="1009"/>
      <c r="F1983" s="1009"/>
      <c r="G1983" s="1010"/>
    </row>
    <row r="1984" spans="1:11" ht="15" thickBot="1">
      <c r="A1984" s="982"/>
      <c r="B1984" s="913" t="s">
        <v>396</v>
      </c>
      <c r="C1984" s="914"/>
      <c r="D1984" s="95" t="s">
        <v>3</v>
      </c>
      <c r="E1984" s="207" t="s">
        <v>398</v>
      </c>
      <c r="F1984" s="95" t="s">
        <v>4</v>
      </c>
      <c r="G1984" s="97" t="s">
        <v>399</v>
      </c>
    </row>
    <row r="1985" spans="1:7">
      <c r="A1985" s="87"/>
      <c r="B1985" s="930" t="s">
        <v>427</v>
      </c>
      <c r="C1985" s="931"/>
      <c r="D1985" s="88" t="s">
        <v>428</v>
      </c>
      <c r="E1985" s="214">
        <f>+G2003</f>
        <v>75313.333333333328</v>
      </c>
      <c r="F1985" s="89">
        <v>0.05</v>
      </c>
      <c r="G1985" s="90">
        <f>ROUND((E1985*F1985),0)</f>
        <v>3766</v>
      </c>
    </row>
    <row r="1986" spans="1:7">
      <c r="A1986" s="91"/>
      <c r="B1986" s="968"/>
      <c r="C1986" s="969"/>
      <c r="D1986" s="92"/>
      <c r="E1986" s="215"/>
      <c r="F1986" s="93"/>
      <c r="G1986" s="94">
        <f>ROUND((E1986*F1986),0)</f>
        <v>0</v>
      </c>
    </row>
    <row r="1987" spans="1:7">
      <c r="A1987" s="91"/>
      <c r="B1987" s="968"/>
      <c r="C1987" s="969"/>
      <c r="D1987" s="92"/>
      <c r="E1987" s="215"/>
      <c r="F1987" s="93"/>
      <c r="G1987" s="94">
        <f>ROUND((E1987*F1987),0)</f>
        <v>0</v>
      </c>
    </row>
    <row r="1988" spans="1:7" ht="15" thickBot="1">
      <c r="A1988" s="994"/>
      <c r="B1988" s="995"/>
      <c r="C1988" s="995"/>
      <c r="D1988" s="981" t="s">
        <v>403</v>
      </c>
      <c r="E1988" s="981"/>
      <c r="F1988" s="981"/>
      <c r="G1988" s="13">
        <f>SUM(G1985:G1987)</f>
        <v>3766</v>
      </c>
    </row>
    <row r="1989" spans="1:7" ht="15" thickBot="1">
      <c r="A1989" s="982" t="s">
        <v>1</v>
      </c>
      <c r="B1989" s="983" t="s">
        <v>404</v>
      </c>
      <c r="C1989" s="983"/>
      <c r="D1989" s="983"/>
      <c r="E1989" s="983"/>
      <c r="F1989" s="983"/>
      <c r="G1989" s="984"/>
    </row>
    <row r="1990" spans="1:7" ht="15" thickBot="1">
      <c r="A1990" s="982"/>
      <c r="B1990" s="913" t="s">
        <v>396</v>
      </c>
      <c r="C1990" s="914"/>
      <c r="D1990" s="95" t="s">
        <v>3</v>
      </c>
      <c r="E1990" s="207" t="s">
        <v>398</v>
      </c>
      <c r="F1990" s="95" t="s">
        <v>397</v>
      </c>
      <c r="G1990" s="97" t="s">
        <v>399</v>
      </c>
    </row>
    <row r="1991" spans="1:7">
      <c r="A1991" s="108"/>
      <c r="B1991" s="968" t="s">
        <v>603</v>
      </c>
      <c r="C1991" s="969"/>
      <c r="D1991" s="92" t="s">
        <v>604</v>
      </c>
      <c r="E1991" s="215">
        <v>1768395</v>
      </c>
      <c r="F1991" s="93">
        <v>4.2500000000000003E-2</v>
      </c>
      <c r="G1991" s="94">
        <f>ROUND(E1991*F1991,)</f>
        <v>75157</v>
      </c>
    </row>
    <row r="1992" spans="1:7">
      <c r="A1992" s="98"/>
      <c r="B1992" s="968" t="s">
        <v>605</v>
      </c>
      <c r="C1992" s="969"/>
      <c r="D1992" s="92" t="s">
        <v>604</v>
      </c>
      <c r="E1992" s="215">
        <v>2896671</v>
      </c>
      <c r="F1992" s="93">
        <v>2.2499999999999999E-2</v>
      </c>
      <c r="G1992" s="94">
        <f>ROUND(E1992*F1992,)</f>
        <v>65175</v>
      </c>
    </row>
    <row r="1993" spans="1:7">
      <c r="A1993" s="98"/>
      <c r="B1993" s="928"/>
      <c r="C1993" s="929"/>
      <c r="D1993" s="99"/>
      <c r="E1993" s="216"/>
      <c r="F1993" s="101"/>
      <c r="G1993" s="102">
        <f>ROUND(E1993*F1993,)</f>
        <v>0</v>
      </c>
    </row>
    <row r="1994" spans="1:7" ht="15" thickBot="1">
      <c r="A1994" s="996"/>
      <c r="B1994" s="997"/>
      <c r="C1994" s="998"/>
      <c r="D1994" s="981" t="s">
        <v>415</v>
      </c>
      <c r="E1994" s="981"/>
      <c r="F1994" s="981"/>
      <c r="G1994" s="13">
        <f>SUM(G1991:G1993)</f>
        <v>140332</v>
      </c>
    </row>
    <row r="1995" spans="1:7" ht="15" thickBot="1">
      <c r="A1995" s="982" t="s">
        <v>1</v>
      </c>
      <c r="B1995" s="983" t="s">
        <v>416</v>
      </c>
      <c r="C1995" s="983"/>
      <c r="D1995" s="983"/>
      <c r="E1995" s="983"/>
      <c r="F1995" s="983"/>
      <c r="G1995" s="984"/>
    </row>
    <row r="1996" spans="1:7" ht="15" thickBot="1">
      <c r="A1996" s="982"/>
      <c r="B1996" s="913" t="s">
        <v>396</v>
      </c>
      <c r="C1996" s="914"/>
      <c r="D1996" s="95" t="s">
        <v>3</v>
      </c>
      <c r="E1996" s="207" t="s">
        <v>398</v>
      </c>
      <c r="F1996" s="95" t="s">
        <v>397</v>
      </c>
      <c r="G1996" s="97" t="s">
        <v>399</v>
      </c>
    </row>
    <row r="1997" spans="1:7" ht="15" thickBot="1">
      <c r="A1997" s="103"/>
      <c r="B1997" s="942" t="s">
        <v>436</v>
      </c>
      <c r="C1997" s="943"/>
      <c r="D1997" s="104" t="s">
        <v>28</v>
      </c>
      <c r="E1997" s="212">
        <v>22500</v>
      </c>
      <c r="F1997" s="89">
        <v>0.125</v>
      </c>
      <c r="G1997" s="159">
        <f>ROUND(F1997*E1997,)</f>
        <v>2813</v>
      </c>
    </row>
    <row r="1998" spans="1:7">
      <c r="A1998" s="224"/>
      <c r="B1998" s="940" t="s">
        <v>606</v>
      </c>
      <c r="C1998" s="941"/>
      <c r="D1998" s="157" t="s">
        <v>607</v>
      </c>
      <c r="E1998" s="219">
        <v>85000</v>
      </c>
      <c r="F1998" s="136">
        <v>0.125</v>
      </c>
      <c r="G1998" s="159">
        <f>ROUND(F1998*E1998,)</f>
        <v>10625</v>
      </c>
    </row>
    <row r="1999" spans="1:7" ht="15" thickBot="1">
      <c r="A1999" s="978"/>
      <c r="B1999" s="979"/>
      <c r="C1999" s="980"/>
      <c r="D1999" s="981" t="s">
        <v>418</v>
      </c>
      <c r="E1999" s="981"/>
      <c r="F1999" s="981"/>
      <c r="G1999" s="13">
        <f>SUM(G1997:G1998)</f>
        <v>13438</v>
      </c>
    </row>
    <row r="2000" spans="1:7" ht="15" thickBot="1">
      <c r="A2000" s="982" t="s">
        <v>1</v>
      </c>
      <c r="B2000" s="983" t="s">
        <v>419</v>
      </c>
      <c r="C2000" s="983"/>
      <c r="D2000" s="983"/>
      <c r="E2000" s="983"/>
      <c r="F2000" s="983"/>
      <c r="G2000" s="984"/>
    </row>
    <row r="2001" spans="1:11" ht="15" thickBot="1">
      <c r="A2001" s="982"/>
      <c r="B2001" s="913" t="s">
        <v>396</v>
      </c>
      <c r="C2001" s="914"/>
      <c r="D2001" s="95" t="s">
        <v>3</v>
      </c>
      <c r="E2001" s="207" t="s">
        <v>4</v>
      </c>
      <c r="F2001" s="107" t="s">
        <v>420</v>
      </c>
      <c r="G2001" s="97" t="s">
        <v>399</v>
      </c>
    </row>
    <row r="2002" spans="1:11">
      <c r="A2002" s="108"/>
      <c r="B2002" s="985" t="s">
        <v>421</v>
      </c>
      <c r="C2002" s="986"/>
      <c r="D2002" s="109" t="s">
        <v>467</v>
      </c>
      <c r="E2002" s="234">
        <v>0.25</v>
      </c>
      <c r="F2002" s="82">
        <f>_xlfn.IFNA(VLOOKUP(B2002,'sub M. DE OBRA'!$B$4:$E$19997,4,FALSE),0)</f>
        <v>301253.33333333331</v>
      </c>
      <c r="G2002" s="111">
        <f>+E2002*F2002</f>
        <v>75313.333333333328</v>
      </c>
    </row>
    <row r="2003" spans="1:11" ht="15" thickBot="1">
      <c r="A2003" s="987" t="s">
        <v>424</v>
      </c>
      <c r="B2003" s="988"/>
      <c r="C2003" s="989"/>
      <c r="D2003" s="990" t="s">
        <v>425</v>
      </c>
      <c r="E2003" s="990"/>
      <c r="F2003" s="990"/>
      <c r="G2003" s="14">
        <f>SUM(G2002:G2002)</f>
        <v>75313.333333333328</v>
      </c>
    </row>
    <row r="2004" spans="1:11" ht="15" thickBot="1">
      <c r="A2004" s="991"/>
      <c r="B2004" s="991"/>
      <c r="C2004" s="991"/>
      <c r="D2004" s="992" t="s">
        <v>426</v>
      </c>
      <c r="E2004" s="993"/>
      <c r="F2004" s="993"/>
      <c r="G2004" s="112">
        <f>ROUND(+G1988+G1994+G1999+G2003,)</f>
        <v>232849</v>
      </c>
    </row>
    <row r="2005" spans="1:11" ht="15" hidden="1" customHeight="1" thickBot="1">
      <c r="A2005" s="1006"/>
      <c r="B2005" s="1007"/>
      <c r="C2005" s="1007"/>
      <c r="D2005" s="1007"/>
      <c r="E2005" s="1007"/>
      <c r="F2005" s="272"/>
      <c r="G2005" s="43"/>
    </row>
    <row r="2006" spans="1:11" ht="15.75" hidden="1" customHeight="1" thickBot="1">
      <c r="A2006" s="953"/>
      <c r="B2006" s="954"/>
      <c r="C2006" s="954"/>
      <c r="D2006" s="954"/>
      <c r="E2006" s="955"/>
      <c r="F2006" s="273"/>
      <c r="G2006" s="45"/>
    </row>
    <row r="2007" spans="1:11" ht="15" hidden="1" thickBot="1">
      <c r="A2007" s="956"/>
      <c r="B2007" s="957"/>
      <c r="C2007" s="957"/>
      <c r="D2007" s="957"/>
      <c r="E2007" s="958"/>
      <c r="F2007" s="273"/>
      <c r="G2007" s="46"/>
    </row>
    <row r="2008" spans="1:11" ht="15" hidden="1" collapsed="1" thickBot="1">
      <c r="A2008" s="959"/>
      <c r="B2008" s="960"/>
      <c r="C2008" s="960"/>
      <c r="D2008" s="960"/>
      <c r="E2008" s="961"/>
      <c r="F2008" s="274"/>
      <c r="G2008" s="48"/>
    </row>
    <row r="2009" spans="1:11" s="7" customFormat="1" ht="15" hidden="1" thickBot="1">
      <c r="A2009" s="1063"/>
      <c r="B2009" s="1064"/>
      <c r="C2009" s="1064"/>
      <c r="D2009" s="1064"/>
      <c r="E2009" s="1064"/>
      <c r="F2009" s="1064"/>
      <c r="G2009" s="1065"/>
      <c r="H2009" s="49"/>
      <c r="I2009" s="49"/>
      <c r="J2009" s="49"/>
      <c r="K2009" s="49"/>
    </row>
    <row r="2010" spans="1:11" s="7" customFormat="1" ht="15" hidden="1" thickBot="1">
      <c r="A2010" s="1042"/>
      <c r="B2010" s="1045"/>
      <c r="C2010" s="1046"/>
      <c r="D2010" s="50"/>
      <c r="E2010" s="242"/>
      <c r="F2010" s="275"/>
      <c r="G2010" s="52"/>
      <c r="H2010" s="49"/>
      <c r="I2010" s="49"/>
      <c r="J2010" s="49"/>
      <c r="K2010" s="49"/>
    </row>
    <row r="2011" spans="1:11" s="7" customFormat="1" ht="15" hidden="1" thickBot="1">
      <c r="A2011" s="53"/>
      <c r="B2011" s="1066"/>
      <c r="C2011" s="1067"/>
      <c r="D2011" s="54"/>
      <c r="E2011" s="243"/>
      <c r="F2011" s="276"/>
      <c r="G2011" s="57"/>
      <c r="H2011" s="49"/>
      <c r="I2011" s="49"/>
      <c r="J2011" s="49"/>
      <c r="K2011" s="49"/>
    </row>
    <row r="2012" spans="1:11" s="7" customFormat="1" ht="15" hidden="1" thickBot="1">
      <c r="A2012" s="58"/>
      <c r="B2012" s="1083"/>
      <c r="C2012" s="1084"/>
      <c r="D2012" s="59"/>
      <c r="E2012" s="243"/>
      <c r="F2012" s="276"/>
      <c r="G2012" s="60"/>
      <c r="H2012" s="49"/>
      <c r="I2012" s="49"/>
      <c r="J2012" s="49"/>
      <c r="K2012" s="49"/>
    </row>
    <row r="2013" spans="1:11" s="7" customFormat="1" hidden="1">
      <c r="A2013" s="58"/>
      <c r="B2013" s="1083"/>
      <c r="C2013" s="1084"/>
      <c r="D2013" s="59"/>
      <c r="E2013" s="243"/>
      <c r="F2013" s="276"/>
      <c r="G2013" s="60"/>
      <c r="H2013" s="49"/>
      <c r="I2013" s="49"/>
      <c r="J2013" s="49"/>
      <c r="K2013" s="49"/>
    </row>
    <row r="2014" spans="1:11" s="7" customFormat="1" ht="15" hidden="1" thickBot="1">
      <c r="A2014" s="61"/>
      <c r="B2014" s="1068"/>
      <c r="C2014" s="1069"/>
      <c r="D2014" s="62"/>
      <c r="E2014" s="244"/>
      <c r="F2014" s="277"/>
      <c r="G2014" s="63"/>
      <c r="H2014" s="49"/>
      <c r="I2014" s="49"/>
      <c r="J2014" s="49"/>
      <c r="K2014" s="49"/>
    </row>
    <row r="2015" spans="1:11" s="7" customFormat="1" ht="15" hidden="1" thickBot="1">
      <c r="A2015" s="1070"/>
      <c r="B2015" s="1071"/>
      <c r="C2015" s="1071"/>
      <c r="D2015" s="1052"/>
      <c r="E2015" s="1052"/>
      <c r="F2015" s="1052"/>
      <c r="G2015" s="35"/>
      <c r="H2015" s="49"/>
      <c r="I2015" s="49"/>
      <c r="J2015" s="49"/>
      <c r="K2015" s="49"/>
    </row>
    <row r="2016" spans="1:11" s="7" customFormat="1" ht="15" hidden="1" thickBot="1">
      <c r="A2016" s="1042"/>
      <c r="B2016" s="1043"/>
      <c r="C2016" s="1043"/>
      <c r="D2016" s="1043"/>
      <c r="E2016" s="1043"/>
      <c r="F2016" s="1043"/>
      <c r="G2016" s="1044"/>
      <c r="H2016" s="49"/>
      <c r="I2016" s="49"/>
      <c r="J2016" s="49"/>
      <c r="K2016" s="49"/>
    </row>
    <row r="2017" spans="1:11" s="7" customFormat="1" ht="15" hidden="1" thickBot="1">
      <c r="A2017" s="1042"/>
      <c r="B2017" s="1045"/>
      <c r="C2017" s="1046"/>
      <c r="D2017" s="50"/>
      <c r="E2017" s="242"/>
      <c r="F2017" s="275"/>
      <c r="G2017" s="52"/>
      <c r="H2017" s="49"/>
      <c r="I2017" s="49"/>
      <c r="J2017" s="49"/>
      <c r="K2017" s="49"/>
    </row>
    <row r="2018" spans="1:11" s="7" customFormat="1" ht="15" hidden="1" thickBot="1">
      <c r="A2018" s="64"/>
      <c r="B2018" s="1066"/>
      <c r="C2018" s="1067"/>
      <c r="D2018" s="54"/>
      <c r="E2018" s="245"/>
      <c r="F2018" s="276"/>
      <c r="G2018" s="65"/>
      <c r="H2018" s="49"/>
      <c r="I2018" s="49"/>
      <c r="J2018" s="49"/>
      <c r="K2018" s="49"/>
    </row>
    <row r="2019" spans="1:11" s="7" customFormat="1" ht="15" hidden="1" thickBot="1">
      <c r="A2019" s="64"/>
      <c r="B2019" s="1066"/>
      <c r="C2019" s="1067"/>
      <c r="D2019" s="54"/>
      <c r="E2019" s="245"/>
      <c r="F2019" s="276"/>
      <c r="G2019" s="65"/>
      <c r="H2019" s="49"/>
      <c r="I2019" s="49"/>
      <c r="J2019" s="49"/>
      <c r="K2019" s="49"/>
    </row>
    <row r="2020" spans="1:11" s="7" customFormat="1" ht="15" hidden="1" thickBot="1">
      <c r="A2020" s="66"/>
      <c r="B2020" s="1085"/>
      <c r="C2020" s="1086"/>
      <c r="D2020" s="67"/>
      <c r="E2020" s="245"/>
      <c r="F2020" s="276"/>
      <c r="G2020" s="68"/>
      <c r="H2020" s="49"/>
      <c r="I2020" s="49"/>
      <c r="J2020" s="49"/>
      <c r="K2020" s="49"/>
    </row>
    <row r="2021" spans="1:11" s="7" customFormat="1" ht="15" hidden="1" thickBot="1">
      <c r="A2021" s="1072"/>
      <c r="B2021" s="1073"/>
      <c r="C2021" s="1074"/>
      <c r="D2021" s="1052"/>
      <c r="E2021" s="1052"/>
      <c r="F2021" s="1052"/>
      <c r="G2021" s="35"/>
      <c r="H2021" s="49"/>
      <c r="I2021" s="49"/>
      <c r="J2021" s="49"/>
      <c r="K2021" s="49"/>
    </row>
    <row r="2022" spans="1:11" s="7" customFormat="1" ht="15" hidden="1" thickBot="1">
      <c r="A2022" s="1042"/>
      <c r="B2022" s="1043"/>
      <c r="C2022" s="1043"/>
      <c r="D2022" s="1043"/>
      <c r="E2022" s="1043"/>
      <c r="F2022" s="1043"/>
      <c r="G2022" s="1044"/>
      <c r="H2022" s="49"/>
      <c r="I2022" s="49"/>
      <c r="J2022" s="49"/>
      <c r="K2022" s="49"/>
    </row>
    <row r="2023" spans="1:11" s="7" customFormat="1" ht="15" hidden="1" thickBot="1">
      <c r="A2023" s="1042"/>
      <c r="B2023" s="1045"/>
      <c r="C2023" s="1046"/>
      <c r="D2023" s="50"/>
      <c r="E2023" s="242"/>
      <c r="F2023" s="275"/>
      <c r="G2023" s="52"/>
      <c r="H2023" s="49"/>
      <c r="I2023" s="49"/>
      <c r="J2023" s="49"/>
      <c r="K2023" s="49"/>
    </row>
    <row r="2024" spans="1:11" s="7" customFormat="1" hidden="1">
      <c r="A2024" s="69"/>
      <c r="B2024" s="938"/>
      <c r="C2024" s="939"/>
      <c r="D2024" s="70"/>
      <c r="E2024" s="246"/>
      <c r="F2024" s="281"/>
      <c r="G2024" s="71"/>
      <c r="H2024" s="49"/>
      <c r="I2024" s="49"/>
      <c r="J2024" s="49"/>
      <c r="K2024" s="49"/>
    </row>
    <row r="2025" spans="1:11" s="7" customFormat="1" ht="15" hidden="1" thickBot="1">
      <c r="A2025" s="72"/>
      <c r="B2025" s="1047"/>
      <c r="C2025" s="1048"/>
      <c r="D2025" s="73"/>
      <c r="E2025" s="247"/>
      <c r="F2025" s="279"/>
      <c r="G2025" s="74"/>
      <c r="H2025" s="49"/>
      <c r="I2025" s="49"/>
      <c r="J2025" s="49"/>
      <c r="K2025" s="49"/>
    </row>
    <row r="2026" spans="1:11" s="7" customFormat="1" ht="15" hidden="1" thickBot="1">
      <c r="A2026" s="1049"/>
      <c r="B2026" s="1050"/>
      <c r="C2026" s="1051"/>
      <c r="D2026" s="1052"/>
      <c r="E2026" s="1052"/>
      <c r="F2026" s="1052"/>
      <c r="G2026" s="35"/>
      <c r="H2026" s="49"/>
      <c r="I2026" s="49"/>
      <c r="J2026" s="49"/>
      <c r="K2026" s="49"/>
    </row>
    <row r="2027" spans="1:11" s="7" customFormat="1" ht="15" hidden="1" thickBot="1">
      <c r="A2027" s="1042"/>
      <c r="B2027" s="1043"/>
      <c r="C2027" s="1043"/>
      <c r="D2027" s="1043"/>
      <c r="E2027" s="1043"/>
      <c r="F2027" s="1043"/>
      <c r="G2027" s="1044"/>
      <c r="H2027" s="49"/>
      <c r="I2027" s="49"/>
      <c r="J2027" s="49"/>
      <c r="K2027" s="49"/>
    </row>
    <row r="2028" spans="1:11" s="7" customFormat="1" ht="15" hidden="1" thickBot="1">
      <c r="A2028" s="1042"/>
      <c r="B2028" s="1045"/>
      <c r="C2028" s="1046"/>
      <c r="D2028" s="50"/>
      <c r="E2028" s="242"/>
      <c r="F2028" s="280"/>
      <c r="G2028" s="52"/>
      <c r="H2028" s="49"/>
      <c r="I2028" s="49"/>
      <c r="J2028" s="49"/>
      <c r="K2028" s="49"/>
    </row>
    <row r="2029" spans="1:11" s="7" customFormat="1" ht="15" hidden="1" thickBot="1">
      <c r="A2029" s="69"/>
      <c r="B2029" s="1053"/>
      <c r="C2029" s="1054"/>
      <c r="D2029" s="70"/>
      <c r="E2029" s="243"/>
      <c r="F2029" s="281"/>
      <c r="G2029" s="71"/>
      <c r="H2029" s="49"/>
      <c r="I2029" s="49"/>
      <c r="J2029" s="49"/>
      <c r="K2029" s="49"/>
    </row>
    <row r="2030" spans="1:11" s="7" customFormat="1" ht="15" hidden="1" thickBot="1">
      <c r="A2030" s="69"/>
      <c r="B2030" s="1053"/>
      <c r="C2030" s="1054"/>
      <c r="D2030" s="70"/>
      <c r="E2030" s="243"/>
      <c r="F2030" s="281"/>
      <c r="G2030" s="71"/>
      <c r="H2030" s="49"/>
      <c r="I2030" s="49"/>
      <c r="J2030" s="49"/>
      <c r="K2030" s="49"/>
    </row>
    <row r="2031" spans="1:11" s="7" customFormat="1" hidden="1">
      <c r="A2031" s="76"/>
      <c r="B2031" s="1053"/>
      <c r="C2031" s="1054"/>
      <c r="D2031" s="70"/>
      <c r="E2031" s="248"/>
      <c r="F2031" s="282"/>
      <c r="G2031" s="71"/>
      <c r="H2031" s="49"/>
      <c r="I2031" s="49"/>
      <c r="J2031" s="49"/>
      <c r="K2031" s="49"/>
    </row>
    <row r="2032" spans="1:11" s="7" customFormat="1" ht="15" hidden="1" thickBot="1">
      <c r="A2032" s="1055"/>
      <c r="B2032" s="1056"/>
      <c r="C2032" s="1057"/>
      <c r="D2032" s="1058"/>
      <c r="E2032" s="1058"/>
      <c r="F2032" s="1058"/>
      <c r="G2032" s="36"/>
      <c r="H2032" s="49"/>
      <c r="I2032" s="49"/>
      <c r="J2032" s="49"/>
      <c r="K2032" s="49"/>
    </row>
    <row r="2033" spans="1:11" s="7" customFormat="1" ht="15" hidden="1" thickBot="1">
      <c r="A2033" s="1059"/>
      <c r="B2033" s="1059"/>
      <c r="C2033" s="1060"/>
      <c r="D2033" s="1061"/>
      <c r="E2033" s="1062"/>
      <c r="F2033" s="1062"/>
      <c r="G2033" s="78"/>
      <c r="H2033" s="49"/>
      <c r="I2033" s="49"/>
      <c r="J2033" s="49"/>
      <c r="K2033" s="49"/>
    </row>
    <row r="2034" spans="1:11" ht="15" hidden="1" thickBot="1">
      <c r="A2034" s="1006"/>
      <c r="B2034" s="1007"/>
      <c r="C2034" s="1007"/>
      <c r="D2034" s="1007"/>
      <c r="E2034" s="1007"/>
      <c r="F2034" s="272"/>
      <c r="G2034" s="43"/>
    </row>
    <row r="2035" spans="1:11" ht="15" hidden="1" customHeight="1" thickBot="1">
      <c r="A2035" s="953"/>
      <c r="B2035" s="954"/>
      <c r="C2035" s="954"/>
      <c r="D2035" s="954"/>
      <c r="E2035" s="955"/>
      <c r="F2035" s="273"/>
      <c r="G2035" s="45"/>
    </row>
    <row r="2036" spans="1:11" ht="22.5" hidden="1" customHeight="1" thickBot="1">
      <c r="A2036" s="956"/>
      <c r="B2036" s="957"/>
      <c r="C2036" s="957"/>
      <c r="D2036" s="957"/>
      <c r="E2036" s="958"/>
      <c r="F2036" s="273"/>
      <c r="G2036" s="46"/>
    </row>
    <row r="2037" spans="1:11" ht="15" hidden="1" collapsed="1" thickBot="1">
      <c r="A2037" s="959"/>
      <c r="B2037" s="960"/>
      <c r="C2037" s="960"/>
      <c r="D2037" s="960"/>
      <c r="E2037" s="961"/>
      <c r="F2037" s="274"/>
      <c r="G2037" s="48"/>
    </row>
    <row r="2038" spans="1:11" ht="15" hidden="1" thickBot="1">
      <c r="A2038" s="909"/>
      <c r="B2038" s="1009"/>
      <c r="C2038" s="1009"/>
      <c r="D2038" s="1009"/>
      <c r="E2038" s="1009"/>
      <c r="F2038" s="1009"/>
      <c r="G2038" s="1011"/>
    </row>
    <row r="2039" spans="1:11" ht="15" hidden="1" thickBot="1">
      <c r="A2039" s="1002"/>
      <c r="B2039" s="913"/>
      <c r="C2039" s="914"/>
      <c r="D2039" s="95"/>
      <c r="E2039" s="242"/>
      <c r="F2039" s="292"/>
      <c r="G2039" s="113"/>
    </row>
    <row r="2040" spans="1:11" hidden="1">
      <c r="A2040" s="114"/>
      <c r="B2040" s="930"/>
      <c r="C2040" s="931"/>
      <c r="D2040" s="88"/>
      <c r="E2040" s="243"/>
      <c r="F2040" s="293"/>
      <c r="G2040" s="117"/>
    </row>
    <row r="2041" spans="1:11" ht="15" hidden="1" thickBot="1">
      <c r="A2041" s="118"/>
      <c r="B2041" s="1012"/>
      <c r="C2041" s="1013"/>
      <c r="D2041" s="119"/>
      <c r="E2041" s="244"/>
      <c r="F2041" s="294"/>
      <c r="G2041" s="121"/>
    </row>
    <row r="2042" spans="1:11" ht="15" hidden="1" thickBot="1">
      <c r="A2042" s="1014"/>
      <c r="B2042" s="995"/>
      <c r="C2042" s="995"/>
      <c r="D2042" s="981"/>
      <c r="E2042" s="981"/>
      <c r="F2042" s="981"/>
      <c r="G2042" s="11"/>
    </row>
    <row r="2043" spans="1:11" ht="18.75" hidden="1" customHeight="1" thickBot="1">
      <c r="A2043" s="1002"/>
      <c r="B2043" s="983"/>
      <c r="C2043" s="983"/>
      <c r="D2043" s="983"/>
      <c r="E2043" s="983"/>
      <c r="F2043" s="983"/>
      <c r="G2043" s="1003"/>
    </row>
    <row r="2044" spans="1:11" s="7" customFormat="1" ht="13.5" hidden="1" thickBot="1">
      <c r="A2044" s="1002"/>
      <c r="B2044" s="913"/>
      <c r="C2044" s="914"/>
      <c r="D2044" s="95"/>
      <c r="E2044" s="242"/>
      <c r="F2044" s="292"/>
      <c r="G2044" s="113"/>
    </row>
    <row r="2045" spans="1:11" ht="15" hidden="1" thickBot="1">
      <c r="A2045" s="122"/>
      <c r="B2045" s="930"/>
      <c r="C2045" s="931"/>
      <c r="D2045" s="88"/>
      <c r="E2045" s="243"/>
      <c r="F2045" s="293"/>
      <c r="G2045" s="117"/>
    </row>
    <row r="2046" spans="1:11" ht="15" hidden="1" thickBot="1">
      <c r="A2046" s="123"/>
      <c r="B2046" s="976"/>
      <c r="C2046" s="977"/>
      <c r="D2046" s="88"/>
      <c r="E2046" s="243"/>
      <c r="F2046" s="293"/>
      <c r="G2046" s="124"/>
    </row>
    <row r="2047" spans="1:11" ht="17.25" hidden="1" customHeight="1" thickBot="1">
      <c r="A2047" s="1017"/>
      <c r="B2047" s="997"/>
      <c r="C2047" s="998"/>
      <c r="D2047" s="981"/>
      <c r="E2047" s="981"/>
      <c r="F2047" s="981"/>
      <c r="G2047" s="11"/>
      <c r="J2047" s="125"/>
      <c r="K2047" s="126"/>
    </row>
    <row r="2048" spans="1:11" ht="15" hidden="1" thickBot="1">
      <c r="A2048" s="1002"/>
      <c r="B2048" s="983"/>
      <c r="C2048" s="983"/>
      <c r="D2048" s="983"/>
      <c r="E2048" s="983"/>
      <c r="F2048" s="983"/>
      <c r="G2048" s="1003"/>
    </row>
    <row r="2049" spans="1:7" ht="15" hidden="1" thickBot="1">
      <c r="A2049" s="1002"/>
      <c r="B2049" s="913"/>
      <c r="C2049" s="914"/>
      <c r="D2049" s="95"/>
      <c r="E2049" s="242"/>
      <c r="F2049" s="286"/>
      <c r="G2049" s="113"/>
    </row>
    <row r="2050" spans="1:7" ht="27.75" hidden="1" customHeight="1">
      <c r="A2050" s="127"/>
      <c r="B2050" s="999"/>
      <c r="C2050" s="1000"/>
      <c r="D2050" s="128"/>
      <c r="E2050" s="246"/>
      <c r="F2050" s="295"/>
      <c r="G2050" s="129"/>
    </row>
    <row r="2051" spans="1:7" ht="10.5" hidden="1" customHeight="1" thickBot="1">
      <c r="A2051" s="130"/>
      <c r="B2051" s="942"/>
      <c r="C2051" s="943"/>
      <c r="D2051" s="104"/>
      <c r="E2051" s="247"/>
      <c r="F2051" s="288"/>
      <c r="G2051" s="131"/>
    </row>
    <row r="2052" spans="1:7" ht="15" hidden="1" thickBot="1">
      <c r="A2052" s="1001"/>
      <c r="B2052" s="979"/>
      <c r="C2052" s="980"/>
      <c r="D2052" s="981"/>
      <c r="E2052" s="981"/>
      <c r="F2052" s="981"/>
      <c r="G2052" s="11"/>
    </row>
    <row r="2053" spans="1:7" ht="15" hidden="1" thickBot="1">
      <c r="A2053" s="1002"/>
      <c r="B2053" s="983"/>
      <c r="C2053" s="983"/>
      <c r="D2053" s="983"/>
      <c r="E2053" s="983"/>
      <c r="F2053" s="983"/>
      <c r="G2053" s="1003"/>
    </row>
    <row r="2054" spans="1:7" ht="15" hidden="1" thickBot="1">
      <c r="A2054" s="1002"/>
      <c r="B2054" s="913"/>
      <c r="C2054" s="914"/>
      <c r="D2054" s="95"/>
      <c r="E2054" s="242"/>
      <c r="F2054" s="289"/>
      <c r="G2054" s="113"/>
    </row>
    <row r="2055" spans="1:7" ht="15" hidden="1" thickBot="1">
      <c r="A2055" s="127"/>
      <c r="B2055" s="1075"/>
      <c r="C2055" s="1076"/>
      <c r="D2055" s="128"/>
      <c r="E2055" s="243"/>
      <c r="F2055" s="295"/>
      <c r="G2055" s="129"/>
    </row>
    <row r="2056" spans="1:7" hidden="1">
      <c r="A2056" s="132"/>
      <c r="B2056" s="133"/>
      <c r="C2056" s="134"/>
      <c r="D2056" s="135"/>
      <c r="E2056" s="248"/>
      <c r="F2056" s="296"/>
      <c r="G2056" s="129"/>
    </row>
    <row r="2057" spans="1:7" ht="15" hidden="1" thickBot="1">
      <c r="A2057" s="1004"/>
      <c r="B2057" s="988"/>
      <c r="C2057" s="989"/>
      <c r="D2057" s="990"/>
      <c r="E2057" s="990"/>
      <c r="F2057" s="990"/>
      <c r="G2057" s="12"/>
    </row>
    <row r="2058" spans="1:7" ht="15" hidden="1" thickBot="1">
      <c r="A2058" s="1005"/>
      <c r="B2058" s="1005"/>
      <c r="C2058" s="921"/>
      <c r="D2058" s="1041"/>
      <c r="E2058" s="1041"/>
      <c r="F2058" s="1041"/>
      <c r="G2058" s="137"/>
    </row>
    <row r="2059" spans="1:7" ht="15" hidden="1" thickBot="1">
      <c r="A2059" s="80"/>
      <c r="B2059" s="81"/>
      <c r="C2059" s="81"/>
      <c r="D2059" s="81"/>
      <c r="E2059" s="241"/>
      <c r="F2059" s="271"/>
      <c r="G2059" s="81"/>
    </row>
    <row r="2060" spans="1:7" ht="15" hidden="1" thickBot="1">
      <c r="A2060" s="1006"/>
      <c r="B2060" s="1007"/>
      <c r="C2060" s="1007"/>
      <c r="D2060" s="1007"/>
      <c r="E2060" s="1007"/>
      <c r="F2060" s="272"/>
      <c r="G2060" s="43"/>
    </row>
    <row r="2061" spans="1:7" ht="15" hidden="1" customHeight="1" thickBot="1">
      <c r="A2061" s="953"/>
      <c r="B2061" s="954"/>
      <c r="C2061" s="954"/>
      <c r="D2061" s="954"/>
      <c r="E2061" s="955"/>
      <c r="F2061" s="273"/>
      <c r="G2061" s="45"/>
    </row>
    <row r="2062" spans="1:7" ht="22.5" hidden="1" customHeight="1" thickBot="1">
      <c r="A2062" s="956"/>
      <c r="B2062" s="957"/>
      <c r="C2062" s="957"/>
      <c r="D2062" s="957"/>
      <c r="E2062" s="958"/>
      <c r="F2062" s="273"/>
      <c r="G2062" s="46"/>
    </row>
    <row r="2063" spans="1:7" ht="15" hidden="1" collapsed="1" thickBot="1">
      <c r="A2063" s="959"/>
      <c r="B2063" s="960"/>
      <c r="C2063" s="960"/>
      <c r="D2063" s="960"/>
      <c r="E2063" s="961"/>
      <c r="F2063" s="274"/>
      <c r="G2063" s="48"/>
    </row>
    <row r="2064" spans="1:7" ht="15" hidden="1" thickBot="1">
      <c r="A2064" s="909"/>
      <c r="B2064" s="1009"/>
      <c r="C2064" s="1009"/>
      <c r="D2064" s="1009"/>
      <c r="E2064" s="1009"/>
      <c r="F2064" s="1009"/>
      <c r="G2064" s="1011"/>
    </row>
    <row r="2065" spans="1:11" ht="15" hidden="1" thickBot="1">
      <c r="A2065" s="1002"/>
      <c r="B2065" s="913"/>
      <c r="C2065" s="914"/>
      <c r="D2065" s="95"/>
      <c r="E2065" s="242"/>
      <c r="F2065" s="292"/>
      <c r="G2065" s="113"/>
    </row>
    <row r="2066" spans="1:11" hidden="1">
      <c r="A2066" s="114"/>
      <c r="B2066" s="930"/>
      <c r="C2066" s="931"/>
      <c r="D2066" s="88"/>
      <c r="E2066" s="243"/>
      <c r="F2066" s="293"/>
      <c r="G2066" s="117"/>
    </row>
    <row r="2067" spans="1:11" ht="15" hidden="1" thickBot="1">
      <c r="A2067" s="118"/>
      <c r="B2067" s="1012"/>
      <c r="C2067" s="1013"/>
      <c r="D2067" s="119"/>
      <c r="E2067" s="244"/>
      <c r="F2067" s="294"/>
      <c r="G2067" s="121"/>
    </row>
    <row r="2068" spans="1:11" ht="15" hidden="1" thickBot="1">
      <c r="A2068" s="1014"/>
      <c r="B2068" s="995"/>
      <c r="C2068" s="995"/>
      <c r="D2068" s="981"/>
      <c r="E2068" s="981"/>
      <c r="F2068" s="981"/>
      <c r="G2068" s="11"/>
    </row>
    <row r="2069" spans="1:11" ht="18.75" hidden="1" customHeight="1" thickBot="1">
      <c r="A2069" s="1002"/>
      <c r="B2069" s="983"/>
      <c r="C2069" s="983"/>
      <c r="D2069" s="983"/>
      <c r="E2069" s="983"/>
      <c r="F2069" s="983"/>
      <c r="G2069" s="1003"/>
    </row>
    <row r="2070" spans="1:11" s="7" customFormat="1" ht="13.5" hidden="1" thickBot="1">
      <c r="A2070" s="1002"/>
      <c r="B2070" s="913"/>
      <c r="C2070" s="914"/>
      <c r="D2070" s="95"/>
      <c r="E2070" s="242"/>
      <c r="F2070" s="292"/>
      <c r="G2070" s="113"/>
    </row>
    <row r="2071" spans="1:11" ht="15" hidden="1" thickBot="1">
      <c r="A2071" s="122"/>
      <c r="B2071" s="930"/>
      <c r="C2071" s="931"/>
      <c r="D2071" s="88"/>
      <c r="E2071" s="243"/>
      <c r="F2071" s="293"/>
      <c r="G2071" s="117"/>
    </row>
    <row r="2072" spans="1:11" ht="15" hidden="1" thickBot="1">
      <c r="A2072" s="123"/>
      <c r="B2072" s="976"/>
      <c r="C2072" s="977"/>
      <c r="D2072" s="88"/>
      <c r="E2072" s="243"/>
      <c r="F2072" s="293"/>
      <c r="G2072" s="124"/>
    </row>
    <row r="2073" spans="1:11" ht="17.25" hidden="1" customHeight="1" thickBot="1">
      <c r="A2073" s="1017"/>
      <c r="B2073" s="997"/>
      <c r="C2073" s="998"/>
      <c r="D2073" s="981"/>
      <c r="E2073" s="981"/>
      <c r="F2073" s="981"/>
      <c r="G2073" s="11"/>
      <c r="J2073" s="125"/>
      <c r="K2073" s="126"/>
    </row>
    <row r="2074" spans="1:11" ht="15" hidden="1" thickBot="1">
      <c r="A2074" s="1002"/>
      <c r="B2074" s="983"/>
      <c r="C2074" s="983"/>
      <c r="D2074" s="983"/>
      <c r="E2074" s="983"/>
      <c r="F2074" s="983"/>
      <c r="G2074" s="1003"/>
    </row>
    <row r="2075" spans="1:11" ht="15" hidden="1" thickBot="1">
      <c r="A2075" s="1002"/>
      <c r="B2075" s="913"/>
      <c r="C2075" s="914"/>
      <c r="D2075" s="95"/>
      <c r="E2075" s="242"/>
      <c r="F2075" s="286"/>
      <c r="G2075" s="113"/>
    </row>
    <row r="2076" spans="1:11" ht="27.75" hidden="1" customHeight="1">
      <c r="A2076" s="127"/>
      <c r="B2076" s="999"/>
      <c r="C2076" s="1000"/>
      <c r="D2076" s="128"/>
      <c r="E2076" s="246"/>
      <c r="F2076" s="295"/>
      <c r="G2076" s="129"/>
    </row>
    <row r="2077" spans="1:11" ht="15" hidden="1" thickBot="1">
      <c r="A2077" s="130"/>
      <c r="B2077" s="942"/>
      <c r="C2077" s="943"/>
      <c r="D2077" s="104"/>
      <c r="E2077" s="247"/>
      <c r="F2077" s="288"/>
      <c r="G2077" s="131"/>
    </row>
    <row r="2078" spans="1:11" ht="15" hidden="1" thickBot="1">
      <c r="A2078" s="1001"/>
      <c r="B2078" s="979"/>
      <c r="C2078" s="980"/>
      <c r="D2078" s="981"/>
      <c r="E2078" s="981"/>
      <c r="F2078" s="981"/>
      <c r="G2078" s="11"/>
    </row>
    <row r="2079" spans="1:11" ht="15" hidden="1" thickBot="1">
      <c r="A2079" s="1002"/>
      <c r="B2079" s="983"/>
      <c r="C2079" s="983"/>
      <c r="D2079" s="983"/>
      <c r="E2079" s="983"/>
      <c r="F2079" s="983"/>
      <c r="G2079" s="1003"/>
    </row>
    <row r="2080" spans="1:11" ht="15" hidden="1" thickBot="1">
      <c r="A2080" s="1002"/>
      <c r="B2080" s="913"/>
      <c r="C2080" s="914"/>
      <c r="D2080" s="95"/>
      <c r="E2080" s="242"/>
      <c r="F2080" s="289"/>
      <c r="G2080" s="113"/>
    </row>
    <row r="2081" spans="1:7" ht="15" hidden="1" thickBot="1">
      <c r="A2081" s="127"/>
      <c r="B2081" s="1075"/>
      <c r="C2081" s="1076"/>
      <c r="D2081" s="128"/>
      <c r="E2081" s="243"/>
      <c r="F2081" s="295"/>
      <c r="G2081" s="129"/>
    </row>
    <row r="2082" spans="1:7" hidden="1">
      <c r="A2082" s="132"/>
      <c r="B2082" s="133"/>
      <c r="C2082" s="134"/>
      <c r="D2082" s="135"/>
      <c r="E2082" s="248"/>
      <c r="F2082" s="296"/>
      <c r="G2082" s="129"/>
    </row>
    <row r="2083" spans="1:7" ht="15" hidden="1" thickBot="1">
      <c r="A2083" s="1004"/>
      <c r="B2083" s="988"/>
      <c r="C2083" s="989"/>
      <c r="D2083" s="990"/>
      <c r="E2083" s="990"/>
      <c r="F2083" s="990"/>
      <c r="G2083" s="12"/>
    </row>
    <row r="2084" spans="1:7" ht="15" hidden="1" thickBot="1">
      <c r="A2084" s="1005"/>
      <c r="B2084" s="1005"/>
      <c r="C2084" s="921"/>
      <c r="D2084" s="1041"/>
      <c r="E2084" s="1041"/>
      <c r="F2084" s="1041"/>
      <c r="G2084" s="137"/>
    </row>
    <row r="2085" spans="1:7" hidden="1">
      <c r="A2085" s="80"/>
      <c r="B2085" s="81"/>
      <c r="C2085" s="81"/>
      <c r="D2085" s="81"/>
      <c r="E2085" s="241"/>
      <c r="F2085" s="271"/>
      <c r="G2085" s="81"/>
    </row>
    <row r="2086" spans="1:7" ht="15" hidden="1" thickBot="1">
      <c r="A2086" s="83"/>
      <c r="B2086" s="84"/>
      <c r="C2086" s="84"/>
      <c r="D2086" s="85"/>
      <c r="E2086" s="249"/>
      <c r="F2086" s="291"/>
      <c r="G2086" s="86"/>
    </row>
    <row r="2087" spans="1:7" ht="15" hidden="1" thickBot="1">
      <c r="A2087" s="1006"/>
      <c r="B2087" s="1007"/>
      <c r="C2087" s="1007"/>
      <c r="D2087" s="1007"/>
      <c r="E2087" s="1007"/>
      <c r="F2087" s="272"/>
      <c r="G2087" s="43"/>
    </row>
    <row r="2088" spans="1:7" ht="15" hidden="1" customHeight="1" thickBot="1">
      <c r="A2088" s="953"/>
      <c r="B2088" s="954"/>
      <c r="C2088" s="954"/>
      <c r="D2088" s="954"/>
      <c r="E2088" s="955"/>
      <c r="F2088" s="273"/>
      <c r="G2088" s="45"/>
    </row>
    <row r="2089" spans="1:7" ht="22.5" hidden="1" customHeight="1" thickBot="1">
      <c r="A2089" s="956"/>
      <c r="B2089" s="957"/>
      <c r="C2089" s="957"/>
      <c r="D2089" s="957"/>
      <c r="E2089" s="958"/>
      <c r="F2089" s="273"/>
      <c r="G2089" s="46"/>
    </row>
    <row r="2090" spans="1:7" ht="15" hidden="1" collapsed="1" thickBot="1">
      <c r="A2090" s="959"/>
      <c r="B2090" s="960"/>
      <c r="C2090" s="960"/>
      <c r="D2090" s="960"/>
      <c r="E2090" s="961"/>
      <c r="F2090" s="274"/>
      <c r="G2090" s="48"/>
    </row>
    <row r="2091" spans="1:7" ht="15" hidden="1" thickBot="1">
      <c r="A2091" s="909"/>
      <c r="B2091" s="1009"/>
      <c r="C2091" s="1009"/>
      <c r="D2091" s="1009"/>
      <c r="E2091" s="1009"/>
      <c r="F2091" s="1009"/>
      <c r="G2091" s="1011"/>
    </row>
    <row r="2092" spans="1:7" ht="15" hidden="1" thickBot="1">
      <c r="A2092" s="1002"/>
      <c r="B2092" s="913"/>
      <c r="C2092" s="914"/>
      <c r="D2092" s="95"/>
      <c r="E2092" s="242"/>
      <c r="F2092" s="292"/>
      <c r="G2092" s="113"/>
    </row>
    <row r="2093" spans="1:7" hidden="1">
      <c r="A2093" s="114"/>
      <c r="B2093" s="930"/>
      <c r="C2093" s="931"/>
      <c r="D2093" s="88"/>
      <c r="E2093" s="243"/>
      <c r="F2093" s="293"/>
      <c r="G2093" s="117"/>
    </row>
    <row r="2094" spans="1:7" ht="15" hidden="1" thickBot="1">
      <c r="A2094" s="118"/>
      <c r="B2094" s="1012"/>
      <c r="C2094" s="1013"/>
      <c r="D2094" s="119"/>
      <c r="E2094" s="244"/>
      <c r="F2094" s="294"/>
      <c r="G2094" s="121"/>
    </row>
    <row r="2095" spans="1:7" ht="15" hidden="1" thickBot="1">
      <c r="A2095" s="1014"/>
      <c r="B2095" s="995"/>
      <c r="C2095" s="995"/>
      <c r="D2095" s="981"/>
      <c r="E2095" s="981"/>
      <c r="F2095" s="981"/>
      <c r="G2095" s="11"/>
    </row>
    <row r="2096" spans="1:7" ht="18.75" hidden="1" customHeight="1" thickBot="1">
      <c r="A2096" s="1002"/>
      <c r="B2096" s="983"/>
      <c r="C2096" s="983"/>
      <c r="D2096" s="983"/>
      <c r="E2096" s="983"/>
      <c r="F2096" s="983"/>
      <c r="G2096" s="1003"/>
    </row>
    <row r="2097" spans="1:11" s="7" customFormat="1" ht="13.5" hidden="1" thickBot="1">
      <c r="A2097" s="1002"/>
      <c r="B2097" s="913"/>
      <c r="C2097" s="914"/>
      <c r="D2097" s="95"/>
      <c r="E2097" s="242"/>
      <c r="F2097" s="292"/>
      <c r="G2097" s="113"/>
    </row>
    <row r="2098" spans="1:11" ht="15" hidden="1" thickBot="1">
      <c r="A2098" s="122"/>
      <c r="B2098" s="930"/>
      <c r="C2098" s="931"/>
      <c r="D2098" s="88"/>
      <c r="E2098" s="243"/>
      <c r="F2098" s="293"/>
      <c r="G2098" s="117"/>
    </row>
    <row r="2099" spans="1:11" ht="15" hidden="1" thickBot="1">
      <c r="A2099" s="123"/>
      <c r="B2099" s="976"/>
      <c r="C2099" s="977"/>
      <c r="D2099" s="88"/>
      <c r="E2099" s="243"/>
      <c r="F2099" s="293"/>
      <c r="G2099" s="124"/>
    </row>
    <row r="2100" spans="1:11" ht="17.25" hidden="1" customHeight="1" thickBot="1">
      <c r="A2100" s="1017"/>
      <c r="B2100" s="997"/>
      <c r="C2100" s="998"/>
      <c r="D2100" s="981"/>
      <c r="E2100" s="981"/>
      <c r="F2100" s="981"/>
      <c r="G2100" s="11"/>
      <c r="J2100" s="125"/>
      <c r="K2100" s="126"/>
    </row>
    <row r="2101" spans="1:11" ht="15" hidden="1" thickBot="1">
      <c r="A2101" s="1002"/>
      <c r="B2101" s="983"/>
      <c r="C2101" s="983"/>
      <c r="D2101" s="983"/>
      <c r="E2101" s="983"/>
      <c r="F2101" s="983"/>
      <c r="G2101" s="1003"/>
    </row>
    <row r="2102" spans="1:11" ht="15" hidden="1" thickBot="1">
      <c r="A2102" s="1002"/>
      <c r="B2102" s="913"/>
      <c r="C2102" s="914"/>
      <c r="D2102" s="95"/>
      <c r="E2102" s="242"/>
      <c r="F2102" s="286"/>
      <c r="G2102" s="113"/>
    </row>
    <row r="2103" spans="1:11" ht="27.75" hidden="1" customHeight="1">
      <c r="A2103" s="127"/>
      <c r="B2103" s="999"/>
      <c r="C2103" s="1000"/>
      <c r="D2103" s="128"/>
      <c r="E2103" s="246"/>
      <c r="F2103" s="295"/>
      <c r="G2103" s="129"/>
    </row>
    <row r="2104" spans="1:11" ht="15" hidden="1" thickBot="1">
      <c r="A2104" s="130"/>
      <c r="B2104" s="942"/>
      <c r="C2104" s="943"/>
      <c r="D2104" s="104"/>
      <c r="E2104" s="247"/>
      <c r="F2104" s="288"/>
      <c r="G2104" s="131"/>
    </row>
    <row r="2105" spans="1:11" ht="15" hidden="1" thickBot="1">
      <c r="A2105" s="1001"/>
      <c r="B2105" s="979"/>
      <c r="C2105" s="980"/>
      <c r="D2105" s="981"/>
      <c r="E2105" s="981"/>
      <c r="F2105" s="981"/>
      <c r="G2105" s="11"/>
    </row>
    <row r="2106" spans="1:11" ht="15" hidden="1" thickBot="1">
      <c r="A2106" s="1002"/>
      <c r="B2106" s="983"/>
      <c r="C2106" s="983"/>
      <c r="D2106" s="983"/>
      <c r="E2106" s="983"/>
      <c r="F2106" s="983"/>
      <c r="G2106" s="1003"/>
    </row>
    <row r="2107" spans="1:11" ht="15" hidden="1" thickBot="1">
      <c r="A2107" s="1002"/>
      <c r="B2107" s="913"/>
      <c r="C2107" s="914"/>
      <c r="D2107" s="95"/>
      <c r="E2107" s="242"/>
      <c r="F2107" s="289"/>
      <c r="G2107" s="113"/>
    </row>
    <row r="2108" spans="1:11" ht="15" hidden="1" thickBot="1">
      <c r="A2108" s="127"/>
      <c r="B2108" s="1075"/>
      <c r="C2108" s="1076"/>
      <c r="D2108" s="128"/>
      <c r="E2108" s="243"/>
      <c r="F2108" s="295"/>
      <c r="G2108" s="129"/>
    </row>
    <row r="2109" spans="1:11" hidden="1">
      <c r="A2109" s="132"/>
      <c r="B2109" s="133"/>
      <c r="C2109" s="134"/>
      <c r="D2109" s="135"/>
      <c r="E2109" s="248"/>
      <c r="F2109" s="296"/>
      <c r="G2109" s="129"/>
    </row>
    <row r="2110" spans="1:11" ht="15" hidden="1" thickBot="1">
      <c r="A2110" s="1004"/>
      <c r="B2110" s="988"/>
      <c r="C2110" s="989"/>
      <c r="D2110" s="990"/>
      <c r="E2110" s="990"/>
      <c r="F2110" s="990"/>
      <c r="G2110" s="12"/>
    </row>
    <row r="2111" spans="1:11" ht="15" hidden="1" thickBot="1">
      <c r="A2111" s="1005"/>
      <c r="B2111" s="1005"/>
      <c r="C2111" s="921"/>
      <c r="D2111" s="1041"/>
      <c r="E2111" s="1041"/>
      <c r="F2111" s="1041"/>
      <c r="G2111" s="137"/>
    </row>
    <row r="2112" spans="1:11" hidden="1">
      <c r="A2112" s="80"/>
      <c r="B2112" s="81"/>
      <c r="C2112" s="81"/>
      <c r="D2112" s="81"/>
      <c r="E2112" s="241"/>
      <c r="F2112" s="271"/>
      <c r="G2112" s="81"/>
    </row>
    <row r="2113" spans="1:11" ht="15" hidden="1" thickBot="1">
      <c r="A2113" s="83"/>
      <c r="B2113" s="84"/>
      <c r="C2113" s="84"/>
      <c r="D2113" s="85"/>
      <c r="E2113" s="249"/>
      <c r="F2113" s="291"/>
      <c r="G2113" s="86"/>
    </row>
    <row r="2114" spans="1:11" ht="15" hidden="1" thickBot="1">
      <c r="A2114" s="1006"/>
      <c r="B2114" s="1007"/>
      <c r="C2114" s="1007"/>
      <c r="D2114" s="1007"/>
      <c r="E2114" s="1007"/>
      <c r="F2114" s="272"/>
      <c r="G2114" s="43"/>
    </row>
    <row r="2115" spans="1:11" ht="15" hidden="1" customHeight="1" thickBot="1">
      <c r="A2115" s="953"/>
      <c r="B2115" s="954"/>
      <c r="C2115" s="954"/>
      <c r="D2115" s="954"/>
      <c r="E2115" s="955"/>
      <c r="F2115" s="273"/>
      <c r="G2115" s="45"/>
    </row>
    <row r="2116" spans="1:11" ht="22.5" hidden="1" customHeight="1" thickBot="1">
      <c r="A2116" s="956"/>
      <c r="B2116" s="957"/>
      <c r="C2116" s="957"/>
      <c r="D2116" s="957"/>
      <c r="E2116" s="958"/>
      <c r="F2116" s="273"/>
      <c r="G2116" s="46"/>
    </row>
    <row r="2117" spans="1:11" ht="15" hidden="1" collapsed="1" thickBot="1">
      <c r="A2117" s="959"/>
      <c r="B2117" s="960"/>
      <c r="C2117" s="960"/>
      <c r="D2117" s="960"/>
      <c r="E2117" s="961"/>
      <c r="F2117" s="274"/>
      <c r="G2117" s="48"/>
    </row>
    <row r="2118" spans="1:11" ht="15" hidden="1" thickBot="1">
      <c r="A2118" s="909"/>
      <c r="B2118" s="1009"/>
      <c r="C2118" s="1009"/>
      <c r="D2118" s="1009"/>
      <c r="E2118" s="1009"/>
      <c r="F2118" s="1009"/>
      <c r="G2118" s="1011"/>
    </row>
    <row r="2119" spans="1:11" ht="15" hidden="1" thickBot="1">
      <c r="A2119" s="1002"/>
      <c r="B2119" s="913"/>
      <c r="C2119" s="914"/>
      <c r="D2119" s="95"/>
      <c r="E2119" s="242"/>
      <c r="F2119" s="292"/>
      <c r="G2119" s="113"/>
    </row>
    <row r="2120" spans="1:11" hidden="1">
      <c r="A2120" s="114"/>
      <c r="B2120" s="930"/>
      <c r="C2120" s="931"/>
      <c r="D2120" s="88"/>
      <c r="E2120" s="243"/>
      <c r="F2120" s="293"/>
      <c r="G2120" s="117"/>
    </row>
    <row r="2121" spans="1:11" ht="15" hidden="1" thickBot="1">
      <c r="A2121" s="118"/>
      <c r="B2121" s="1012"/>
      <c r="C2121" s="1013"/>
      <c r="D2121" s="119"/>
      <c r="E2121" s="244"/>
      <c r="F2121" s="294"/>
      <c r="G2121" s="121"/>
    </row>
    <row r="2122" spans="1:11" ht="15" hidden="1" thickBot="1">
      <c r="A2122" s="1014"/>
      <c r="B2122" s="995"/>
      <c r="C2122" s="995"/>
      <c r="D2122" s="981"/>
      <c r="E2122" s="981"/>
      <c r="F2122" s="981"/>
      <c r="G2122" s="11"/>
    </row>
    <row r="2123" spans="1:11" ht="18.75" hidden="1" customHeight="1" thickBot="1">
      <c r="A2123" s="1002"/>
      <c r="B2123" s="983"/>
      <c r="C2123" s="983"/>
      <c r="D2123" s="983"/>
      <c r="E2123" s="983"/>
      <c r="F2123" s="983"/>
      <c r="G2123" s="1003"/>
    </row>
    <row r="2124" spans="1:11" s="7" customFormat="1" ht="13.5" hidden="1" thickBot="1">
      <c r="A2124" s="1002"/>
      <c r="B2124" s="913"/>
      <c r="C2124" s="914"/>
      <c r="D2124" s="95"/>
      <c r="E2124" s="242"/>
      <c r="F2124" s="292"/>
      <c r="G2124" s="113"/>
    </row>
    <row r="2125" spans="1:11" ht="15" hidden="1" thickBot="1">
      <c r="A2125" s="122"/>
      <c r="B2125" s="930"/>
      <c r="C2125" s="931"/>
      <c r="D2125" s="88"/>
      <c r="E2125" s="243"/>
      <c r="F2125" s="293"/>
      <c r="G2125" s="117"/>
    </row>
    <row r="2126" spans="1:11" ht="15" hidden="1" thickBot="1">
      <c r="A2126" s="123"/>
      <c r="B2126" s="976"/>
      <c r="C2126" s="977"/>
      <c r="D2126" s="88"/>
      <c r="E2126" s="243"/>
      <c r="F2126" s="293"/>
      <c r="G2126" s="124"/>
    </row>
    <row r="2127" spans="1:11" ht="17.25" hidden="1" customHeight="1" thickBot="1">
      <c r="A2127" s="1017"/>
      <c r="B2127" s="997"/>
      <c r="C2127" s="998"/>
      <c r="D2127" s="981"/>
      <c r="E2127" s="981"/>
      <c r="F2127" s="981"/>
      <c r="G2127" s="11"/>
      <c r="J2127" s="125"/>
      <c r="K2127" s="126"/>
    </row>
    <row r="2128" spans="1:11" ht="15" hidden="1" thickBot="1">
      <c r="A2128" s="1002"/>
      <c r="B2128" s="983"/>
      <c r="C2128" s="983"/>
      <c r="D2128" s="983"/>
      <c r="E2128" s="983"/>
      <c r="F2128" s="983"/>
      <c r="G2128" s="1003"/>
    </row>
    <row r="2129" spans="1:7" ht="15" hidden="1" thickBot="1">
      <c r="A2129" s="1002"/>
      <c r="B2129" s="913"/>
      <c r="C2129" s="914"/>
      <c r="D2129" s="95"/>
      <c r="E2129" s="242"/>
      <c r="F2129" s="286"/>
      <c r="G2129" s="113"/>
    </row>
    <row r="2130" spans="1:7" ht="27.75" hidden="1" customHeight="1">
      <c r="A2130" s="127"/>
      <c r="B2130" s="999"/>
      <c r="C2130" s="1000"/>
      <c r="D2130" s="128"/>
      <c r="E2130" s="246"/>
      <c r="F2130" s="295"/>
      <c r="G2130" s="129"/>
    </row>
    <row r="2131" spans="1:7" ht="15" hidden="1" thickBot="1">
      <c r="A2131" s="130"/>
      <c r="B2131" s="942"/>
      <c r="C2131" s="943"/>
      <c r="D2131" s="104"/>
      <c r="E2131" s="247"/>
      <c r="F2131" s="288"/>
      <c r="G2131" s="131"/>
    </row>
    <row r="2132" spans="1:7" ht="15" hidden="1" thickBot="1">
      <c r="A2132" s="1001"/>
      <c r="B2132" s="979"/>
      <c r="C2132" s="980"/>
      <c r="D2132" s="981"/>
      <c r="E2132" s="981"/>
      <c r="F2132" s="981"/>
      <c r="G2132" s="11"/>
    </row>
    <row r="2133" spans="1:7" ht="15" hidden="1" thickBot="1">
      <c r="A2133" s="1002"/>
      <c r="B2133" s="983"/>
      <c r="C2133" s="983"/>
      <c r="D2133" s="983"/>
      <c r="E2133" s="983"/>
      <c r="F2133" s="983"/>
      <c r="G2133" s="1003"/>
    </row>
    <row r="2134" spans="1:7" ht="15" hidden="1" thickBot="1">
      <c r="A2134" s="1002"/>
      <c r="B2134" s="913"/>
      <c r="C2134" s="914"/>
      <c r="D2134" s="95"/>
      <c r="E2134" s="242"/>
      <c r="F2134" s="289"/>
      <c r="G2134" s="113"/>
    </row>
    <row r="2135" spans="1:7" ht="15" hidden="1" thickBot="1">
      <c r="A2135" s="127"/>
      <c r="B2135" s="1075"/>
      <c r="C2135" s="1076"/>
      <c r="D2135" s="128"/>
      <c r="E2135" s="243"/>
      <c r="F2135" s="295"/>
      <c r="G2135" s="129"/>
    </row>
    <row r="2136" spans="1:7" hidden="1">
      <c r="A2136" s="132"/>
      <c r="B2136" s="133"/>
      <c r="C2136" s="134"/>
      <c r="D2136" s="135"/>
      <c r="E2136" s="248"/>
      <c r="F2136" s="296"/>
      <c r="G2136" s="129"/>
    </row>
    <row r="2137" spans="1:7" ht="15" hidden="1" thickBot="1">
      <c r="A2137" s="1004"/>
      <c r="B2137" s="988"/>
      <c r="C2137" s="989"/>
      <c r="D2137" s="990"/>
      <c r="E2137" s="990"/>
      <c r="F2137" s="990"/>
      <c r="G2137" s="12"/>
    </row>
    <row r="2138" spans="1:7" ht="15" hidden="1" thickBot="1">
      <c r="A2138" s="1005"/>
      <c r="B2138" s="1005"/>
      <c r="C2138" s="921"/>
      <c r="D2138" s="1041"/>
      <c r="E2138" s="1041"/>
      <c r="F2138" s="1041"/>
      <c r="G2138" s="137"/>
    </row>
    <row r="2139" spans="1:7" hidden="1">
      <c r="A2139" s="80"/>
      <c r="B2139" s="81"/>
      <c r="C2139" s="81"/>
      <c r="D2139" s="81"/>
      <c r="E2139" s="241"/>
      <c r="F2139" s="271"/>
      <c r="G2139" s="81"/>
    </row>
    <row r="2140" spans="1:7" ht="15" hidden="1" thickBot="1">
      <c r="A2140" s="83"/>
      <c r="B2140" s="84"/>
      <c r="C2140" s="84"/>
      <c r="D2140" s="85"/>
      <c r="E2140" s="249"/>
      <c r="F2140" s="291"/>
      <c r="G2140" s="86"/>
    </row>
    <row r="2141" spans="1:7" ht="15" hidden="1" thickBot="1">
      <c r="A2141" s="1006"/>
      <c r="B2141" s="1007"/>
      <c r="C2141" s="1007"/>
      <c r="D2141" s="1007"/>
      <c r="E2141" s="1007"/>
      <c r="F2141" s="272"/>
      <c r="G2141" s="43"/>
    </row>
    <row r="2142" spans="1:7" ht="15" hidden="1" customHeight="1" thickBot="1">
      <c r="A2142" s="953"/>
      <c r="B2142" s="954"/>
      <c r="C2142" s="954"/>
      <c r="D2142" s="954"/>
      <c r="E2142" s="955"/>
      <c r="F2142" s="273"/>
      <c r="G2142" s="45"/>
    </row>
    <row r="2143" spans="1:7" ht="22.5" hidden="1" customHeight="1" thickBot="1">
      <c r="A2143" s="956"/>
      <c r="B2143" s="957"/>
      <c r="C2143" s="957"/>
      <c r="D2143" s="957"/>
      <c r="E2143" s="958"/>
      <c r="F2143" s="273"/>
      <c r="G2143" s="46"/>
    </row>
    <row r="2144" spans="1:7" ht="15" hidden="1" collapsed="1" thickBot="1">
      <c r="A2144" s="959"/>
      <c r="B2144" s="960"/>
      <c r="C2144" s="960"/>
      <c r="D2144" s="960"/>
      <c r="E2144" s="961"/>
      <c r="F2144" s="274"/>
      <c r="G2144" s="48"/>
    </row>
    <row r="2145" spans="1:11" ht="15" hidden="1" thickBot="1">
      <c r="A2145" s="909"/>
      <c r="B2145" s="1009"/>
      <c r="C2145" s="1009"/>
      <c r="D2145" s="1009"/>
      <c r="E2145" s="1009"/>
      <c r="F2145" s="1009"/>
      <c r="G2145" s="1011"/>
    </row>
    <row r="2146" spans="1:11" ht="15" hidden="1" thickBot="1">
      <c r="A2146" s="1002"/>
      <c r="B2146" s="913"/>
      <c r="C2146" s="914"/>
      <c r="D2146" s="95"/>
      <c r="E2146" s="242"/>
      <c r="F2146" s="292"/>
      <c r="G2146" s="113"/>
    </row>
    <row r="2147" spans="1:11" hidden="1">
      <c r="A2147" s="114"/>
      <c r="B2147" s="930"/>
      <c r="C2147" s="931"/>
      <c r="D2147" s="88"/>
      <c r="E2147" s="243"/>
      <c r="F2147" s="293"/>
      <c r="G2147" s="117"/>
    </row>
    <row r="2148" spans="1:11" ht="15" hidden="1" thickBot="1">
      <c r="A2148" s="118"/>
      <c r="B2148" s="1012"/>
      <c r="C2148" s="1013"/>
      <c r="D2148" s="119"/>
      <c r="E2148" s="244"/>
      <c r="F2148" s="294"/>
      <c r="G2148" s="121"/>
    </row>
    <row r="2149" spans="1:11" ht="15" hidden="1" thickBot="1">
      <c r="A2149" s="1014"/>
      <c r="B2149" s="995"/>
      <c r="C2149" s="995"/>
      <c r="D2149" s="981"/>
      <c r="E2149" s="981"/>
      <c r="F2149" s="981"/>
      <c r="G2149" s="11"/>
    </row>
    <row r="2150" spans="1:11" ht="18.75" hidden="1" customHeight="1" thickBot="1">
      <c r="A2150" s="1002"/>
      <c r="B2150" s="983"/>
      <c r="C2150" s="983"/>
      <c r="D2150" s="983"/>
      <c r="E2150" s="983"/>
      <c r="F2150" s="983"/>
      <c r="G2150" s="1003"/>
    </row>
    <row r="2151" spans="1:11" s="7" customFormat="1" ht="13.5" hidden="1" thickBot="1">
      <c r="A2151" s="1002"/>
      <c r="B2151" s="913"/>
      <c r="C2151" s="914"/>
      <c r="D2151" s="95"/>
      <c r="E2151" s="242"/>
      <c r="F2151" s="292"/>
      <c r="G2151" s="113"/>
    </row>
    <row r="2152" spans="1:11" ht="15" hidden="1" thickBot="1">
      <c r="A2152" s="122"/>
      <c r="B2152" s="930"/>
      <c r="C2152" s="931"/>
      <c r="D2152" s="88"/>
      <c r="E2152" s="243"/>
      <c r="F2152" s="293"/>
      <c r="G2152" s="117"/>
    </row>
    <row r="2153" spans="1:11" ht="15" hidden="1" thickBot="1">
      <c r="A2153" s="123"/>
      <c r="B2153" s="976"/>
      <c r="C2153" s="977"/>
      <c r="D2153" s="88"/>
      <c r="E2153" s="243"/>
      <c r="F2153" s="293"/>
      <c r="G2153" s="124"/>
    </row>
    <row r="2154" spans="1:11" ht="17.25" hidden="1" customHeight="1" thickBot="1">
      <c r="A2154" s="1017"/>
      <c r="B2154" s="997"/>
      <c r="C2154" s="998"/>
      <c r="D2154" s="981"/>
      <c r="E2154" s="981"/>
      <c r="F2154" s="981"/>
      <c r="G2154" s="11"/>
      <c r="J2154" s="125"/>
      <c r="K2154" s="126"/>
    </row>
    <row r="2155" spans="1:11" ht="15" hidden="1" thickBot="1">
      <c r="A2155" s="1002"/>
      <c r="B2155" s="983"/>
      <c r="C2155" s="983"/>
      <c r="D2155" s="983"/>
      <c r="E2155" s="983"/>
      <c r="F2155" s="983"/>
      <c r="G2155" s="1003"/>
    </row>
    <row r="2156" spans="1:11" ht="15" hidden="1" thickBot="1">
      <c r="A2156" s="1002"/>
      <c r="B2156" s="913"/>
      <c r="C2156" s="914"/>
      <c r="D2156" s="95"/>
      <c r="E2156" s="242"/>
      <c r="F2156" s="286"/>
      <c r="G2156" s="113"/>
    </row>
    <row r="2157" spans="1:11" ht="27.75" hidden="1" customHeight="1">
      <c r="A2157" s="127"/>
      <c r="B2157" s="999"/>
      <c r="C2157" s="1000"/>
      <c r="D2157" s="128"/>
      <c r="E2157" s="246"/>
      <c r="F2157" s="295"/>
      <c r="G2157" s="129"/>
    </row>
    <row r="2158" spans="1:11" ht="15" hidden="1" thickBot="1">
      <c r="A2158" s="130"/>
      <c r="B2158" s="942"/>
      <c r="C2158" s="943"/>
      <c r="D2158" s="104"/>
      <c r="E2158" s="247"/>
      <c r="F2158" s="288"/>
      <c r="G2158" s="131"/>
    </row>
    <row r="2159" spans="1:11" ht="15" hidden="1" thickBot="1">
      <c r="A2159" s="1001"/>
      <c r="B2159" s="979"/>
      <c r="C2159" s="980"/>
      <c r="D2159" s="981"/>
      <c r="E2159" s="981"/>
      <c r="F2159" s="981"/>
      <c r="G2159" s="11"/>
    </row>
    <row r="2160" spans="1:11" ht="15" hidden="1" thickBot="1">
      <c r="A2160" s="1002"/>
      <c r="B2160" s="983"/>
      <c r="C2160" s="983"/>
      <c r="D2160" s="983"/>
      <c r="E2160" s="983"/>
      <c r="F2160" s="983"/>
      <c r="G2160" s="1003"/>
    </row>
    <row r="2161" spans="1:7" ht="15" hidden="1" thickBot="1">
      <c r="A2161" s="1002"/>
      <c r="B2161" s="913"/>
      <c r="C2161" s="914"/>
      <c r="D2161" s="95"/>
      <c r="E2161" s="242"/>
      <c r="F2161" s="289"/>
      <c r="G2161" s="113"/>
    </row>
    <row r="2162" spans="1:7" ht="15" hidden="1" thickBot="1">
      <c r="A2162" s="127"/>
      <c r="B2162" s="1075"/>
      <c r="C2162" s="1076"/>
      <c r="D2162" s="128"/>
      <c r="E2162" s="243"/>
      <c r="F2162" s="295"/>
      <c r="G2162" s="129"/>
    </row>
    <row r="2163" spans="1:7" hidden="1">
      <c r="A2163" s="132"/>
      <c r="B2163" s="133"/>
      <c r="C2163" s="134"/>
      <c r="D2163" s="135"/>
      <c r="E2163" s="248"/>
      <c r="F2163" s="296"/>
      <c r="G2163" s="129"/>
    </row>
    <row r="2164" spans="1:7" ht="15" hidden="1" thickBot="1">
      <c r="A2164" s="1004"/>
      <c r="B2164" s="988"/>
      <c r="C2164" s="989"/>
      <c r="D2164" s="990"/>
      <c r="E2164" s="990"/>
      <c r="F2164" s="990"/>
      <c r="G2164" s="12"/>
    </row>
    <row r="2165" spans="1:7" ht="15" hidden="1" thickBot="1">
      <c r="A2165" s="1005"/>
      <c r="B2165" s="1005"/>
      <c r="C2165" s="921"/>
      <c r="D2165" s="1041"/>
      <c r="E2165" s="1041"/>
      <c r="F2165" s="1041"/>
      <c r="G2165" s="137"/>
    </row>
    <row r="2166" spans="1:7" hidden="1">
      <c r="A2166" s="80"/>
      <c r="B2166" s="81"/>
      <c r="C2166" s="81"/>
      <c r="D2166" s="81"/>
      <c r="E2166" s="241"/>
      <c r="F2166" s="271"/>
      <c r="G2166" s="81"/>
    </row>
    <row r="2167" spans="1:7" ht="15" hidden="1" thickBot="1">
      <c r="A2167" s="83"/>
      <c r="B2167" s="84"/>
      <c r="C2167" s="84"/>
      <c r="D2167" s="85"/>
      <c r="E2167" s="249"/>
      <c r="F2167" s="291"/>
      <c r="G2167" s="86"/>
    </row>
    <row r="2168" spans="1:7" ht="15" hidden="1" thickBot="1">
      <c r="A2168" s="1006"/>
      <c r="B2168" s="1007"/>
      <c r="C2168" s="1007"/>
      <c r="D2168" s="1007"/>
      <c r="E2168" s="1007"/>
      <c r="F2168" s="272"/>
      <c r="G2168" s="43"/>
    </row>
    <row r="2169" spans="1:7" ht="15" hidden="1" customHeight="1" thickBot="1">
      <c r="A2169" s="953"/>
      <c r="B2169" s="954"/>
      <c r="C2169" s="954"/>
      <c r="D2169" s="954"/>
      <c r="E2169" s="955"/>
      <c r="F2169" s="273"/>
      <c r="G2169" s="45"/>
    </row>
    <row r="2170" spans="1:7" ht="22.5" hidden="1" customHeight="1" thickBot="1">
      <c r="A2170" s="956"/>
      <c r="B2170" s="957"/>
      <c r="C2170" s="957"/>
      <c r="D2170" s="957"/>
      <c r="E2170" s="958"/>
      <c r="F2170" s="273"/>
      <c r="G2170" s="46"/>
    </row>
    <row r="2171" spans="1:7" ht="15" hidden="1" collapsed="1" thickBot="1">
      <c r="A2171" s="959"/>
      <c r="B2171" s="960"/>
      <c r="C2171" s="960"/>
      <c r="D2171" s="960"/>
      <c r="E2171" s="961"/>
      <c r="F2171" s="274"/>
      <c r="G2171" s="48"/>
    </row>
    <row r="2172" spans="1:7" ht="15" hidden="1" thickBot="1">
      <c r="A2172" s="909"/>
      <c r="B2172" s="1009"/>
      <c r="C2172" s="1009"/>
      <c r="D2172" s="1009"/>
      <c r="E2172" s="1009"/>
      <c r="F2172" s="1009"/>
      <c r="G2172" s="1011"/>
    </row>
    <row r="2173" spans="1:7" ht="15" hidden="1" thickBot="1">
      <c r="A2173" s="1002"/>
      <c r="B2173" s="913"/>
      <c r="C2173" s="914"/>
      <c r="D2173" s="95"/>
      <c r="E2173" s="242"/>
      <c r="F2173" s="292"/>
      <c r="G2173" s="113"/>
    </row>
    <row r="2174" spans="1:7" hidden="1">
      <c r="A2174" s="114"/>
      <c r="B2174" s="930"/>
      <c r="C2174" s="931"/>
      <c r="D2174" s="88"/>
      <c r="E2174" s="243"/>
      <c r="F2174" s="293"/>
      <c r="G2174" s="117"/>
    </row>
    <row r="2175" spans="1:7" ht="15" hidden="1" thickBot="1">
      <c r="A2175" s="118"/>
      <c r="B2175" s="1012"/>
      <c r="C2175" s="1013"/>
      <c r="D2175" s="119"/>
      <c r="E2175" s="244"/>
      <c r="F2175" s="294"/>
      <c r="G2175" s="121"/>
    </row>
    <row r="2176" spans="1:7" ht="15" hidden="1" thickBot="1">
      <c r="A2176" s="1014"/>
      <c r="B2176" s="995"/>
      <c r="C2176" s="995"/>
      <c r="D2176" s="981"/>
      <c r="E2176" s="981"/>
      <c r="F2176" s="981"/>
      <c r="G2176" s="11"/>
    </row>
    <row r="2177" spans="1:11" ht="18.75" hidden="1" customHeight="1" thickBot="1">
      <c r="A2177" s="1002"/>
      <c r="B2177" s="983"/>
      <c r="C2177" s="983"/>
      <c r="D2177" s="983"/>
      <c r="E2177" s="983"/>
      <c r="F2177" s="983"/>
      <c r="G2177" s="1003"/>
    </row>
    <row r="2178" spans="1:11" s="7" customFormat="1" ht="13.5" hidden="1" thickBot="1">
      <c r="A2178" s="1002"/>
      <c r="B2178" s="913"/>
      <c r="C2178" s="914"/>
      <c r="D2178" s="95"/>
      <c r="E2178" s="242"/>
      <c r="F2178" s="292"/>
      <c r="G2178" s="113"/>
    </row>
    <row r="2179" spans="1:11" ht="15" hidden="1" thickBot="1">
      <c r="A2179" s="122"/>
      <c r="B2179" s="930"/>
      <c r="C2179" s="931"/>
      <c r="D2179" s="88"/>
      <c r="E2179" s="243"/>
      <c r="F2179" s="293"/>
      <c r="G2179" s="117"/>
    </row>
    <row r="2180" spans="1:11" ht="15" hidden="1" thickBot="1">
      <c r="A2180" s="123"/>
      <c r="B2180" s="976"/>
      <c r="C2180" s="977"/>
      <c r="D2180" s="88"/>
      <c r="E2180" s="243"/>
      <c r="F2180" s="293"/>
      <c r="G2180" s="124"/>
    </row>
    <row r="2181" spans="1:11" ht="17.25" hidden="1" customHeight="1" thickBot="1">
      <c r="A2181" s="1017"/>
      <c r="B2181" s="997"/>
      <c r="C2181" s="998"/>
      <c r="D2181" s="981"/>
      <c r="E2181" s="981"/>
      <c r="F2181" s="981"/>
      <c r="G2181" s="11"/>
      <c r="J2181" s="125"/>
      <c r="K2181" s="126"/>
    </row>
    <row r="2182" spans="1:11" ht="15" hidden="1" thickBot="1">
      <c r="A2182" s="1002"/>
      <c r="B2182" s="983"/>
      <c r="C2182" s="983"/>
      <c r="D2182" s="983"/>
      <c r="E2182" s="983"/>
      <c r="F2182" s="983"/>
      <c r="G2182" s="1003"/>
    </row>
    <row r="2183" spans="1:11" ht="15" hidden="1" thickBot="1">
      <c r="A2183" s="1002"/>
      <c r="B2183" s="913"/>
      <c r="C2183" s="914"/>
      <c r="D2183" s="95"/>
      <c r="E2183" s="242"/>
      <c r="F2183" s="286"/>
      <c r="G2183" s="113"/>
    </row>
    <row r="2184" spans="1:11" ht="27.75" hidden="1" customHeight="1">
      <c r="A2184" s="127"/>
      <c r="B2184" s="999"/>
      <c r="C2184" s="1000"/>
      <c r="D2184" s="128"/>
      <c r="E2184" s="246"/>
      <c r="F2184" s="295"/>
      <c r="G2184" s="129"/>
    </row>
    <row r="2185" spans="1:11" ht="15" hidden="1" thickBot="1">
      <c r="A2185" s="130"/>
      <c r="B2185" s="942"/>
      <c r="C2185" s="943"/>
      <c r="D2185" s="104"/>
      <c r="E2185" s="247"/>
      <c r="F2185" s="288"/>
      <c r="G2185" s="131"/>
    </row>
    <row r="2186" spans="1:11" ht="15" hidden="1" thickBot="1">
      <c r="A2186" s="1001"/>
      <c r="B2186" s="979"/>
      <c r="C2186" s="980"/>
      <c r="D2186" s="981"/>
      <c r="E2186" s="981"/>
      <c r="F2186" s="981"/>
      <c r="G2186" s="11"/>
    </row>
    <row r="2187" spans="1:11" ht="15" hidden="1" thickBot="1">
      <c r="A2187" s="1002"/>
      <c r="B2187" s="983"/>
      <c r="C2187" s="983"/>
      <c r="D2187" s="983"/>
      <c r="E2187" s="983"/>
      <c r="F2187" s="983"/>
      <c r="G2187" s="1003"/>
    </row>
    <row r="2188" spans="1:11" ht="15" hidden="1" thickBot="1">
      <c r="A2188" s="1002"/>
      <c r="B2188" s="913"/>
      <c r="C2188" s="914"/>
      <c r="D2188" s="95"/>
      <c r="E2188" s="242"/>
      <c r="F2188" s="289"/>
      <c r="G2188" s="113"/>
    </row>
    <row r="2189" spans="1:11" ht="15" hidden="1" thickBot="1">
      <c r="A2189" s="127"/>
      <c r="B2189" s="1075"/>
      <c r="C2189" s="1076"/>
      <c r="D2189" s="128"/>
      <c r="E2189" s="243"/>
      <c r="F2189" s="295"/>
      <c r="G2189" s="129"/>
    </row>
    <row r="2190" spans="1:11" hidden="1">
      <c r="A2190" s="132"/>
      <c r="B2190" s="133"/>
      <c r="C2190" s="134"/>
      <c r="D2190" s="135"/>
      <c r="E2190" s="248"/>
      <c r="F2190" s="296"/>
      <c r="G2190" s="129"/>
    </row>
    <row r="2191" spans="1:11" ht="15" hidden="1" thickBot="1">
      <c r="A2191" s="1004"/>
      <c r="B2191" s="988"/>
      <c r="C2191" s="989"/>
      <c r="D2191" s="990"/>
      <c r="E2191" s="990"/>
      <c r="F2191" s="990"/>
      <c r="G2191" s="12"/>
    </row>
    <row r="2192" spans="1:11" ht="15" hidden="1" thickBot="1">
      <c r="A2192" s="1005"/>
      <c r="B2192" s="1005"/>
      <c r="C2192" s="921"/>
      <c r="D2192" s="1041"/>
      <c r="E2192" s="1041"/>
      <c r="F2192" s="1041"/>
      <c r="G2192" s="137"/>
    </row>
    <row r="2193" spans="1:11" hidden="1">
      <c r="A2193" s="80"/>
      <c r="B2193" s="81"/>
      <c r="C2193" s="81"/>
      <c r="D2193" s="81"/>
      <c r="E2193" s="241"/>
      <c r="F2193" s="271"/>
      <c r="G2193" s="81"/>
    </row>
    <row r="2194" spans="1:11" ht="15" hidden="1" thickBot="1">
      <c r="A2194" s="83"/>
      <c r="B2194" s="84"/>
      <c r="C2194" s="84"/>
      <c r="D2194" s="85"/>
      <c r="E2194" s="249"/>
      <c r="F2194" s="291"/>
      <c r="G2194" s="86"/>
    </row>
    <row r="2195" spans="1:11" ht="15" hidden="1" thickBot="1">
      <c r="A2195" s="1006"/>
      <c r="B2195" s="1007"/>
      <c r="C2195" s="1007"/>
      <c r="D2195" s="1007"/>
      <c r="E2195" s="1007"/>
      <c r="F2195" s="272"/>
      <c r="G2195" s="43"/>
    </row>
    <row r="2196" spans="1:11" ht="15" hidden="1" customHeight="1" thickBot="1">
      <c r="A2196" s="953"/>
      <c r="B2196" s="954"/>
      <c r="C2196" s="954"/>
      <c r="D2196" s="954"/>
      <c r="E2196" s="955"/>
      <c r="F2196" s="273"/>
      <c r="G2196" s="45"/>
    </row>
    <row r="2197" spans="1:11" ht="22.5" hidden="1" customHeight="1" thickBot="1">
      <c r="A2197" s="956"/>
      <c r="B2197" s="957"/>
      <c r="C2197" s="957"/>
      <c r="D2197" s="957"/>
      <c r="E2197" s="958"/>
      <c r="F2197" s="273"/>
      <c r="G2197" s="46"/>
    </row>
    <row r="2198" spans="1:11" ht="15" hidden="1" collapsed="1" thickBot="1">
      <c r="A2198" s="959"/>
      <c r="B2198" s="960"/>
      <c r="C2198" s="960"/>
      <c r="D2198" s="960"/>
      <c r="E2198" s="961"/>
      <c r="F2198" s="274"/>
      <c r="G2198" s="48"/>
    </row>
    <row r="2199" spans="1:11" ht="15" hidden="1" thickBot="1">
      <c r="A2199" s="909"/>
      <c r="B2199" s="1009"/>
      <c r="C2199" s="1009"/>
      <c r="D2199" s="1009"/>
      <c r="E2199" s="1009"/>
      <c r="F2199" s="1009"/>
      <c r="G2199" s="1011"/>
    </row>
    <row r="2200" spans="1:11" ht="15" hidden="1" thickBot="1">
      <c r="A2200" s="1002"/>
      <c r="B2200" s="913"/>
      <c r="C2200" s="914"/>
      <c r="D2200" s="95"/>
      <c r="E2200" s="242"/>
      <c r="F2200" s="292"/>
      <c r="G2200" s="113"/>
    </row>
    <row r="2201" spans="1:11" hidden="1">
      <c r="A2201" s="114"/>
      <c r="B2201" s="930"/>
      <c r="C2201" s="931"/>
      <c r="D2201" s="88"/>
      <c r="E2201" s="243"/>
      <c r="F2201" s="293"/>
      <c r="G2201" s="117"/>
    </row>
    <row r="2202" spans="1:11" ht="15" hidden="1" thickBot="1">
      <c r="A2202" s="118"/>
      <c r="B2202" s="1012"/>
      <c r="C2202" s="1013"/>
      <c r="D2202" s="119"/>
      <c r="E2202" s="244"/>
      <c r="F2202" s="294"/>
      <c r="G2202" s="121"/>
    </row>
    <row r="2203" spans="1:11" ht="15" hidden="1" thickBot="1">
      <c r="A2203" s="1014"/>
      <c r="B2203" s="995"/>
      <c r="C2203" s="995"/>
      <c r="D2203" s="981"/>
      <c r="E2203" s="981"/>
      <c r="F2203" s="981"/>
      <c r="G2203" s="11"/>
    </row>
    <row r="2204" spans="1:11" ht="18.75" hidden="1" customHeight="1" thickBot="1">
      <c r="A2204" s="1002"/>
      <c r="B2204" s="983"/>
      <c r="C2204" s="983"/>
      <c r="D2204" s="983"/>
      <c r="E2204" s="983"/>
      <c r="F2204" s="983"/>
      <c r="G2204" s="1003"/>
    </row>
    <row r="2205" spans="1:11" s="7" customFormat="1" ht="13.5" hidden="1" thickBot="1">
      <c r="A2205" s="1002"/>
      <c r="B2205" s="913"/>
      <c r="C2205" s="914"/>
      <c r="D2205" s="95"/>
      <c r="E2205" s="242"/>
      <c r="F2205" s="292"/>
      <c r="G2205" s="113"/>
    </row>
    <row r="2206" spans="1:11" ht="15" hidden="1" thickBot="1">
      <c r="A2206" s="122"/>
      <c r="B2206" s="930"/>
      <c r="C2206" s="931"/>
      <c r="D2206" s="88"/>
      <c r="E2206" s="243"/>
      <c r="F2206" s="293"/>
      <c r="G2206" s="117"/>
    </row>
    <row r="2207" spans="1:11" ht="15" hidden="1" thickBot="1">
      <c r="A2207" s="123"/>
      <c r="B2207" s="976"/>
      <c r="C2207" s="977"/>
      <c r="D2207" s="88"/>
      <c r="E2207" s="243"/>
      <c r="F2207" s="293"/>
      <c r="G2207" s="124"/>
    </row>
    <row r="2208" spans="1:11" ht="17.25" hidden="1" customHeight="1" thickBot="1">
      <c r="A2208" s="1017"/>
      <c r="B2208" s="997"/>
      <c r="C2208" s="998"/>
      <c r="D2208" s="981"/>
      <c r="E2208" s="981"/>
      <c r="F2208" s="981"/>
      <c r="G2208" s="11"/>
      <c r="J2208" s="125"/>
      <c r="K2208" s="126"/>
    </row>
    <row r="2209" spans="1:7" ht="15" hidden="1" thickBot="1">
      <c r="A2209" s="1002"/>
      <c r="B2209" s="983"/>
      <c r="C2209" s="983"/>
      <c r="D2209" s="983"/>
      <c r="E2209" s="983"/>
      <c r="F2209" s="983"/>
      <c r="G2209" s="1003"/>
    </row>
    <row r="2210" spans="1:7" ht="15" hidden="1" thickBot="1">
      <c r="A2210" s="1002"/>
      <c r="B2210" s="913"/>
      <c r="C2210" s="914"/>
      <c r="D2210" s="95"/>
      <c r="E2210" s="242"/>
      <c r="F2210" s="286"/>
      <c r="G2210" s="113"/>
    </row>
    <row r="2211" spans="1:7" ht="27.75" hidden="1" customHeight="1">
      <c r="A2211" s="127"/>
      <c r="B2211" s="999"/>
      <c r="C2211" s="1000"/>
      <c r="D2211" s="128"/>
      <c r="E2211" s="246"/>
      <c r="F2211" s="295"/>
      <c r="G2211" s="129"/>
    </row>
    <row r="2212" spans="1:7" ht="15" hidden="1" thickBot="1">
      <c r="A2212" s="130"/>
      <c r="B2212" s="942"/>
      <c r="C2212" s="943"/>
      <c r="D2212" s="104"/>
      <c r="E2212" s="247"/>
      <c r="F2212" s="288"/>
      <c r="G2212" s="131"/>
    </row>
    <row r="2213" spans="1:7" ht="15" hidden="1" thickBot="1">
      <c r="A2213" s="1001"/>
      <c r="B2213" s="979"/>
      <c r="C2213" s="980"/>
      <c r="D2213" s="981"/>
      <c r="E2213" s="981"/>
      <c r="F2213" s="981"/>
      <c r="G2213" s="11"/>
    </row>
    <row r="2214" spans="1:7" ht="15" hidden="1" thickBot="1">
      <c r="A2214" s="1002"/>
      <c r="B2214" s="983"/>
      <c r="C2214" s="983"/>
      <c r="D2214" s="983"/>
      <c r="E2214" s="983"/>
      <c r="F2214" s="983"/>
      <c r="G2214" s="1003"/>
    </row>
    <row r="2215" spans="1:7" ht="15" hidden="1" thickBot="1">
      <c r="A2215" s="1002"/>
      <c r="B2215" s="913"/>
      <c r="C2215" s="914"/>
      <c r="D2215" s="95"/>
      <c r="E2215" s="242"/>
      <c r="F2215" s="289"/>
      <c r="G2215" s="113"/>
    </row>
    <row r="2216" spans="1:7" ht="15" hidden="1" thickBot="1">
      <c r="A2216" s="127"/>
      <c r="B2216" s="1075"/>
      <c r="C2216" s="1076"/>
      <c r="D2216" s="128"/>
      <c r="E2216" s="243"/>
      <c r="F2216" s="295"/>
      <c r="G2216" s="129"/>
    </row>
    <row r="2217" spans="1:7" hidden="1">
      <c r="A2217" s="132"/>
      <c r="B2217" s="133"/>
      <c r="C2217" s="134"/>
      <c r="D2217" s="135"/>
      <c r="E2217" s="248"/>
      <c r="F2217" s="296"/>
      <c r="G2217" s="129"/>
    </row>
    <row r="2218" spans="1:7" ht="15" hidden="1" thickBot="1">
      <c r="A2218" s="1004"/>
      <c r="B2218" s="988"/>
      <c r="C2218" s="989"/>
      <c r="D2218" s="990"/>
      <c r="E2218" s="990"/>
      <c r="F2218" s="990"/>
      <c r="G2218" s="12"/>
    </row>
    <row r="2219" spans="1:7" ht="15" hidden="1" thickBot="1">
      <c r="A2219" s="1005"/>
      <c r="B2219" s="1005"/>
      <c r="C2219" s="921"/>
      <c r="D2219" s="1041"/>
      <c r="E2219" s="1041"/>
      <c r="F2219" s="1041"/>
      <c r="G2219" s="137"/>
    </row>
    <row r="2220" spans="1:7" hidden="1">
      <c r="A2220" s="80"/>
      <c r="B2220" s="81"/>
      <c r="C2220" s="81"/>
      <c r="D2220" s="81"/>
      <c r="E2220" s="241"/>
      <c r="F2220" s="271"/>
      <c r="G2220" s="81"/>
    </row>
    <row r="2221" spans="1:7" ht="15" hidden="1" thickBot="1">
      <c r="A2221" s="83"/>
      <c r="B2221" s="84"/>
      <c r="C2221" s="84"/>
      <c r="D2221" s="85"/>
      <c r="E2221" s="249"/>
      <c r="F2221" s="291"/>
      <c r="G2221" s="86"/>
    </row>
    <row r="2222" spans="1:7" ht="15" hidden="1" thickBot="1">
      <c r="A2222" s="1006"/>
      <c r="B2222" s="1007"/>
      <c r="C2222" s="1007"/>
      <c r="D2222" s="1007"/>
      <c r="E2222" s="1007"/>
      <c r="F2222" s="272"/>
      <c r="G2222" s="43"/>
    </row>
    <row r="2223" spans="1:7" ht="15" hidden="1" customHeight="1" thickBot="1">
      <c r="A2223" s="953"/>
      <c r="B2223" s="954"/>
      <c r="C2223" s="954"/>
      <c r="D2223" s="954"/>
      <c r="E2223" s="955"/>
      <c r="F2223" s="273"/>
      <c r="G2223" s="45"/>
    </row>
    <row r="2224" spans="1:7" ht="22.5" hidden="1" customHeight="1" thickBot="1">
      <c r="A2224" s="956"/>
      <c r="B2224" s="957"/>
      <c r="C2224" s="957"/>
      <c r="D2224" s="957"/>
      <c r="E2224" s="958"/>
      <c r="F2224" s="273"/>
      <c r="G2224" s="46"/>
    </row>
    <row r="2225" spans="1:11" ht="15" hidden="1" collapsed="1" thickBot="1">
      <c r="A2225" s="959"/>
      <c r="B2225" s="960"/>
      <c r="C2225" s="960"/>
      <c r="D2225" s="960"/>
      <c r="E2225" s="961"/>
      <c r="F2225" s="274"/>
      <c r="G2225" s="48"/>
    </row>
    <row r="2226" spans="1:11" ht="15" hidden="1" thickBot="1">
      <c r="A2226" s="909"/>
      <c r="B2226" s="1009"/>
      <c r="C2226" s="1009"/>
      <c r="D2226" s="1009"/>
      <c r="E2226" s="1009"/>
      <c r="F2226" s="1009"/>
      <c r="G2226" s="1011"/>
    </row>
    <row r="2227" spans="1:11" ht="15" hidden="1" thickBot="1">
      <c r="A2227" s="1002"/>
      <c r="B2227" s="913"/>
      <c r="C2227" s="914"/>
      <c r="D2227" s="95"/>
      <c r="E2227" s="242"/>
      <c r="F2227" s="292"/>
      <c r="G2227" s="113"/>
    </row>
    <row r="2228" spans="1:11" hidden="1">
      <c r="A2228" s="114"/>
      <c r="B2228" s="930"/>
      <c r="C2228" s="931"/>
      <c r="D2228" s="88"/>
      <c r="E2228" s="243"/>
      <c r="F2228" s="293"/>
      <c r="G2228" s="117"/>
    </row>
    <row r="2229" spans="1:11" ht="15" hidden="1" thickBot="1">
      <c r="A2229" s="118"/>
      <c r="B2229" s="1012"/>
      <c r="C2229" s="1013"/>
      <c r="D2229" s="119"/>
      <c r="E2229" s="244"/>
      <c r="F2229" s="294"/>
      <c r="G2229" s="121"/>
    </row>
    <row r="2230" spans="1:11" ht="15" hidden="1" thickBot="1">
      <c r="A2230" s="1014"/>
      <c r="B2230" s="995"/>
      <c r="C2230" s="995"/>
      <c r="D2230" s="981"/>
      <c r="E2230" s="981"/>
      <c r="F2230" s="981"/>
      <c r="G2230" s="11"/>
    </row>
    <row r="2231" spans="1:11" ht="18.75" hidden="1" customHeight="1" thickBot="1">
      <c r="A2231" s="1002"/>
      <c r="B2231" s="983"/>
      <c r="C2231" s="983"/>
      <c r="D2231" s="983"/>
      <c r="E2231" s="983"/>
      <c r="F2231" s="983"/>
      <c r="G2231" s="1003"/>
    </row>
    <row r="2232" spans="1:11" s="7" customFormat="1" ht="13.5" hidden="1" thickBot="1">
      <c r="A2232" s="1002"/>
      <c r="B2232" s="913"/>
      <c r="C2232" s="914"/>
      <c r="D2232" s="95"/>
      <c r="E2232" s="242"/>
      <c r="F2232" s="292"/>
      <c r="G2232" s="113"/>
    </row>
    <row r="2233" spans="1:11" ht="15" hidden="1" thickBot="1">
      <c r="A2233" s="122"/>
      <c r="B2233" s="930"/>
      <c r="C2233" s="931"/>
      <c r="D2233" s="88"/>
      <c r="E2233" s="243"/>
      <c r="F2233" s="293"/>
      <c r="G2233" s="117"/>
    </row>
    <row r="2234" spans="1:11" ht="15" hidden="1" thickBot="1">
      <c r="A2234" s="123"/>
      <c r="B2234" s="976"/>
      <c r="C2234" s="977"/>
      <c r="D2234" s="88"/>
      <c r="E2234" s="243"/>
      <c r="F2234" s="293"/>
      <c r="G2234" s="124"/>
    </row>
    <row r="2235" spans="1:11" ht="17.25" hidden="1" customHeight="1" thickBot="1">
      <c r="A2235" s="1017"/>
      <c r="B2235" s="997"/>
      <c r="C2235" s="998"/>
      <c r="D2235" s="981"/>
      <c r="E2235" s="981"/>
      <c r="F2235" s="981"/>
      <c r="G2235" s="11"/>
      <c r="J2235" s="125"/>
      <c r="K2235" s="126"/>
    </row>
    <row r="2236" spans="1:11" ht="15" hidden="1" thickBot="1">
      <c r="A2236" s="1002"/>
      <c r="B2236" s="983"/>
      <c r="C2236" s="983"/>
      <c r="D2236" s="983"/>
      <c r="E2236" s="983"/>
      <c r="F2236" s="983"/>
      <c r="G2236" s="1003"/>
    </row>
    <row r="2237" spans="1:11" ht="15" hidden="1" thickBot="1">
      <c r="A2237" s="1002"/>
      <c r="B2237" s="913"/>
      <c r="C2237" s="914"/>
      <c r="D2237" s="95"/>
      <c r="E2237" s="242"/>
      <c r="F2237" s="286"/>
      <c r="G2237" s="113"/>
    </row>
    <row r="2238" spans="1:11" hidden="1">
      <c r="A2238" s="127"/>
      <c r="B2238" s="999"/>
      <c r="C2238" s="1000"/>
      <c r="D2238" s="128"/>
      <c r="E2238" s="246"/>
      <c r="F2238" s="295"/>
      <c r="G2238" s="129"/>
    </row>
    <row r="2239" spans="1:11" ht="15" hidden="1" thickBot="1">
      <c r="A2239" s="130"/>
      <c r="B2239" s="942"/>
      <c r="C2239" s="943"/>
      <c r="D2239" s="104"/>
      <c r="E2239" s="247"/>
      <c r="F2239" s="288"/>
      <c r="G2239" s="131"/>
    </row>
    <row r="2240" spans="1:11" ht="15" hidden="1" thickBot="1">
      <c r="A2240" s="1001"/>
      <c r="B2240" s="979"/>
      <c r="C2240" s="980"/>
      <c r="D2240" s="981"/>
      <c r="E2240" s="981"/>
      <c r="F2240" s="981"/>
      <c r="G2240" s="11"/>
    </row>
    <row r="2241" spans="1:7" ht="15" hidden="1" thickBot="1">
      <c r="A2241" s="1002"/>
      <c r="B2241" s="983"/>
      <c r="C2241" s="983"/>
      <c r="D2241" s="983"/>
      <c r="E2241" s="983"/>
      <c r="F2241" s="983"/>
      <c r="G2241" s="1003"/>
    </row>
    <row r="2242" spans="1:7" ht="15" hidden="1" thickBot="1">
      <c r="A2242" s="1002"/>
      <c r="B2242" s="913"/>
      <c r="C2242" s="914"/>
      <c r="D2242" s="95"/>
      <c r="E2242" s="242"/>
      <c r="F2242" s="289"/>
      <c r="G2242" s="113"/>
    </row>
    <row r="2243" spans="1:7" ht="15" hidden="1" thickBot="1">
      <c r="A2243" s="127"/>
      <c r="B2243" s="1075"/>
      <c r="C2243" s="1076"/>
      <c r="D2243" s="128"/>
      <c r="E2243" s="243"/>
      <c r="F2243" s="295"/>
      <c r="G2243" s="129"/>
    </row>
    <row r="2244" spans="1:7" hidden="1">
      <c r="A2244" s="132"/>
      <c r="B2244" s="133"/>
      <c r="C2244" s="134"/>
      <c r="D2244" s="135"/>
      <c r="E2244" s="248"/>
      <c r="F2244" s="296"/>
      <c r="G2244" s="129"/>
    </row>
    <row r="2245" spans="1:7" ht="15" hidden="1" thickBot="1">
      <c r="A2245" s="1004"/>
      <c r="B2245" s="988"/>
      <c r="C2245" s="989"/>
      <c r="D2245" s="990"/>
      <c r="E2245" s="990"/>
      <c r="F2245" s="990"/>
      <c r="G2245" s="12"/>
    </row>
    <row r="2246" spans="1:7" ht="15" hidden="1" thickBot="1">
      <c r="A2246" s="1005"/>
      <c r="B2246" s="1005"/>
      <c r="C2246" s="921"/>
      <c r="D2246" s="1041"/>
      <c r="E2246" s="1041"/>
      <c r="F2246" s="1041"/>
      <c r="G2246" s="137"/>
    </row>
    <row r="2247" spans="1:7" hidden="1">
      <c r="A2247" s="80"/>
      <c r="B2247" s="81"/>
      <c r="C2247" s="81"/>
      <c r="D2247" s="81"/>
      <c r="E2247" s="241"/>
      <c r="F2247" s="271"/>
      <c r="G2247" s="81"/>
    </row>
    <row r="2248" spans="1:7" ht="15" hidden="1" thickBot="1">
      <c r="A2248" s="138"/>
      <c r="B2248" s="84"/>
      <c r="C2248" s="84"/>
      <c r="D2248" s="85"/>
      <c r="E2248" s="249"/>
      <c r="F2248" s="291"/>
      <c r="G2248" s="86"/>
    </row>
    <row r="2249" spans="1:7" ht="15" hidden="1" thickBot="1">
      <c r="A2249" s="1077"/>
      <c r="B2249" s="1078"/>
      <c r="C2249" s="1078"/>
      <c r="D2249" s="1078"/>
      <c r="E2249" s="1078"/>
      <c r="F2249" s="1078"/>
      <c r="G2249" s="1079"/>
    </row>
    <row r="2250" spans="1:7" ht="15" hidden="1" thickBot="1">
      <c r="A2250" s="1006"/>
      <c r="B2250" s="1007"/>
      <c r="C2250" s="1007"/>
      <c r="D2250" s="1007"/>
      <c r="E2250" s="1007"/>
      <c r="F2250" s="272"/>
      <c r="G2250" s="43"/>
    </row>
    <row r="2251" spans="1:7" ht="14.45" hidden="1" customHeight="1" thickBot="1">
      <c r="A2251" s="953"/>
      <c r="B2251" s="954"/>
      <c r="C2251" s="954"/>
      <c r="D2251" s="954"/>
      <c r="E2251" s="955"/>
      <c r="F2251" s="273"/>
      <c r="G2251" s="45"/>
    </row>
    <row r="2252" spans="1:7" ht="15" hidden="1" thickBot="1">
      <c r="A2252" s="956"/>
      <c r="B2252" s="957"/>
      <c r="C2252" s="957"/>
      <c r="D2252" s="957"/>
      <c r="E2252" s="958"/>
      <c r="F2252" s="273"/>
      <c r="G2252" s="46"/>
    </row>
    <row r="2253" spans="1:7" ht="15" hidden="1" collapsed="1" thickBot="1">
      <c r="A2253" s="959"/>
      <c r="B2253" s="960"/>
      <c r="C2253" s="960"/>
      <c r="D2253" s="960"/>
      <c r="E2253" s="961"/>
      <c r="F2253" s="274"/>
      <c r="G2253" s="48"/>
    </row>
    <row r="2254" spans="1:7" ht="15" hidden="1" thickBot="1">
      <c r="A2254" s="909"/>
      <c r="B2254" s="1009"/>
      <c r="C2254" s="1009"/>
      <c r="D2254" s="1009"/>
      <c r="E2254" s="1009"/>
      <c r="F2254" s="1009"/>
      <c r="G2254" s="1011"/>
    </row>
    <row r="2255" spans="1:7" ht="15" hidden="1" thickBot="1">
      <c r="A2255" s="1002"/>
      <c r="B2255" s="913"/>
      <c r="C2255" s="914"/>
      <c r="D2255" s="95"/>
      <c r="E2255" s="242"/>
      <c r="F2255" s="286"/>
      <c r="G2255" s="113"/>
    </row>
    <row r="2256" spans="1:7" hidden="1">
      <c r="A2256" s="114"/>
      <c r="B2256" s="930"/>
      <c r="C2256" s="931"/>
      <c r="D2256" s="88"/>
      <c r="E2256" s="243"/>
      <c r="F2256" s="293"/>
      <c r="G2256" s="117"/>
    </row>
    <row r="2257" spans="1:7" ht="15" hidden="1" thickBot="1">
      <c r="A2257" s="1014"/>
      <c r="B2257" s="995"/>
      <c r="C2257" s="995"/>
      <c r="D2257" s="981"/>
      <c r="E2257" s="981"/>
      <c r="F2257" s="981"/>
      <c r="G2257" s="11"/>
    </row>
    <row r="2258" spans="1:7" ht="15" hidden="1" customHeight="1" thickBot="1">
      <c r="A2258" s="1002"/>
      <c r="B2258" s="983"/>
      <c r="C2258" s="983"/>
      <c r="D2258" s="983"/>
      <c r="E2258" s="983"/>
      <c r="F2258" s="983"/>
      <c r="G2258" s="1003"/>
    </row>
    <row r="2259" spans="1:7" ht="15" hidden="1" thickBot="1">
      <c r="A2259" s="1002"/>
      <c r="B2259" s="913"/>
      <c r="C2259" s="914"/>
      <c r="D2259" s="95"/>
      <c r="E2259" s="242"/>
      <c r="F2259" s="286"/>
      <c r="G2259" s="113"/>
    </row>
    <row r="2260" spans="1:7" hidden="1">
      <c r="A2260" s="122"/>
      <c r="B2260" s="976"/>
      <c r="C2260" s="977"/>
      <c r="D2260" s="139"/>
      <c r="E2260" s="243"/>
      <c r="F2260" s="293"/>
      <c r="G2260" s="140"/>
    </row>
    <row r="2261" spans="1:7" ht="15" hidden="1" thickBot="1">
      <c r="A2261" s="1017"/>
      <c r="B2261" s="997"/>
      <c r="C2261" s="998"/>
      <c r="D2261" s="981"/>
      <c r="E2261" s="981"/>
      <c r="F2261" s="981"/>
      <c r="G2261" s="11"/>
    </row>
    <row r="2262" spans="1:7" ht="15" hidden="1" thickBot="1">
      <c r="A2262" s="1002"/>
      <c r="B2262" s="983"/>
      <c r="C2262" s="983"/>
      <c r="D2262" s="983"/>
      <c r="E2262" s="983"/>
      <c r="F2262" s="983"/>
      <c r="G2262" s="1003"/>
    </row>
    <row r="2263" spans="1:7" ht="15" hidden="1" thickBot="1">
      <c r="A2263" s="1002"/>
      <c r="B2263" s="913"/>
      <c r="C2263" s="914"/>
      <c r="D2263" s="95"/>
      <c r="E2263" s="242"/>
      <c r="F2263" s="286"/>
      <c r="G2263" s="113"/>
    </row>
    <row r="2264" spans="1:7" ht="13.5" hidden="1" customHeight="1">
      <c r="A2264" s="127"/>
      <c r="B2264" s="999"/>
      <c r="C2264" s="1000"/>
      <c r="D2264" s="128"/>
      <c r="E2264" s="246"/>
      <c r="F2264" s="295"/>
      <c r="G2264" s="129"/>
    </row>
    <row r="2265" spans="1:7" ht="15" hidden="1" thickBot="1">
      <c r="A2265" s="130"/>
      <c r="B2265" s="942"/>
      <c r="C2265" s="943"/>
      <c r="D2265" s="104"/>
      <c r="E2265" s="247"/>
      <c r="F2265" s="288"/>
      <c r="G2265" s="131"/>
    </row>
    <row r="2266" spans="1:7" ht="24" hidden="1" customHeight="1" thickBot="1">
      <c r="A2266" s="1001"/>
      <c r="B2266" s="979"/>
      <c r="C2266" s="980"/>
      <c r="D2266" s="981"/>
      <c r="E2266" s="981"/>
      <c r="F2266" s="981"/>
      <c r="G2266" s="11"/>
    </row>
    <row r="2267" spans="1:7" ht="15" hidden="1" thickBot="1">
      <c r="A2267" s="1002"/>
      <c r="B2267" s="983"/>
      <c r="C2267" s="983"/>
      <c r="D2267" s="983"/>
      <c r="E2267" s="983"/>
      <c r="F2267" s="983"/>
      <c r="G2267" s="1003"/>
    </row>
    <row r="2268" spans="1:7" ht="15" hidden="1" thickBot="1">
      <c r="A2268" s="1002"/>
      <c r="B2268" s="913"/>
      <c r="C2268" s="914"/>
      <c r="D2268" s="95"/>
      <c r="E2268" s="242"/>
      <c r="F2268" s="289"/>
      <c r="G2268" s="113"/>
    </row>
    <row r="2269" spans="1:7" hidden="1">
      <c r="A2269" s="127"/>
      <c r="B2269" s="1075"/>
      <c r="C2269" s="1076"/>
      <c r="D2269" s="128"/>
      <c r="E2269" s="243"/>
      <c r="F2269" s="295"/>
      <c r="G2269" s="129"/>
    </row>
    <row r="2270" spans="1:7" ht="15" hidden="1" thickBot="1">
      <c r="A2270" s="1004"/>
      <c r="B2270" s="988"/>
      <c r="C2270" s="989"/>
      <c r="D2270" s="990"/>
      <c r="E2270" s="990"/>
      <c r="F2270" s="990"/>
      <c r="G2270" s="12"/>
    </row>
    <row r="2271" spans="1:7" ht="15" hidden="1" thickBot="1">
      <c r="A2271" s="1005"/>
      <c r="B2271" s="1005"/>
      <c r="C2271" s="1005"/>
      <c r="D2271" s="1041"/>
      <c r="E2271" s="1041"/>
      <c r="F2271" s="1041"/>
      <c r="G2271" s="141"/>
    </row>
    <row r="2272" spans="1:7" hidden="1">
      <c r="A2272" s="80"/>
      <c r="B2272" s="142"/>
      <c r="C2272" s="142"/>
      <c r="D2272" s="143"/>
      <c r="E2272" s="255"/>
      <c r="F2272" s="297"/>
      <c r="G2272" s="144"/>
    </row>
    <row r="2273" spans="1:7" ht="15" hidden="1" thickBot="1">
      <c r="A2273" s="83"/>
      <c r="B2273" s="84"/>
      <c r="C2273" s="84"/>
      <c r="D2273" s="85"/>
      <c r="E2273" s="249"/>
      <c r="F2273" s="291"/>
      <c r="G2273" s="86"/>
    </row>
    <row r="2274" spans="1:7" ht="15" hidden="1" thickBot="1">
      <c r="A2274" s="1077"/>
      <c r="B2274" s="1078"/>
      <c r="C2274" s="1078"/>
      <c r="D2274" s="1078"/>
      <c r="E2274" s="1078"/>
      <c r="F2274" s="1078"/>
      <c r="G2274" s="1079"/>
    </row>
    <row r="2275" spans="1:7" ht="15" hidden="1" thickBot="1">
      <c r="A2275" s="1006"/>
      <c r="B2275" s="1007"/>
      <c r="C2275" s="1007"/>
      <c r="D2275" s="1007"/>
      <c r="E2275" s="1007"/>
      <c r="F2275" s="272"/>
      <c r="G2275" s="43"/>
    </row>
    <row r="2276" spans="1:7" ht="15" hidden="1" customHeight="1" thickBot="1">
      <c r="A2276" s="953"/>
      <c r="B2276" s="954"/>
      <c r="C2276" s="954"/>
      <c r="D2276" s="954"/>
      <c r="E2276" s="955"/>
      <c r="F2276" s="273"/>
      <c r="G2276" s="45"/>
    </row>
    <row r="2277" spans="1:7" ht="15" hidden="1" thickBot="1">
      <c r="A2277" s="956"/>
      <c r="B2277" s="957"/>
      <c r="C2277" s="957"/>
      <c r="D2277" s="957"/>
      <c r="E2277" s="958"/>
      <c r="F2277" s="273"/>
      <c r="G2277" s="46"/>
    </row>
    <row r="2278" spans="1:7" ht="15" hidden="1" collapsed="1" thickBot="1">
      <c r="A2278" s="959"/>
      <c r="B2278" s="960"/>
      <c r="C2278" s="960"/>
      <c r="D2278" s="960"/>
      <c r="E2278" s="961"/>
      <c r="F2278" s="274"/>
      <c r="G2278" s="48"/>
    </row>
    <row r="2279" spans="1:7" s="49" customFormat="1" ht="15" hidden="1" thickBot="1">
      <c r="A2279" s="1063"/>
      <c r="B2279" s="1064"/>
      <c r="C2279" s="1064"/>
      <c r="D2279" s="1064"/>
      <c r="E2279" s="1064"/>
      <c r="F2279" s="1064"/>
      <c r="G2279" s="1065"/>
    </row>
    <row r="2280" spans="1:7" s="49" customFormat="1" ht="15" hidden="1" thickBot="1">
      <c r="A2280" s="1042"/>
      <c r="B2280" s="1045"/>
      <c r="C2280" s="1046"/>
      <c r="D2280" s="50"/>
      <c r="E2280" s="242"/>
      <c r="F2280" s="275"/>
      <c r="G2280" s="52"/>
    </row>
    <row r="2281" spans="1:7" s="49" customFormat="1" ht="15" hidden="1" thickBot="1">
      <c r="A2281" s="53"/>
      <c r="B2281" s="1066"/>
      <c r="C2281" s="1067"/>
      <c r="D2281" s="54"/>
      <c r="E2281" s="243"/>
      <c r="F2281" s="276"/>
      <c r="G2281" s="57"/>
    </row>
    <row r="2282" spans="1:7" s="49" customFormat="1" ht="15" hidden="1" thickBot="1">
      <c r="A2282" s="53"/>
      <c r="B2282" s="1066"/>
      <c r="C2282" s="1067"/>
      <c r="D2282" s="54"/>
      <c r="E2282" s="243"/>
      <c r="F2282" s="276"/>
      <c r="G2282" s="57"/>
    </row>
    <row r="2283" spans="1:7" s="49" customFormat="1" hidden="1">
      <c r="A2283" s="53"/>
      <c r="B2283" s="1066"/>
      <c r="C2283" s="1067"/>
      <c r="D2283" s="54"/>
      <c r="E2283" s="243"/>
      <c r="F2283" s="276"/>
      <c r="G2283" s="57"/>
    </row>
    <row r="2284" spans="1:7" s="49" customFormat="1" ht="15" hidden="1" thickBot="1">
      <c r="A2284" s="1070"/>
      <c r="B2284" s="1071"/>
      <c r="C2284" s="1071"/>
      <c r="D2284" s="1052"/>
      <c r="E2284" s="1052"/>
      <c r="F2284" s="1052"/>
      <c r="G2284" s="35"/>
    </row>
    <row r="2285" spans="1:7" s="49" customFormat="1" ht="18.75" hidden="1" customHeight="1" thickBot="1">
      <c r="A2285" s="1042"/>
      <c r="B2285" s="1043"/>
      <c r="C2285" s="1043"/>
      <c r="D2285" s="1043"/>
      <c r="E2285" s="1043"/>
      <c r="F2285" s="1043"/>
      <c r="G2285" s="1044"/>
    </row>
    <row r="2286" spans="1:7" s="49" customFormat="1" ht="18.75" hidden="1" customHeight="1" thickBot="1">
      <c r="A2286" s="1042"/>
      <c r="B2286" s="1045"/>
      <c r="C2286" s="1046"/>
      <c r="D2286" s="50"/>
      <c r="E2286" s="242"/>
      <c r="F2286" s="275"/>
      <c r="G2286" s="52"/>
    </row>
    <row r="2287" spans="1:7" s="7" customFormat="1" ht="12.75" hidden="1">
      <c r="A2287" s="64"/>
      <c r="B2287" s="1066"/>
      <c r="C2287" s="1067"/>
      <c r="D2287" s="54"/>
      <c r="E2287" s="245"/>
      <c r="F2287" s="276"/>
      <c r="G2287" s="65"/>
    </row>
    <row r="2288" spans="1:7" s="49" customFormat="1" ht="15" hidden="1" customHeight="1" thickBot="1">
      <c r="A2288" s="1072"/>
      <c r="B2288" s="1073"/>
      <c r="C2288" s="1074"/>
      <c r="D2288" s="1052"/>
      <c r="E2288" s="1052"/>
      <c r="F2288" s="1052"/>
      <c r="G2288" s="35"/>
    </row>
    <row r="2289" spans="1:13" s="49" customFormat="1" ht="15" hidden="1" thickBot="1">
      <c r="A2289" s="1042"/>
      <c r="B2289" s="1043"/>
      <c r="C2289" s="1043"/>
      <c r="D2289" s="1043"/>
      <c r="E2289" s="1043"/>
      <c r="F2289" s="1043"/>
      <c r="G2289" s="1044"/>
    </row>
    <row r="2290" spans="1:13" s="49" customFormat="1" ht="15" hidden="1" thickBot="1">
      <c r="A2290" s="1042"/>
      <c r="B2290" s="1045"/>
      <c r="C2290" s="1046"/>
      <c r="D2290" s="50"/>
      <c r="E2290" s="242"/>
      <c r="F2290" s="275"/>
      <c r="G2290" s="52"/>
    </row>
    <row r="2291" spans="1:13" s="49" customFormat="1" ht="15" hidden="1" thickBot="1">
      <c r="A2291" s="69"/>
      <c r="B2291" s="938"/>
      <c r="C2291" s="939"/>
      <c r="D2291" s="70"/>
      <c r="E2291" s="246"/>
      <c r="F2291" s="278"/>
      <c r="G2291" s="71"/>
    </row>
    <row r="2292" spans="1:13" s="49" customFormat="1" ht="15" hidden="1" thickBot="1">
      <c r="A2292" s="72"/>
      <c r="B2292" s="1047"/>
      <c r="C2292" s="1048"/>
      <c r="D2292" s="73"/>
      <c r="E2292" s="246"/>
      <c r="F2292" s="278"/>
      <c r="G2292" s="74"/>
      <c r="H2292" s="41"/>
      <c r="I2292" s="41"/>
      <c r="J2292" s="41"/>
      <c r="K2292" s="41"/>
      <c r="L2292" s="41"/>
      <c r="M2292" s="41"/>
    </row>
    <row r="2293" spans="1:13" s="49" customFormat="1" ht="15" hidden="1" thickBot="1">
      <c r="A2293" s="1049"/>
      <c r="B2293" s="1050"/>
      <c r="C2293" s="1051"/>
      <c r="D2293" s="1052"/>
      <c r="E2293" s="1052"/>
      <c r="F2293" s="1052"/>
      <c r="G2293" s="35"/>
    </row>
    <row r="2294" spans="1:13" s="49" customFormat="1" ht="15" hidden="1" thickBot="1">
      <c r="A2294" s="1042"/>
      <c r="B2294" s="1043"/>
      <c r="C2294" s="1043"/>
      <c r="D2294" s="1043"/>
      <c r="E2294" s="1043"/>
      <c r="F2294" s="1043"/>
      <c r="G2294" s="1044"/>
    </row>
    <row r="2295" spans="1:13" s="49" customFormat="1" ht="15" hidden="1" thickBot="1">
      <c r="A2295" s="1042"/>
      <c r="B2295" s="1045"/>
      <c r="C2295" s="1046"/>
      <c r="D2295" s="50"/>
      <c r="E2295" s="242"/>
      <c r="F2295" s="280"/>
      <c r="G2295" s="52"/>
    </row>
    <row r="2296" spans="1:13" s="49" customFormat="1" hidden="1">
      <c r="A2296" s="69"/>
      <c r="B2296" s="1053"/>
      <c r="C2296" s="1054"/>
      <c r="D2296" s="70"/>
      <c r="E2296" s="243"/>
      <c r="F2296" s="281"/>
      <c r="G2296" s="71"/>
    </row>
    <row r="2297" spans="1:13" s="49" customFormat="1" ht="15" hidden="1" thickBot="1">
      <c r="A2297" s="1055"/>
      <c r="B2297" s="1056"/>
      <c r="C2297" s="1057"/>
      <c r="D2297" s="1058"/>
      <c r="E2297" s="1058"/>
      <c r="F2297" s="1058"/>
      <c r="G2297" s="36"/>
    </row>
    <row r="2298" spans="1:13" s="49" customFormat="1" ht="22.5" hidden="1" customHeight="1" thickBot="1">
      <c r="A2298" s="1059"/>
      <c r="B2298" s="1059"/>
      <c r="C2298" s="1060"/>
      <c r="D2298" s="1061"/>
      <c r="E2298" s="1062"/>
      <c r="F2298" s="1062"/>
      <c r="G2298" s="145"/>
    </row>
    <row r="2299" spans="1:13" hidden="1">
      <c r="A2299" s="40"/>
      <c r="B2299" s="40"/>
      <c r="C2299" s="40"/>
      <c r="D2299" s="146"/>
      <c r="E2299" s="250"/>
      <c r="F2299" s="298"/>
      <c r="G2299" s="147"/>
    </row>
    <row r="2300" spans="1:13" hidden="1">
      <c r="A2300" s="80"/>
      <c r="B2300" s="81"/>
      <c r="C2300" s="81"/>
      <c r="D2300" s="81"/>
      <c r="E2300" s="241"/>
      <c r="F2300" s="271"/>
      <c r="G2300" s="81"/>
    </row>
    <row r="2301" spans="1:13" ht="15" hidden="1" thickBot="1">
      <c r="A2301" s="138"/>
      <c r="B2301" s="84"/>
      <c r="C2301" s="84"/>
      <c r="D2301" s="85"/>
      <c r="E2301" s="249"/>
      <c r="F2301" s="291"/>
      <c r="G2301" s="86"/>
    </row>
    <row r="2302" spans="1:13" ht="15" hidden="1" thickBot="1">
      <c r="A2302" s="1077"/>
      <c r="B2302" s="1078"/>
      <c r="C2302" s="1078"/>
      <c r="D2302" s="1078"/>
      <c r="E2302" s="1078"/>
      <c r="F2302" s="1078"/>
      <c r="G2302" s="1079"/>
    </row>
    <row r="2303" spans="1:13" ht="15" hidden="1" thickBot="1">
      <c r="A2303" s="1006"/>
      <c r="B2303" s="1007"/>
      <c r="C2303" s="1007"/>
      <c r="D2303" s="1007"/>
      <c r="E2303" s="1007"/>
      <c r="F2303" s="272"/>
      <c r="G2303" s="43"/>
    </row>
    <row r="2304" spans="1:13" ht="15" hidden="1" customHeight="1" thickBot="1">
      <c r="A2304" s="953"/>
      <c r="B2304" s="954"/>
      <c r="C2304" s="954"/>
      <c r="D2304" s="954"/>
      <c r="E2304" s="955"/>
      <c r="F2304" s="273"/>
      <c r="G2304" s="45"/>
    </row>
    <row r="2305" spans="1:11" ht="15" hidden="1" thickBot="1">
      <c r="A2305" s="956"/>
      <c r="B2305" s="957"/>
      <c r="C2305" s="957"/>
      <c r="D2305" s="957"/>
      <c r="E2305" s="958"/>
      <c r="F2305" s="273"/>
      <c r="G2305" s="46"/>
    </row>
    <row r="2306" spans="1:11" ht="15" hidden="1" collapsed="1" thickBot="1">
      <c r="A2306" s="959"/>
      <c r="B2306" s="960"/>
      <c r="C2306" s="960"/>
      <c r="D2306" s="960"/>
      <c r="E2306" s="961"/>
      <c r="F2306" s="274"/>
      <c r="G2306" s="48"/>
    </row>
    <row r="2307" spans="1:11" ht="15" hidden="1" thickBot="1">
      <c r="A2307" s="909"/>
      <c r="B2307" s="1009"/>
      <c r="C2307" s="1009"/>
      <c r="D2307" s="1009"/>
      <c r="E2307" s="1009"/>
      <c r="F2307" s="1009"/>
      <c r="G2307" s="1011"/>
    </row>
    <row r="2308" spans="1:11" ht="15" hidden="1" thickBot="1">
      <c r="A2308" s="1002"/>
      <c r="B2308" s="913"/>
      <c r="C2308" s="914"/>
      <c r="D2308" s="95"/>
      <c r="E2308" s="242"/>
      <c r="F2308" s="286"/>
      <c r="G2308" s="113"/>
    </row>
    <row r="2309" spans="1:11" ht="15" hidden="1" thickBot="1">
      <c r="A2309" s="114"/>
      <c r="B2309" s="930"/>
      <c r="C2309" s="931"/>
      <c r="D2309" s="88"/>
      <c r="E2309" s="243"/>
      <c r="F2309" s="293"/>
      <c r="G2309" s="117"/>
    </row>
    <row r="2310" spans="1:11" hidden="1">
      <c r="A2310" s="148"/>
      <c r="B2310" s="930"/>
      <c r="C2310" s="931"/>
      <c r="D2310" s="88"/>
      <c r="E2310" s="243"/>
      <c r="F2310" s="293"/>
      <c r="G2310" s="149"/>
    </row>
    <row r="2311" spans="1:11" ht="15" hidden="1" thickBot="1">
      <c r="A2311" s="118"/>
      <c r="B2311" s="1012"/>
      <c r="C2311" s="1013"/>
      <c r="D2311" s="119"/>
      <c r="E2311" s="244"/>
      <c r="F2311" s="294"/>
      <c r="G2311" s="121"/>
    </row>
    <row r="2312" spans="1:11" ht="15" hidden="1" thickBot="1">
      <c r="A2312" s="1014"/>
      <c r="B2312" s="995"/>
      <c r="C2312" s="995"/>
      <c r="D2312" s="981"/>
      <c r="E2312" s="981"/>
      <c r="F2312" s="981"/>
      <c r="G2312" s="11"/>
    </row>
    <row r="2313" spans="1:11" ht="15" hidden="1" thickBot="1">
      <c r="A2313" s="1002"/>
      <c r="B2313" s="983"/>
      <c r="C2313" s="983"/>
      <c r="D2313" s="983"/>
      <c r="E2313" s="983"/>
      <c r="F2313" s="983"/>
      <c r="G2313" s="1003"/>
    </row>
    <row r="2314" spans="1:11" ht="15" hidden="1" thickBot="1">
      <c r="A2314" s="1002"/>
      <c r="B2314" s="913"/>
      <c r="C2314" s="914"/>
      <c r="D2314" s="95"/>
      <c r="E2314" s="242"/>
      <c r="F2314" s="286"/>
      <c r="G2314" s="113"/>
    </row>
    <row r="2315" spans="1:11" ht="15" hidden="1" thickBot="1">
      <c r="A2315" s="148"/>
      <c r="B2315" s="976"/>
      <c r="C2315" s="977"/>
      <c r="D2315" s="88"/>
      <c r="E2315" s="243"/>
      <c r="F2315" s="293"/>
      <c r="G2315" s="149"/>
    </row>
    <row r="2316" spans="1:11" ht="15" hidden="1" thickBot="1">
      <c r="A2316" s="123"/>
      <c r="B2316" s="1015"/>
      <c r="C2316" s="1016"/>
      <c r="D2316" s="139"/>
      <c r="E2316" s="243"/>
      <c r="F2316" s="293"/>
      <c r="G2316" s="124"/>
    </row>
    <row r="2317" spans="1:11" ht="15" hidden="1" thickBot="1">
      <c r="A2317" s="1017"/>
      <c r="B2317" s="997"/>
      <c r="C2317" s="998"/>
      <c r="D2317" s="981"/>
      <c r="E2317" s="981"/>
      <c r="F2317" s="981"/>
      <c r="G2317" s="11"/>
    </row>
    <row r="2318" spans="1:11" ht="15" hidden="1" thickBot="1">
      <c r="A2318" s="1002"/>
      <c r="B2318" s="983"/>
      <c r="C2318" s="983"/>
      <c r="D2318" s="983"/>
      <c r="E2318" s="983"/>
      <c r="F2318" s="983"/>
      <c r="G2318" s="1003"/>
    </row>
    <row r="2319" spans="1:11" s="7" customFormat="1" ht="15" hidden="1" thickBot="1">
      <c r="A2319" s="1002"/>
      <c r="B2319" s="913"/>
      <c r="C2319" s="914"/>
      <c r="D2319" s="95"/>
      <c r="E2319" s="242"/>
      <c r="F2319" s="286"/>
      <c r="G2319" s="113"/>
      <c r="H2319" s="41"/>
      <c r="I2319" s="41"/>
      <c r="J2319" s="41"/>
      <c r="K2319" s="41"/>
    </row>
    <row r="2320" spans="1:11" s="7" customFormat="1" hidden="1">
      <c r="A2320" s="127"/>
      <c r="B2320" s="999"/>
      <c r="C2320" s="1000"/>
      <c r="D2320" s="128"/>
      <c r="E2320" s="246"/>
      <c r="F2320" s="295"/>
      <c r="G2320" s="129"/>
      <c r="H2320" s="41"/>
      <c r="I2320" s="41"/>
      <c r="J2320" s="41"/>
      <c r="K2320" s="41"/>
    </row>
    <row r="2321" spans="1:11" s="7" customFormat="1" ht="15" hidden="1" thickBot="1">
      <c r="A2321" s="130"/>
      <c r="B2321" s="942"/>
      <c r="C2321" s="943"/>
      <c r="D2321" s="104"/>
      <c r="E2321" s="247"/>
      <c r="F2321" s="288"/>
      <c r="G2321" s="131"/>
      <c r="H2321" s="41"/>
      <c r="I2321" s="41"/>
      <c r="J2321" s="41"/>
      <c r="K2321" s="41"/>
    </row>
    <row r="2322" spans="1:11" s="7" customFormat="1" ht="15" hidden="1" thickBot="1">
      <c r="A2322" s="1001"/>
      <c r="B2322" s="979"/>
      <c r="C2322" s="980"/>
      <c r="D2322" s="981"/>
      <c r="E2322" s="981"/>
      <c r="F2322" s="981"/>
      <c r="G2322" s="11"/>
      <c r="H2322" s="41"/>
      <c r="I2322" s="41"/>
      <c r="J2322" s="41"/>
      <c r="K2322" s="41"/>
    </row>
    <row r="2323" spans="1:11" s="7" customFormat="1" ht="18.75" hidden="1" customHeight="1" thickBot="1">
      <c r="A2323" s="1002"/>
      <c r="B2323" s="983"/>
      <c r="C2323" s="983"/>
      <c r="D2323" s="983"/>
      <c r="E2323" s="983"/>
      <c r="F2323" s="983"/>
      <c r="G2323" s="1003"/>
      <c r="H2323" s="41"/>
      <c r="I2323" s="41"/>
      <c r="J2323" s="41"/>
      <c r="K2323" s="41"/>
    </row>
    <row r="2324" spans="1:11" s="7" customFormat="1" ht="13.5" hidden="1" thickBot="1">
      <c r="A2324" s="1002"/>
      <c r="B2324" s="913"/>
      <c r="C2324" s="914"/>
      <c r="D2324" s="95"/>
      <c r="E2324" s="242"/>
      <c r="F2324" s="289"/>
      <c r="G2324" s="113"/>
    </row>
    <row r="2325" spans="1:11" s="7" customFormat="1" ht="15" hidden="1" thickBot="1">
      <c r="A2325" s="127"/>
      <c r="B2325" s="1075"/>
      <c r="C2325" s="1076"/>
      <c r="D2325" s="128"/>
      <c r="E2325" s="243"/>
      <c r="F2325" s="295"/>
      <c r="G2325" s="129"/>
      <c r="H2325" s="41"/>
      <c r="I2325" s="41"/>
      <c r="J2325" s="41"/>
      <c r="K2325" s="41"/>
    </row>
    <row r="2326" spans="1:11" s="7" customFormat="1" hidden="1">
      <c r="A2326" s="132"/>
      <c r="B2326" s="133"/>
      <c r="C2326" s="134"/>
      <c r="D2326" s="135"/>
      <c r="E2326" s="248"/>
      <c r="F2326" s="296"/>
      <c r="G2326" s="152"/>
      <c r="H2326" s="41"/>
      <c r="I2326" s="41"/>
      <c r="J2326" s="41"/>
      <c r="K2326" s="41"/>
    </row>
    <row r="2327" spans="1:11" s="7" customFormat="1" ht="15" hidden="1" customHeight="1" thickBot="1">
      <c r="A2327" s="1004"/>
      <c r="B2327" s="988"/>
      <c r="C2327" s="989"/>
      <c r="D2327" s="990"/>
      <c r="E2327" s="990"/>
      <c r="F2327" s="990"/>
      <c r="G2327" s="12"/>
      <c r="H2327" s="41"/>
      <c r="I2327" s="41"/>
      <c r="J2327" s="41"/>
      <c r="K2327" s="41"/>
    </row>
    <row r="2328" spans="1:11" s="7" customFormat="1" ht="15" hidden="1" thickBot="1">
      <c r="A2328" s="1005"/>
      <c r="B2328" s="1005"/>
      <c r="C2328" s="921"/>
      <c r="D2328" s="992"/>
      <c r="E2328" s="993"/>
      <c r="F2328" s="993"/>
      <c r="G2328" s="153"/>
      <c r="H2328" s="41"/>
      <c r="I2328" s="41"/>
      <c r="J2328" s="41"/>
      <c r="K2328" s="41"/>
    </row>
    <row r="2329" spans="1:11" hidden="1">
      <c r="A2329" s="16"/>
      <c r="B2329" s="16"/>
      <c r="C2329" s="16"/>
      <c r="D2329" s="142"/>
      <c r="E2329" s="257"/>
      <c r="F2329" s="300"/>
      <c r="G2329" s="15"/>
    </row>
    <row r="2330" spans="1:11" s="7" customFormat="1" ht="15" hidden="1">
      <c r="A2330" s="162"/>
      <c r="B2330" s="162"/>
      <c r="C2330" s="162"/>
      <c r="D2330" s="162"/>
      <c r="E2330" s="258"/>
      <c r="F2330" s="301"/>
      <c r="G2330" s="162"/>
    </row>
    <row r="2331" spans="1:11" s="7" customFormat="1" ht="15.75" hidden="1" thickBot="1">
      <c r="A2331" s="162"/>
      <c r="B2331" s="162"/>
      <c r="C2331" s="162"/>
      <c r="D2331" s="162"/>
      <c r="E2331" s="258"/>
      <c r="F2331" s="301"/>
      <c r="G2331" s="162"/>
    </row>
    <row r="2332" spans="1:11" ht="15" hidden="1" thickBot="1">
      <c r="A2332" s="1027"/>
      <c r="B2332" s="1028"/>
      <c r="C2332" s="1028"/>
      <c r="D2332" s="1028"/>
      <c r="E2332" s="1028"/>
      <c r="F2332" s="1028"/>
      <c r="G2332" s="1029"/>
    </row>
    <row r="2333" spans="1:11" ht="15" hidden="1" thickBot="1">
      <c r="A2333" s="950"/>
      <c r="B2333" s="951"/>
      <c r="C2333" s="951"/>
      <c r="D2333" s="951"/>
      <c r="E2333" s="952"/>
      <c r="F2333" s="272"/>
      <c r="G2333" s="43"/>
    </row>
    <row r="2334" spans="1:11" ht="15" hidden="1" customHeight="1" thickBot="1">
      <c r="A2334" s="953"/>
      <c r="B2334" s="954"/>
      <c r="C2334" s="954"/>
      <c r="D2334" s="954"/>
      <c r="E2334" s="955"/>
      <c r="F2334" s="273"/>
      <c r="G2334" s="45"/>
    </row>
    <row r="2335" spans="1:11" ht="15" hidden="1" thickBot="1">
      <c r="A2335" s="956"/>
      <c r="B2335" s="957"/>
      <c r="C2335" s="957"/>
      <c r="D2335" s="957"/>
      <c r="E2335" s="958"/>
      <c r="F2335" s="273"/>
      <c r="G2335" s="46"/>
    </row>
    <row r="2336" spans="1:11" ht="15" hidden="1" collapsed="1" thickBot="1">
      <c r="A2336" s="959"/>
      <c r="B2336" s="960"/>
      <c r="C2336" s="960"/>
      <c r="D2336" s="960"/>
      <c r="E2336" s="961"/>
      <c r="F2336" s="274"/>
      <c r="G2336" s="48"/>
    </row>
    <row r="2337" spans="1:7" ht="15" hidden="1" thickBot="1">
      <c r="A2337" s="962"/>
      <c r="B2337" s="963"/>
      <c r="C2337" s="964"/>
      <c r="D2337" s="964"/>
      <c r="E2337" s="964"/>
      <c r="F2337" s="964"/>
      <c r="G2337" s="965"/>
    </row>
    <row r="2338" spans="1:7" ht="15" hidden="1" thickBot="1">
      <c r="A2338" s="909"/>
      <c r="B2338" s="913"/>
      <c r="C2338" s="914"/>
      <c r="D2338" s="95"/>
      <c r="E2338" s="242"/>
      <c r="F2338" s="286"/>
      <c r="G2338" s="113"/>
    </row>
    <row r="2339" spans="1:7" ht="15" hidden="1" thickBot="1">
      <c r="A2339" s="114"/>
      <c r="B2339" s="966"/>
      <c r="C2339" s="967"/>
      <c r="D2339" s="88"/>
      <c r="E2339" s="251"/>
      <c r="F2339" s="284"/>
      <c r="G2339" s="117"/>
    </row>
    <row r="2340" spans="1:7" ht="15" hidden="1" thickBot="1">
      <c r="A2340" s="114"/>
      <c r="B2340" s="966"/>
      <c r="C2340" s="967"/>
      <c r="D2340" s="88"/>
      <c r="E2340" s="251"/>
      <c r="F2340" s="284"/>
      <c r="G2340" s="117"/>
    </row>
    <row r="2341" spans="1:7" hidden="1">
      <c r="A2341" s="154"/>
      <c r="B2341" s="968"/>
      <c r="C2341" s="969"/>
      <c r="D2341" s="171"/>
      <c r="E2341" s="260"/>
      <c r="F2341" s="285"/>
      <c r="G2341" s="149"/>
    </row>
    <row r="2342" spans="1:7" ht="15" hidden="1" thickBot="1">
      <c r="A2342" s="970"/>
      <c r="B2342" s="971"/>
      <c r="C2342" s="972"/>
      <c r="D2342" s="973"/>
      <c r="E2342" s="974"/>
      <c r="F2342" s="975"/>
      <c r="G2342" s="11"/>
    </row>
    <row r="2343" spans="1:7" ht="15" hidden="1" thickBot="1">
      <c r="A2343" s="908"/>
      <c r="B2343" s="910"/>
      <c r="C2343" s="911"/>
      <c r="D2343" s="911"/>
      <c r="E2343" s="911"/>
      <c r="F2343" s="911"/>
      <c r="G2343" s="912"/>
    </row>
    <row r="2344" spans="1:7" ht="15" hidden="1" thickBot="1">
      <c r="A2344" s="909"/>
      <c r="B2344" s="913"/>
      <c r="C2344" s="914"/>
      <c r="D2344" s="95"/>
      <c r="E2344" s="242"/>
      <c r="F2344" s="292"/>
      <c r="G2344" s="113"/>
    </row>
    <row r="2345" spans="1:7" ht="22.5" hidden="1" customHeight="1">
      <c r="A2345" s="122"/>
      <c r="B2345" s="976"/>
      <c r="C2345" s="977"/>
      <c r="D2345" s="88"/>
      <c r="E2345" s="251"/>
      <c r="F2345" s="284"/>
      <c r="G2345" s="149"/>
    </row>
    <row r="2346" spans="1:7" ht="15" hidden="1" thickBot="1">
      <c r="A2346" s="178"/>
      <c r="B2346" s="926"/>
      <c r="C2346" s="927"/>
      <c r="D2346" s="179"/>
      <c r="E2346" s="261"/>
      <c r="F2346" s="305"/>
      <c r="G2346" s="181"/>
    </row>
    <row r="2347" spans="1:7" ht="15" hidden="1" thickBot="1">
      <c r="A2347" s="932"/>
      <c r="B2347" s="933"/>
      <c r="C2347" s="934"/>
      <c r="D2347" s="935"/>
      <c r="E2347" s="936"/>
      <c r="F2347" s="937"/>
      <c r="G2347" s="18"/>
    </row>
    <row r="2348" spans="1:7" ht="15" hidden="1" thickBot="1">
      <c r="A2348" s="908"/>
      <c r="B2348" s="910"/>
      <c r="C2348" s="911"/>
      <c r="D2348" s="911"/>
      <c r="E2348" s="911"/>
      <c r="F2348" s="911"/>
      <c r="G2348" s="912"/>
    </row>
    <row r="2349" spans="1:7" ht="15" hidden="1" thickBot="1">
      <c r="A2349" s="909"/>
      <c r="B2349" s="913"/>
      <c r="C2349" s="914"/>
      <c r="D2349" s="95"/>
      <c r="E2349" s="242"/>
      <c r="F2349" s="286"/>
      <c r="G2349" s="113"/>
    </row>
    <row r="2350" spans="1:7" ht="15" hidden="1" thickBot="1">
      <c r="A2350" s="130"/>
      <c r="B2350" s="940"/>
      <c r="C2350" s="941"/>
      <c r="D2350" s="157"/>
      <c r="E2350" s="259"/>
      <c r="F2350" s="288"/>
      <c r="G2350" s="131"/>
    </row>
    <row r="2351" spans="1:7" ht="15" hidden="1" thickBot="1">
      <c r="A2351" s="944"/>
      <c r="B2351" s="945"/>
      <c r="C2351" s="946"/>
      <c r="D2351" s="947"/>
      <c r="E2351" s="948"/>
      <c r="F2351" s="949"/>
      <c r="G2351" s="11"/>
    </row>
    <row r="2352" spans="1:7" ht="15" hidden="1" thickBot="1">
      <c r="A2352" s="908"/>
      <c r="B2352" s="910"/>
      <c r="C2352" s="911"/>
      <c r="D2352" s="911"/>
      <c r="E2352" s="911"/>
      <c r="F2352" s="911"/>
      <c r="G2352" s="912"/>
    </row>
    <row r="2353" spans="1:7" ht="15" hidden="1" thickBot="1">
      <c r="A2353" s="909"/>
      <c r="B2353" s="913"/>
      <c r="C2353" s="914"/>
      <c r="D2353" s="95"/>
      <c r="E2353" s="242"/>
      <c r="F2353" s="286"/>
      <c r="G2353" s="113"/>
    </row>
    <row r="2354" spans="1:7" hidden="1">
      <c r="A2354" s="122"/>
      <c r="B2354" s="160"/>
      <c r="C2354" s="161"/>
      <c r="D2354" s="109"/>
      <c r="E2354" s="254"/>
      <c r="F2354" s="304"/>
      <c r="G2354" s="129"/>
    </row>
    <row r="2355" spans="1:7" hidden="1">
      <c r="A2355" s="155"/>
      <c r="B2355" s="184"/>
      <c r="C2355" s="185"/>
      <c r="D2355" s="92"/>
      <c r="E2355" s="252"/>
      <c r="F2355" s="287"/>
      <c r="G2355" s="164"/>
    </row>
    <row r="2356" spans="1:7" ht="15" hidden="1" thickBot="1">
      <c r="A2356" s="165"/>
      <c r="B2356" s="166"/>
      <c r="C2356" s="167"/>
      <c r="D2356" s="168"/>
      <c r="E2356" s="262"/>
      <c r="F2356" s="306"/>
      <c r="G2356" s="170"/>
    </row>
    <row r="2357" spans="1:7" ht="15" hidden="1" thickBot="1">
      <c r="A2357" s="915"/>
      <c r="B2357" s="916"/>
      <c r="C2357" s="917"/>
      <c r="D2357" s="918"/>
      <c r="E2357" s="919"/>
      <c r="F2357" s="920"/>
      <c r="G2357" s="12"/>
    </row>
    <row r="2358" spans="1:7" ht="18.75" hidden="1" customHeight="1" thickBot="1">
      <c r="A2358" s="921"/>
      <c r="B2358" s="922"/>
      <c r="C2358" s="922"/>
      <c r="D2358" s="923"/>
      <c r="E2358" s="924"/>
      <c r="F2358" s="925"/>
      <c r="G2358" s="153"/>
    </row>
    <row r="2359" spans="1:7" ht="18.75" hidden="1" customHeight="1">
      <c r="A2359" s="49"/>
      <c r="B2359" s="49"/>
      <c r="C2359" s="49"/>
      <c r="D2359" s="49"/>
      <c r="F2359" s="307"/>
      <c r="G2359" s="49"/>
    </row>
    <row r="2360" spans="1:7" s="7" customFormat="1" ht="13.5" hidden="1" thickBot="1">
      <c r="A2360" s="1036"/>
      <c r="B2360" s="1037"/>
      <c r="C2360" s="1037"/>
      <c r="D2360" s="1037"/>
      <c r="E2360" s="1037"/>
      <c r="F2360" s="1037"/>
      <c r="G2360" s="1038"/>
    </row>
    <row r="2361" spans="1:7" ht="15" hidden="1" thickBot="1">
      <c r="A2361" s="1006"/>
      <c r="B2361" s="1007"/>
      <c r="C2361" s="1007"/>
      <c r="D2361" s="1007"/>
      <c r="E2361" s="1007"/>
      <c r="F2361" s="272"/>
      <c r="G2361" s="43"/>
    </row>
    <row r="2362" spans="1:7" ht="15" hidden="1" customHeight="1" thickBot="1">
      <c r="A2362" s="953"/>
      <c r="B2362" s="954"/>
      <c r="C2362" s="954"/>
      <c r="D2362" s="954"/>
      <c r="E2362" s="955"/>
      <c r="F2362" s="273"/>
      <c r="G2362" s="45"/>
    </row>
    <row r="2363" spans="1:7" ht="15" hidden="1" customHeight="1" thickBot="1">
      <c r="A2363" s="956"/>
      <c r="B2363" s="957"/>
      <c r="C2363" s="957"/>
      <c r="D2363" s="957"/>
      <c r="E2363" s="958"/>
      <c r="F2363" s="273"/>
      <c r="G2363" s="46"/>
    </row>
    <row r="2364" spans="1:7" ht="15" hidden="1" thickBot="1">
      <c r="A2364" s="959"/>
      <c r="B2364" s="960"/>
      <c r="C2364" s="960"/>
      <c r="D2364" s="960"/>
      <c r="E2364" s="961"/>
      <c r="F2364" s="274"/>
      <c r="G2364" s="48"/>
    </row>
    <row r="2365" spans="1:7" ht="15" hidden="1" collapsed="1" thickBot="1">
      <c r="A2365" s="1008"/>
      <c r="B2365" s="1009"/>
      <c r="C2365" s="1009"/>
      <c r="D2365" s="1009"/>
      <c r="E2365" s="1009"/>
      <c r="F2365" s="1009"/>
      <c r="G2365" s="1010"/>
    </row>
    <row r="2366" spans="1:7" ht="17.25" hidden="1" customHeight="1" thickBot="1">
      <c r="A2366" s="982"/>
      <c r="B2366" s="913"/>
      <c r="C2366" s="914"/>
      <c r="D2366" s="95"/>
      <c r="E2366" s="242"/>
      <c r="F2366" s="286"/>
      <c r="G2366" s="97"/>
    </row>
    <row r="2367" spans="1:7" ht="17.25" hidden="1" customHeight="1">
      <c r="A2367" s="87"/>
      <c r="B2367" s="930"/>
      <c r="C2367" s="931"/>
      <c r="D2367" s="88"/>
      <c r="E2367" s="251"/>
      <c r="F2367" s="284"/>
      <c r="G2367" s="90"/>
    </row>
    <row r="2368" spans="1:7" ht="15.75" hidden="1" customHeight="1">
      <c r="A2368" s="91"/>
      <c r="B2368" s="968"/>
      <c r="C2368" s="969"/>
      <c r="D2368" s="92"/>
      <c r="E2368" s="252"/>
      <c r="F2368" s="285"/>
      <c r="G2368" s="94"/>
    </row>
    <row r="2369" spans="1:7" ht="15.75" hidden="1" customHeight="1">
      <c r="A2369" s="91"/>
      <c r="B2369" s="968"/>
      <c r="C2369" s="969"/>
      <c r="D2369" s="92"/>
      <c r="E2369" s="252"/>
      <c r="F2369" s="285"/>
      <c r="G2369" s="94"/>
    </row>
    <row r="2370" spans="1:7" ht="15" hidden="1" thickBot="1">
      <c r="A2370" s="994"/>
      <c r="B2370" s="995"/>
      <c r="C2370" s="995"/>
      <c r="D2370" s="981"/>
      <c r="E2370" s="981"/>
      <c r="F2370" s="981"/>
      <c r="G2370" s="13"/>
    </row>
    <row r="2371" spans="1:7" ht="15" hidden="1" thickBot="1">
      <c r="A2371" s="982"/>
      <c r="B2371" s="983"/>
      <c r="C2371" s="983"/>
      <c r="D2371" s="983"/>
      <c r="E2371" s="983"/>
      <c r="F2371" s="983"/>
      <c r="G2371" s="984"/>
    </row>
    <row r="2372" spans="1:7" ht="15" hidden="1" thickBot="1">
      <c r="A2372" s="982"/>
      <c r="B2372" s="913"/>
      <c r="C2372" s="914"/>
      <c r="D2372" s="95"/>
      <c r="E2372" s="242"/>
      <c r="F2372" s="286"/>
      <c r="G2372" s="97"/>
    </row>
    <row r="2373" spans="1:7" hidden="1">
      <c r="A2373" s="98"/>
      <c r="B2373" s="928"/>
      <c r="C2373" s="929"/>
      <c r="D2373" s="99"/>
      <c r="E2373" s="253"/>
      <c r="F2373" s="287"/>
      <c r="G2373" s="102"/>
    </row>
    <row r="2374" spans="1:7" ht="30.6" hidden="1" customHeight="1">
      <c r="A2374" s="224"/>
      <c r="B2374" s="1039"/>
      <c r="C2374" s="1040"/>
      <c r="D2374" s="99"/>
      <c r="E2374" s="253"/>
      <c r="F2374" s="287"/>
      <c r="G2374" s="102"/>
    </row>
    <row r="2375" spans="1:7" ht="15" hidden="1" thickBot="1">
      <c r="A2375" s="996"/>
      <c r="B2375" s="997"/>
      <c r="C2375" s="998"/>
      <c r="D2375" s="981"/>
      <c r="E2375" s="981"/>
      <c r="F2375" s="981"/>
      <c r="G2375" s="13"/>
    </row>
    <row r="2376" spans="1:7" ht="15.75" hidden="1" customHeight="1" thickBot="1">
      <c r="A2376" s="982"/>
      <c r="B2376" s="983"/>
      <c r="C2376" s="983"/>
      <c r="D2376" s="983"/>
      <c r="E2376" s="983"/>
      <c r="F2376" s="983"/>
      <c r="G2376" s="984"/>
    </row>
    <row r="2377" spans="1:7" ht="15.75" hidden="1" customHeight="1" thickBot="1">
      <c r="A2377" s="982"/>
      <c r="B2377" s="913"/>
      <c r="C2377" s="914"/>
      <c r="D2377" s="95"/>
      <c r="E2377" s="242"/>
      <c r="F2377" s="286"/>
      <c r="G2377" s="97"/>
    </row>
    <row r="2378" spans="1:7" ht="15" hidden="1" thickBot="1">
      <c r="A2378" s="103"/>
      <c r="B2378" s="1039"/>
      <c r="C2378" s="1040"/>
      <c r="D2378" s="99"/>
      <c r="E2378" s="253"/>
      <c r="F2378" s="287"/>
      <c r="G2378" s="102"/>
    </row>
    <row r="2379" spans="1:7" ht="15" hidden="1" thickBot="1">
      <c r="A2379" s="978"/>
      <c r="B2379" s="979"/>
      <c r="C2379" s="980"/>
      <c r="D2379" s="981"/>
      <c r="E2379" s="981"/>
      <c r="F2379" s="981"/>
      <c r="G2379" s="13"/>
    </row>
    <row r="2380" spans="1:7" ht="15" hidden="1" thickBot="1">
      <c r="A2380" s="982"/>
      <c r="B2380" s="983"/>
      <c r="C2380" s="983"/>
      <c r="D2380" s="983"/>
      <c r="E2380" s="983"/>
      <c r="F2380" s="983"/>
      <c r="G2380" s="984"/>
    </row>
    <row r="2381" spans="1:7" ht="15" hidden="1" thickBot="1">
      <c r="A2381" s="982"/>
      <c r="B2381" s="913"/>
      <c r="C2381" s="914"/>
      <c r="D2381" s="95"/>
      <c r="E2381" s="242"/>
      <c r="F2381" s="289"/>
      <c r="G2381" s="97"/>
    </row>
    <row r="2382" spans="1:7" ht="15.75" hidden="1" customHeight="1">
      <c r="A2382" s="108"/>
      <c r="B2382" s="985"/>
      <c r="C2382" s="986"/>
      <c r="D2382" s="109"/>
      <c r="E2382" s="254"/>
      <c r="F2382" s="290"/>
      <c r="G2382" s="111"/>
    </row>
    <row r="2383" spans="1:7" ht="15.75" hidden="1" customHeight="1" thickBot="1">
      <c r="A2383" s="987"/>
      <c r="B2383" s="988"/>
      <c r="C2383" s="989"/>
      <c r="D2383" s="990"/>
      <c r="E2383" s="990"/>
      <c r="F2383" s="990"/>
      <c r="G2383" s="14"/>
    </row>
    <row r="2384" spans="1:7" ht="17.25" hidden="1" customHeight="1" thickBot="1">
      <c r="A2384" s="991"/>
      <c r="B2384" s="991"/>
      <c r="C2384" s="991"/>
      <c r="D2384" s="992"/>
      <c r="E2384" s="993"/>
      <c r="F2384" s="993"/>
      <c r="G2384" s="112"/>
    </row>
    <row r="2385" spans="1:7" ht="17.25" hidden="1" customHeight="1">
      <c r="A2385" s="49"/>
      <c r="B2385" s="49"/>
      <c r="C2385" s="49"/>
      <c r="D2385" s="49"/>
      <c r="F2385" s="307"/>
      <c r="G2385" s="49"/>
    </row>
    <row r="2386" spans="1:7" hidden="1">
      <c r="A2386" s="49"/>
      <c r="B2386" s="49"/>
      <c r="C2386" s="49"/>
      <c r="D2386" s="49"/>
      <c r="F2386" s="307"/>
      <c r="G2386" s="49"/>
    </row>
    <row r="2387" spans="1:7" ht="15" hidden="1" thickBot="1">
      <c r="A2387" s="1036"/>
      <c r="B2387" s="1037"/>
      <c r="C2387" s="1037"/>
      <c r="D2387" s="1037"/>
      <c r="E2387" s="1037"/>
      <c r="F2387" s="1037"/>
      <c r="G2387" s="1038"/>
    </row>
    <row r="2388" spans="1:7" ht="15" hidden="1" thickBot="1">
      <c r="A2388" s="1006"/>
      <c r="B2388" s="1007"/>
      <c r="C2388" s="1007"/>
      <c r="D2388" s="1007"/>
      <c r="E2388" s="1007"/>
      <c r="F2388" s="272"/>
      <c r="G2388" s="43"/>
    </row>
    <row r="2389" spans="1:7" ht="15" hidden="1" customHeight="1" thickBot="1">
      <c r="A2389" s="953"/>
      <c r="B2389" s="954"/>
      <c r="C2389" s="954"/>
      <c r="D2389" s="954"/>
      <c r="E2389" s="955"/>
      <c r="F2389" s="273"/>
      <c r="G2389" s="45"/>
    </row>
    <row r="2390" spans="1:7" ht="15" hidden="1" thickBot="1">
      <c r="A2390" s="956"/>
      <c r="B2390" s="957"/>
      <c r="C2390" s="957"/>
      <c r="D2390" s="957"/>
      <c r="E2390" s="958"/>
      <c r="F2390" s="273"/>
      <c r="G2390" s="46"/>
    </row>
    <row r="2391" spans="1:7" ht="15" hidden="1" thickBot="1">
      <c r="A2391" s="959"/>
      <c r="B2391" s="960"/>
      <c r="C2391" s="960"/>
      <c r="D2391" s="960"/>
      <c r="E2391" s="961"/>
      <c r="F2391" s="274"/>
      <c r="G2391" s="48"/>
    </row>
    <row r="2392" spans="1:7" ht="15" hidden="1" thickBot="1">
      <c r="A2392" s="1008"/>
      <c r="B2392" s="1009"/>
      <c r="C2392" s="1009"/>
      <c r="D2392" s="1009"/>
      <c r="E2392" s="1009"/>
      <c r="F2392" s="1009"/>
      <c r="G2392" s="1010"/>
    </row>
    <row r="2393" spans="1:7" ht="15" hidden="1" thickBot="1">
      <c r="A2393" s="982"/>
      <c r="B2393" s="913"/>
      <c r="C2393" s="914"/>
      <c r="D2393" s="95"/>
      <c r="E2393" s="242"/>
      <c r="F2393" s="286"/>
      <c r="G2393" s="97"/>
    </row>
    <row r="2394" spans="1:7" hidden="1">
      <c r="A2394" s="87"/>
      <c r="B2394" s="930"/>
      <c r="C2394" s="931"/>
      <c r="D2394" s="88"/>
      <c r="E2394" s="251"/>
      <c r="F2394" s="284"/>
      <c r="G2394" s="90"/>
    </row>
    <row r="2395" spans="1:7" hidden="1">
      <c r="A2395" s="91"/>
      <c r="B2395" s="968"/>
      <c r="C2395" s="969"/>
      <c r="D2395" s="92"/>
      <c r="E2395" s="252"/>
      <c r="F2395" s="285"/>
      <c r="G2395" s="94"/>
    </row>
    <row r="2396" spans="1:7" hidden="1">
      <c r="A2396" s="91"/>
      <c r="B2396" s="968"/>
      <c r="C2396" s="969"/>
      <c r="D2396" s="92"/>
      <c r="E2396" s="252"/>
      <c r="F2396" s="285"/>
      <c r="G2396" s="94"/>
    </row>
    <row r="2397" spans="1:7" ht="15" hidden="1" thickBot="1">
      <c r="A2397" s="994"/>
      <c r="B2397" s="995"/>
      <c r="C2397" s="995"/>
      <c r="D2397" s="981"/>
      <c r="E2397" s="981"/>
      <c r="F2397" s="981"/>
      <c r="G2397" s="13"/>
    </row>
    <row r="2398" spans="1:7" ht="15" hidden="1" thickBot="1">
      <c r="A2398" s="982"/>
      <c r="B2398" s="983"/>
      <c r="C2398" s="983"/>
      <c r="D2398" s="983"/>
      <c r="E2398" s="983"/>
      <c r="F2398" s="983"/>
      <c r="G2398" s="984"/>
    </row>
    <row r="2399" spans="1:7" ht="15" hidden="1" thickBot="1">
      <c r="A2399" s="982"/>
      <c r="B2399" s="913"/>
      <c r="C2399" s="914"/>
      <c r="D2399" s="95"/>
      <c r="E2399" s="242"/>
      <c r="F2399" s="286"/>
      <c r="G2399" s="97"/>
    </row>
    <row r="2400" spans="1:7" hidden="1">
      <c r="A2400" s="98"/>
      <c r="B2400" s="928"/>
      <c r="C2400" s="929"/>
      <c r="D2400" s="99"/>
      <c r="E2400" s="253"/>
      <c r="F2400" s="287"/>
      <c r="G2400" s="102"/>
    </row>
    <row r="2401" spans="1:7" hidden="1">
      <c r="A2401" s="98"/>
      <c r="B2401" s="928"/>
      <c r="C2401" s="929"/>
      <c r="D2401" s="92"/>
      <c r="E2401" s="252"/>
      <c r="F2401" s="287"/>
      <c r="G2401" s="102"/>
    </row>
    <row r="2402" spans="1:7" hidden="1">
      <c r="A2402" s="98"/>
      <c r="B2402" s="928"/>
      <c r="C2402" s="929"/>
      <c r="D2402" s="99"/>
      <c r="E2402" s="253"/>
      <c r="F2402" s="287"/>
      <c r="G2402" s="102"/>
    </row>
    <row r="2403" spans="1:7" hidden="1">
      <c r="A2403" s="98"/>
      <c r="B2403" s="928"/>
      <c r="C2403" s="929"/>
      <c r="D2403" s="99"/>
      <c r="E2403" s="253"/>
      <c r="F2403" s="287"/>
      <c r="G2403" s="102"/>
    </row>
    <row r="2404" spans="1:7" ht="15" hidden="1" thickBot="1">
      <c r="A2404" s="996"/>
      <c r="B2404" s="997"/>
      <c r="C2404" s="998"/>
      <c r="D2404" s="981"/>
      <c r="E2404" s="981"/>
      <c r="F2404" s="981"/>
      <c r="G2404" s="13"/>
    </row>
    <row r="2405" spans="1:7" ht="15" hidden="1" thickBot="1">
      <c r="A2405" s="982"/>
      <c r="B2405" s="983"/>
      <c r="C2405" s="983"/>
      <c r="D2405" s="983"/>
      <c r="E2405" s="983"/>
      <c r="F2405" s="983"/>
      <c r="G2405" s="984"/>
    </row>
    <row r="2406" spans="1:7" ht="15" hidden="1" thickBot="1">
      <c r="A2406" s="982"/>
      <c r="B2406" s="913"/>
      <c r="C2406" s="914"/>
      <c r="D2406" s="95"/>
      <c r="E2406" s="242"/>
      <c r="F2406" s="286"/>
      <c r="G2406" s="97"/>
    </row>
    <row r="2407" spans="1:7" ht="15" hidden="1" thickBot="1">
      <c r="A2407" s="103"/>
      <c r="B2407" s="942"/>
      <c r="C2407" s="943"/>
      <c r="D2407" s="104"/>
      <c r="E2407" s="247"/>
      <c r="F2407" s="288"/>
      <c r="G2407" s="106"/>
    </row>
    <row r="2408" spans="1:7" ht="15" hidden="1" thickBot="1">
      <c r="A2408" s="978"/>
      <c r="B2408" s="979"/>
      <c r="C2408" s="980"/>
      <c r="D2408" s="981"/>
      <c r="E2408" s="981"/>
      <c r="F2408" s="981"/>
      <c r="G2408" s="13"/>
    </row>
    <row r="2409" spans="1:7" ht="15" hidden="1" thickBot="1">
      <c r="A2409" s="982"/>
      <c r="B2409" s="983"/>
      <c r="C2409" s="983"/>
      <c r="D2409" s="983"/>
      <c r="E2409" s="983"/>
      <c r="F2409" s="983"/>
      <c r="G2409" s="984"/>
    </row>
    <row r="2410" spans="1:7" ht="15" hidden="1" thickBot="1">
      <c r="A2410" s="982"/>
      <c r="B2410" s="913"/>
      <c r="C2410" s="914"/>
      <c r="D2410" s="95"/>
      <c r="E2410" s="242"/>
      <c r="F2410" s="289"/>
      <c r="G2410" s="97"/>
    </row>
    <row r="2411" spans="1:7" hidden="1">
      <c r="A2411" s="108"/>
      <c r="B2411" s="985"/>
      <c r="C2411" s="986"/>
      <c r="D2411" s="109"/>
      <c r="E2411" s="254"/>
      <c r="F2411" s="290"/>
      <c r="G2411" s="111"/>
    </row>
    <row r="2412" spans="1:7" ht="15" hidden="1" thickBot="1">
      <c r="A2412" s="987"/>
      <c r="B2412" s="988"/>
      <c r="C2412" s="989"/>
      <c r="D2412" s="990"/>
      <c r="E2412" s="990"/>
      <c r="F2412" s="990"/>
      <c r="G2412" s="14"/>
    </row>
    <row r="2413" spans="1:7" ht="15" hidden="1" thickBot="1">
      <c r="A2413" s="991"/>
      <c r="B2413" s="991"/>
      <c r="C2413" s="991"/>
      <c r="D2413" s="992"/>
      <c r="E2413" s="993"/>
      <c r="F2413" s="993"/>
      <c r="G2413" s="112"/>
    </row>
    <row r="2414" spans="1:7" hidden="1">
      <c r="A2414" s="49"/>
      <c r="B2414" s="49"/>
      <c r="C2414" s="49"/>
      <c r="D2414" s="49"/>
      <c r="F2414" s="307"/>
      <c r="G2414" s="49"/>
    </row>
    <row r="2415" spans="1:7" hidden="1">
      <c r="A2415" s="49"/>
      <c r="B2415" s="49"/>
      <c r="C2415" s="49"/>
      <c r="D2415" s="49"/>
      <c r="F2415" s="307"/>
      <c r="G2415" s="49"/>
    </row>
    <row r="2416" spans="1:7" ht="15" hidden="1" thickBot="1">
      <c r="A2416" s="1036"/>
      <c r="B2416" s="1037"/>
      <c r="C2416" s="1037"/>
      <c r="D2416" s="1037"/>
      <c r="E2416" s="1037"/>
      <c r="F2416" s="1037"/>
      <c r="G2416" s="1038"/>
    </row>
    <row r="2417" spans="1:7" ht="15" hidden="1" thickBot="1">
      <c r="A2417" s="1006"/>
      <c r="B2417" s="1007"/>
      <c r="C2417" s="1007"/>
      <c r="D2417" s="1007"/>
      <c r="E2417" s="1007"/>
      <c r="F2417" s="272"/>
      <c r="G2417" s="43"/>
    </row>
    <row r="2418" spans="1:7" ht="15" hidden="1" customHeight="1" thickBot="1">
      <c r="A2418" s="953"/>
      <c r="B2418" s="954"/>
      <c r="C2418" s="954"/>
      <c r="D2418" s="954"/>
      <c r="E2418" s="955"/>
      <c r="F2418" s="273"/>
      <c r="G2418" s="45"/>
    </row>
    <row r="2419" spans="1:7" ht="15" hidden="1" thickBot="1">
      <c r="A2419" s="956"/>
      <c r="B2419" s="957"/>
      <c r="C2419" s="957"/>
      <c r="D2419" s="957"/>
      <c r="E2419" s="958"/>
      <c r="F2419" s="273"/>
      <c r="G2419" s="46"/>
    </row>
    <row r="2420" spans="1:7" ht="15" hidden="1" thickBot="1">
      <c r="A2420" s="959"/>
      <c r="B2420" s="960"/>
      <c r="C2420" s="960"/>
      <c r="D2420" s="960"/>
      <c r="E2420" s="961"/>
      <c r="F2420" s="274"/>
      <c r="G2420" s="48"/>
    </row>
    <row r="2421" spans="1:7" ht="15" hidden="1" thickBot="1">
      <c r="A2421" s="1008"/>
      <c r="B2421" s="1009"/>
      <c r="C2421" s="1009"/>
      <c r="D2421" s="1009"/>
      <c r="E2421" s="1009"/>
      <c r="F2421" s="1009"/>
      <c r="G2421" s="1010"/>
    </row>
    <row r="2422" spans="1:7" ht="15" hidden="1" thickBot="1">
      <c r="A2422" s="982"/>
      <c r="B2422" s="913"/>
      <c r="C2422" s="914"/>
      <c r="D2422" s="95"/>
      <c r="E2422" s="242"/>
      <c r="F2422" s="286"/>
      <c r="G2422" s="97"/>
    </row>
    <row r="2423" spans="1:7" hidden="1">
      <c r="A2423" s="87"/>
      <c r="B2423" s="930"/>
      <c r="C2423" s="931"/>
      <c r="D2423" s="88"/>
      <c r="E2423" s="251"/>
      <c r="F2423" s="284"/>
      <c r="G2423" s="90"/>
    </row>
    <row r="2424" spans="1:7" hidden="1">
      <c r="A2424" s="91"/>
      <c r="B2424" s="968"/>
      <c r="C2424" s="969"/>
      <c r="D2424" s="92"/>
      <c r="E2424" s="252"/>
      <c r="F2424" s="285"/>
      <c r="G2424" s="94"/>
    </row>
    <row r="2425" spans="1:7" hidden="1">
      <c r="A2425" s="91"/>
      <c r="B2425" s="968"/>
      <c r="C2425" s="969"/>
      <c r="D2425" s="92"/>
      <c r="E2425" s="252"/>
      <c r="F2425" s="285"/>
      <c r="G2425" s="94"/>
    </row>
    <row r="2426" spans="1:7" ht="15" hidden="1" thickBot="1">
      <c r="A2426" s="994"/>
      <c r="B2426" s="995"/>
      <c r="C2426" s="995"/>
      <c r="D2426" s="981"/>
      <c r="E2426" s="981"/>
      <c r="F2426" s="981"/>
      <c r="G2426" s="13"/>
    </row>
    <row r="2427" spans="1:7" ht="15" hidden="1" thickBot="1">
      <c r="A2427" s="982"/>
      <c r="B2427" s="983"/>
      <c r="C2427" s="983"/>
      <c r="D2427" s="983"/>
      <c r="E2427" s="983"/>
      <c r="F2427" s="983"/>
      <c r="G2427" s="984"/>
    </row>
    <row r="2428" spans="1:7" ht="15" hidden="1" thickBot="1">
      <c r="A2428" s="982"/>
      <c r="B2428" s="913"/>
      <c r="C2428" s="914"/>
      <c r="D2428" s="95"/>
      <c r="E2428" s="242"/>
      <c r="F2428" s="286"/>
      <c r="G2428" s="97"/>
    </row>
    <row r="2429" spans="1:7" ht="15" hidden="1" thickBot="1">
      <c r="A2429" s="108"/>
      <c r="B2429" s="985"/>
      <c r="C2429" s="986"/>
      <c r="D2429" s="109"/>
      <c r="E2429" s="254"/>
      <c r="F2429" s="304"/>
      <c r="G2429" s="111"/>
    </row>
    <row r="2430" spans="1:7" hidden="1">
      <c r="A2430" s="98"/>
      <c r="B2430" s="928"/>
      <c r="C2430" s="929"/>
      <c r="D2430" s="109"/>
      <c r="E2430" s="252"/>
      <c r="F2430" s="287"/>
      <c r="G2430" s="102"/>
    </row>
    <row r="2431" spans="1:7" hidden="1">
      <c r="A2431" s="98"/>
      <c r="B2431" s="928"/>
      <c r="C2431" s="929"/>
      <c r="D2431" s="99"/>
      <c r="E2431" s="253"/>
      <c r="F2431" s="287"/>
      <c r="G2431" s="102"/>
    </row>
    <row r="2432" spans="1:7" ht="15" hidden="1" thickBot="1">
      <c r="A2432" s="996"/>
      <c r="B2432" s="997"/>
      <c r="C2432" s="998"/>
      <c r="D2432" s="981"/>
      <c r="E2432" s="981"/>
      <c r="F2432" s="981"/>
      <c r="G2432" s="13"/>
    </row>
    <row r="2433" spans="1:7" ht="15" hidden="1" thickBot="1">
      <c r="A2433" s="982"/>
      <c r="B2433" s="983"/>
      <c r="C2433" s="983"/>
      <c r="D2433" s="983"/>
      <c r="E2433" s="983"/>
      <c r="F2433" s="983"/>
      <c r="G2433" s="984"/>
    </row>
    <row r="2434" spans="1:7" ht="15" hidden="1" thickBot="1">
      <c r="A2434" s="982"/>
      <c r="B2434" s="913"/>
      <c r="C2434" s="914"/>
      <c r="D2434" s="95"/>
      <c r="E2434" s="242"/>
      <c r="F2434" s="286"/>
      <c r="G2434" s="97"/>
    </row>
    <row r="2435" spans="1:7" ht="15" hidden="1" thickBot="1">
      <c r="A2435" s="103"/>
      <c r="B2435" s="942"/>
      <c r="C2435" s="943"/>
      <c r="D2435" s="104"/>
      <c r="E2435" s="247"/>
      <c r="F2435" s="288"/>
      <c r="G2435" s="106"/>
    </row>
    <row r="2436" spans="1:7" ht="15" hidden="1" thickBot="1">
      <c r="A2436" s="978"/>
      <c r="B2436" s="979"/>
      <c r="C2436" s="980"/>
      <c r="D2436" s="981"/>
      <c r="E2436" s="981"/>
      <c r="F2436" s="981"/>
      <c r="G2436" s="13"/>
    </row>
    <row r="2437" spans="1:7" ht="15" hidden="1" thickBot="1">
      <c r="A2437" s="982"/>
      <c r="B2437" s="983"/>
      <c r="C2437" s="983"/>
      <c r="D2437" s="983"/>
      <c r="E2437" s="983"/>
      <c r="F2437" s="983"/>
      <c r="G2437" s="984"/>
    </row>
    <row r="2438" spans="1:7" ht="15" hidden="1" thickBot="1">
      <c r="A2438" s="982"/>
      <c r="B2438" s="913"/>
      <c r="C2438" s="914"/>
      <c r="D2438" s="95"/>
      <c r="E2438" s="242"/>
      <c r="F2438" s="289"/>
      <c r="G2438" s="97"/>
    </row>
    <row r="2439" spans="1:7" hidden="1">
      <c r="A2439" s="108"/>
      <c r="B2439" s="985"/>
      <c r="C2439" s="986"/>
      <c r="D2439" s="109"/>
      <c r="E2439" s="254"/>
      <c r="F2439" s="290"/>
      <c r="G2439" s="111"/>
    </row>
    <row r="2440" spans="1:7" ht="15" hidden="1" thickBot="1">
      <c r="A2440" s="987"/>
      <c r="B2440" s="988"/>
      <c r="C2440" s="989"/>
      <c r="D2440" s="990"/>
      <c r="E2440" s="990"/>
      <c r="F2440" s="990"/>
      <c r="G2440" s="14"/>
    </row>
    <row r="2441" spans="1:7" ht="15" hidden="1" thickBot="1">
      <c r="A2441" s="991"/>
      <c r="B2441" s="991"/>
      <c r="C2441" s="991"/>
      <c r="D2441" s="992"/>
      <c r="E2441" s="993"/>
      <c r="F2441" s="993"/>
      <c r="G2441" s="112"/>
    </row>
    <row r="2442" spans="1:7" ht="18.75" hidden="1" customHeight="1">
      <c r="A2442" s="49"/>
      <c r="B2442" s="49"/>
      <c r="C2442" s="49"/>
      <c r="D2442" s="49"/>
      <c r="F2442" s="307"/>
      <c r="G2442" s="49"/>
    </row>
    <row r="2443" spans="1:7" hidden="1">
      <c r="A2443" s="49"/>
      <c r="B2443" s="49"/>
      <c r="C2443" s="49"/>
      <c r="D2443" s="49"/>
      <c r="F2443" s="307"/>
      <c r="G2443" s="49"/>
    </row>
    <row r="2444" spans="1:7" ht="15" hidden="1" thickBot="1">
      <c r="A2444" s="1036"/>
      <c r="B2444" s="1037"/>
      <c r="C2444" s="1037"/>
      <c r="D2444" s="1037"/>
      <c r="E2444" s="1037"/>
      <c r="F2444" s="1037"/>
      <c r="G2444" s="1038"/>
    </row>
    <row r="2445" spans="1:7" ht="15" hidden="1" thickBot="1">
      <c r="A2445" s="1006"/>
      <c r="B2445" s="1007"/>
      <c r="C2445" s="1007"/>
      <c r="D2445" s="1007"/>
      <c r="E2445" s="1007"/>
      <c r="F2445" s="272"/>
      <c r="G2445" s="43"/>
    </row>
    <row r="2446" spans="1:7" ht="15" hidden="1" customHeight="1" thickBot="1">
      <c r="A2446" s="953"/>
      <c r="B2446" s="954"/>
      <c r="C2446" s="954"/>
      <c r="D2446" s="954"/>
      <c r="E2446" s="955"/>
      <c r="F2446" s="273"/>
      <c r="G2446" s="45"/>
    </row>
    <row r="2447" spans="1:7" ht="15" hidden="1" thickBot="1">
      <c r="A2447" s="956"/>
      <c r="B2447" s="957"/>
      <c r="C2447" s="957"/>
      <c r="D2447" s="957"/>
      <c r="E2447" s="958"/>
      <c r="F2447" s="273"/>
      <c r="G2447" s="46"/>
    </row>
    <row r="2448" spans="1:7" ht="15" hidden="1" thickBot="1">
      <c r="A2448" s="959"/>
      <c r="B2448" s="960"/>
      <c r="C2448" s="960"/>
      <c r="D2448" s="960"/>
      <c r="E2448" s="961"/>
      <c r="F2448" s="274"/>
      <c r="G2448" s="48"/>
    </row>
    <row r="2449" spans="1:7" ht="15" hidden="1" thickBot="1">
      <c r="A2449" s="1008"/>
      <c r="B2449" s="1009"/>
      <c r="C2449" s="1009"/>
      <c r="D2449" s="1009"/>
      <c r="E2449" s="1009"/>
      <c r="F2449" s="1009"/>
      <c r="G2449" s="1010"/>
    </row>
    <row r="2450" spans="1:7" ht="15" hidden="1" thickBot="1">
      <c r="A2450" s="982"/>
      <c r="B2450" s="913"/>
      <c r="C2450" s="914"/>
      <c r="D2450" s="95"/>
      <c r="E2450" s="242"/>
      <c r="F2450" s="286"/>
      <c r="G2450" s="97"/>
    </row>
    <row r="2451" spans="1:7" hidden="1">
      <c r="A2451" s="87"/>
      <c r="B2451" s="930"/>
      <c r="C2451" s="931"/>
      <c r="D2451" s="88"/>
      <c r="E2451" s="251"/>
      <c r="F2451" s="284"/>
      <c r="G2451" s="90"/>
    </row>
    <row r="2452" spans="1:7" hidden="1">
      <c r="A2452" s="91"/>
      <c r="B2452" s="968"/>
      <c r="C2452" s="969"/>
      <c r="D2452" s="92"/>
      <c r="E2452" s="252"/>
      <c r="F2452" s="285"/>
      <c r="G2452" s="94"/>
    </row>
    <row r="2453" spans="1:7" hidden="1">
      <c r="A2453" s="91"/>
      <c r="B2453" s="968"/>
      <c r="C2453" s="969"/>
      <c r="D2453" s="92"/>
      <c r="E2453" s="252"/>
      <c r="F2453" s="285"/>
      <c r="G2453" s="94"/>
    </row>
    <row r="2454" spans="1:7" ht="15" hidden="1" thickBot="1">
      <c r="A2454" s="994"/>
      <c r="B2454" s="995"/>
      <c r="C2454" s="995"/>
      <c r="D2454" s="981"/>
      <c r="E2454" s="981"/>
      <c r="F2454" s="981"/>
      <c r="G2454" s="13"/>
    </row>
    <row r="2455" spans="1:7" ht="15" hidden="1" thickBot="1">
      <c r="A2455" s="982"/>
      <c r="B2455" s="983"/>
      <c r="C2455" s="983"/>
      <c r="D2455" s="983"/>
      <c r="E2455" s="983"/>
      <c r="F2455" s="983"/>
      <c r="G2455" s="984"/>
    </row>
    <row r="2456" spans="1:7" ht="15" hidden="1" thickBot="1">
      <c r="A2456" s="982"/>
      <c r="B2456" s="913"/>
      <c r="C2456" s="914"/>
      <c r="D2456" s="95"/>
      <c r="E2456" s="242"/>
      <c r="F2456" s="286"/>
      <c r="G2456" s="97"/>
    </row>
    <row r="2457" spans="1:7" hidden="1">
      <c r="A2457" s="108"/>
      <c r="B2457" s="968"/>
      <c r="C2457" s="969"/>
      <c r="D2457" s="92"/>
      <c r="E2457" s="252"/>
      <c r="F2457" s="285"/>
      <c r="G2457" s="94"/>
    </row>
    <row r="2458" spans="1:7" hidden="1">
      <c r="A2458" s="98"/>
      <c r="B2458" s="968"/>
      <c r="C2458" s="969"/>
      <c r="D2458" s="92"/>
      <c r="E2458" s="252"/>
      <c r="F2458" s="285"/>
      <c r="G2458" s="94"/>
    </row>
    <row r="2459" spans="1:7" hidden="1">
      <c r="A2459" s="98"/>
      <c r="B2459" s="928"/>
      <c r="C2459" s="929"/>
      <c r="D2459" s="99"/>
      <c r="E2459" s="253"/>
      <c r="F2459" s="287"/>
      <c r="G2459" s="102"/>
    </row>
    <row r="2460" spans="1:7" ht="15" hidden="1" thickBot="1">
      <c r="A2460" s="996"/>
      <c r="B2460" s="997"/>
      <c r="C2460" s="998"/>
      <c r="D2460" s="981"/>
      <c r="E2460" s="981"/>
      <c r="F2460" s="981"/>
      <c r="G2460" s="13"/>
    </row>
    <row r="2461" spans="1:7" ht="15" hidden="1" thickBot="1">
      <c r="A2461" s="982"/>
      <c r="B2461" s="983"/>
      <c r="C2461" s="983"/>
      <c r="D2461" s="983"/>
      <c r="E2461" s="983"/>
      <c r="F2461" s="983"/>
      <c r="G2461" s="984"/>
    </row>
    <row r="2462" spans="1:7" ht="15" hidden="1" thickBot="1">
      <c r="A2462" s="982"/>
      <c r="B2462" s="913"/>
      <c r="C2462" s="914"/>
      <c r="D2462" s="95"/>
      <c r="E2462" s="242"/>
      <c r="F2462" s="286"/>
      <c r="G2462" s="97"/>
    </row>
    <row r="2463" spans="1:7" ht="15" hidden="1" thickBot="1">
      <c r="A2463" s="103"/>
      <c r="B2463" s="942"/>
      <c r="C2463" s="943"/>
      <c r="D2463" s="104"/>
      <c r="E2463" s="247"/>
      <c r="F2463" s="284"/>
      <c r="G2463" s="159"/>
    </row>
    <row r="2464" spans="1:7" hidden="1">
      <c r="A2464" s="224"/>
      <c r="B2464" s="940"/>
      <c r="C2464" s="941"/>
      <c r="D2464" s="157"/>
      <c r="E2464" s="259"/>
      <c r="F2464" s="296"/>
      <c r="G2464" s="159"/>
    </row>
    <row r="2465" spans="1:7" ht="15" hidden="1" thickBot="1">
      <c r="A2465" s="978"/>
      <c r="B2465" s="979"/>
      <c r="C2465" s="980"/>
      <c r="D2465" s="981"/>
      <c r="E2465" s="981"/>
      <c r="F2465" s="981"/>
      <c r="G2465" s="13"/>
    </row>
    <row r="2466" spans="1:7" ht="15" hidden="1" thickBot="1">
      <c r="A2466" s="982"/>
      <c r="B2466" s="983"/>
      <c r="C2466" s="983"/>
      <c r="D2466" s="983"/>
      <c r="E2466" s="983"/>
      <c r="F2466" s="983"/>
      <c r="G2466" s="984"/>
    </row>
    <row r="2467" spans="1:7" ht="15" hidden="1" thickBot="1">
      <c r="A2467" s="982"/>
      <c r="B2467" s="913"/>
      <c r="C2467" s="914"/>
      <c r="D2467" s="95"/>
      <c r="E2467" s="242"/>
      <c r="F2467" s="289"/>
      <c r="G2467" s="97"/>
    </row>
    <row r="2468" spans="1:7" hidden="1">
      <c r="A2468" s="108"/>
      <c r="B2468" s="985"/>
      <c r="C2468" s="986"/>
      <c r="D2468" s="109"/>
      <c r="E2468" s="254"/>
      <c r="F2468" s="290"/>
      <c r="G2468" s="111"/>
    </row>
    <row r="2469" spans="1:7" ht="15" hidden="1" thickBot="1">
      <c r="A2469" s="987"/>
      <c r="B2469" s="988"/>
      <c r="C2469" s="989"/>
      <c r="D2469" s="990"/>
      <c r="E2469" s="990"/>
      <c r="F2469" s="990"/>
      <c r="G2469" s="14"/>
    </row>
    <row r="2470" spans="1:7" ht="15" hidden="1" thickBot="1">
      <c r="A2470" s="991"/>
      <c r="B2470" s="991"/>
      <c r="C2470" s="991"/>
      <c r="D2470" s="992"/>
      <c r="E2470" s="993"/>
      <c r="F2470" s="993"/>
      <c r="G2470" s="112"/>
    </row>
    <row r="2471" spans="1:7" ht="18.75" hidden="1" customHeight="1">
      <c r="A2471" s="49"/>
      <c r="B2471" s="49"/>
      <c r="C2471" s="49"/>
      <c r="D2471" s="49"/>
      <c r="F2471" s="307"/>
      <c r="G2471" s="49"/>
    </row>
    <row r="2472" spans="1:7" hidden="1">
      <c r="A2472" s="49"/>
      <c r="B2472" s="49"/>
      <c r="C2472" s="49"/>
      <c r="D2472" s="49"/>
      <c r="F2472" s="307"/>
      <c r="G2472" s="49"/>
    </row>
    <row r="2473" spans="1:7" ht="15" hidden="1" thickBot="1">
      <c r="A2473" s="1036"/>
      <c r="B2473" s="1037"/>
      <c r="C2473" s="1037"/>
      <c r="D2473" s="1037"/>
      <c r="E2473" s="1037"/>
      <c r="F2473" s="1037"/>
      <c r="G2473" s="1038"/>
    </row>
    <row r="2474" spans="1:7" ht="15" hidden="1" thickBot="1">
      <c r="A2474" s="1006"/>
      <c r="B2474" s="1007"/>
      <c r="C2474" s="1007"/>
      <c r="D2474" s="1007"/>
      <c r="E2474" s="1007"/>
      <c r="F2474" s="272"/>
      <c r="G2474" s="43"/>
    </row>
    <row r="2475" spans="1:7" ht="15" hidden="1" customHeight="1" thickBot="1">
      <c r="A2475" s="953"/>
      <c r="B2475" s="954"/>
      <c r="C2475" s="954"/>
      <c r="D2475" s="954"/>
      <c r="E2475" s="955"/>
      <c r="F2475" s="273"/>
      <c r="G2475" s="45"/>
    </row>
    <row r="2476" spans="1:7" ht="15" hidden="1" thickBot="1">
      <c r="A2476" s="956"/>
      <c r="B2476" s="957"/>
      <c r="C2476" s="957"/>
      <c r="D2476" s="957"/>
      <c r="E2476" s="958"/>
      <c r="F2476" s="273"/>
      <c r="G2476" s="46"/>
    </row>
    <row r="2477" spans="1:7" ht="15" hidden="1" thickBot="1">
      <c r="A2477" s="959"/>
      <c r="B2477" s="960"/>
      <c r="C2477" s="960"/>
      <c r="D2477" s="960"/>
      <c r="E2477" s="961"/>
      <c r="F2477" s="274"/>
      <c r="G2477" s="48"/>
    </row>
    <row r="2478" spans="1:7" ht="15" hidden="1" thickBot="1">
      <c r="A2478" s="1008"/>
      <c r="B2478" s="1009"/>
      <c r="C2478" s="1009"/>
      <c r="D2478" s="1009"/>
      <c r="E2478" s="1009"/>
      <c r="F2478" s="1009"/>
      <c r="G2478" s="1010"/>
    </row>
    <row r="2479" spans="1:7" ht="15" hidden="1" thickBot="1">
      <c r="A2479" s="982"/>
      <c r="B2479" s="913"/>
      <c r="C2479" s="914"/>
      <c r="D2479" s="95"/>
      <c r="E2479" s="242"/>
      <c r="F2479" s="286"/>
      <c r="G2479" s="97"/>
    </row>
    <row r="2480" spans="1:7" hidden="1">
      <c r="A2480" s="87"/>
      <c r="B2480" s="930"/>
      <c r="C2480" s="931"/>
      <c r="D2480" s="88"/>
      <c r="E2480" s="251"/>
      <c r="F2480" s="284"/>
      <c r="G2480" s="90"/>
    </row>
    <row r="2481" spans="1:7" hidden="1">
      <c r="A2481" s="91"/>
      <c r="B2481" s="968"/>
      <c r="C2481" s="969"/>
      <c r="D2481" s="92"/>
      <c r="E2481" s="252"/>
      <c r="F2481" s="285"/>
      <c r="G2481" s="94"/>
    </row>
    <row r="2482" spans="1:7" hidden="1">
      <c r="A2482" s="91"/>
      <c r="B2482" s="968"/>
      <c r="C2482" s="969"/>
      <c r="D2482" s="92"/>
      <c r="E2482" s="252"/>
      <c r="F2482" s="285"/>
      <c r="G2482" s="94"/>
    </row>
    <row r="2483" spans="1:7" ht="15" hidden="1" thickBot="1">
      <c r="A2483" s="994"/>
      <c r="B2483" s="995"/>
      <c r="C2483" s="995"/>
      <c r="D2483" s="981"/>
      <c r="E2483" s="981"/>
      <c r="F2483" s="981"/>
      <c r="G2483" s="13"/>
    </row>
    <row r="2484" spans="1:7" ht="15" hidden="1" thickBot="1">
      <c r="A2484" s="982"/>
      <c r="B2484" s="983"/>
      <c r="C2484" s="983"/>
      <c r="D2484" s="983"/>
      <c r="E2484" s="983"/>
      <c r="F2484" s="983"/>
      <c r="G2484" s="984"/>
    </row>
    <row r="2485" spans="1:7" ht="15" hidden="1" thickBot="1">
      <c r="A2485" s="982"/>
      <c r="B2485" s="913"/>
      <c r="C2485" s="914"/>
      <c r="D2485" s="95"/>
      <c r="E2485" s="242"/>
      <c r="F2485" s="286"/>
      <c r="G2485" s="97"/>
    </row>
    <row r="2486" spans="1:7" hidden="1">
      <c r="A2486" s="98"/>
      <c r="B2486" s="928"/>
      <c r="C2486" s="929"/>
      <c r="D2486" s="99"/>
      <c r="E2486" s="253"/>
      <c r="F2486" s="287"/>
      <c r="G2486" s="102"/>
    </row>
    <row r="2487" spans="1:7" hidden="1">
      <c r="A2487" s="98"/>
      <c r="B2487" s="928"/>
      <c r="C2487" s="929"/>
      <c r="D2487" s="92"/>
      <c r="E2487" s="252"/>
      <c r="F2487" s="287"/>
      <c r="G2487" s="102"/>
    </row>
    <row r="2488" spans="1:7" hidden="1">
      <c r="A2488" s="98"/>
      <c r="B2488" s="928"/>
      <c r="C2488" s="929"/>
      <c r="D2488" s="99"/>
      <c r="E2488" s="253"/>
      <c r="F2488" s="287"/>
      <c r="G2488" s="102"/>
    </row>
    <row r="2489" spans="1:7" hidden="1">
      <c r="A2489" s="98"/>
      <c r="B2489" s="928"/>
      <c r="C2489" s="929"/>
      <c r="D2489" s="99"/>
      <c r="E2489" s="253"/>
      <c r="F2489" s="287"/>
      <c r="G2489" s="102"/>
    </row>
    <row r="2490" spans="1:7" ht="15" hidden="1" thickBot="1">
      <c r="A2490" s="996"/>
      <c r="B2490" s="997"/>
      <c r="C2490" s="998"/>
      <c r="D2490" s="981"/>
      <c r="E2490" s="981"/>
      <c r="F2490" s="981"/>
      <c r="G2490" s="13"/>
    </row>
    <row r="2491" spans="1:7" ht="15" hidden="1" thickBot="1">
      <c r="A2491" s="982"/>
      <c r="B2491" s="983"/>
      <c r="C2491" s="983"/>
      <c r="D2491" s="983"/>
      <c r="E2491" s="983"/>
      <c r="F2491" s="983"/>
      <c r="G2491" s="984"/>
    </row>
    <row r="2492" spans="1:7" ht="15" hidden="1" thickBot="1">
      <c r="A2492" s="982"/>
      <c r="B2492" s="913"/>
      <c r="C2492" s="914"/>
      <c r="D2492" s="95"/>
      <c r="E2492" s="242"/>
      <c r="F2492" s="286"/>
      <c r="G2492" s="97"/>
    </row>
    <row r="2493" spans="1:7" ht="15" hidden="1" thickBot="1">
      <c r="A2493" s="103"/>
      <c r="B2493" s="942"/>
      <c r="C2493" s="943"/>
      <c r="D2493" s="104"/>
      <c r="E2493" s="247"/>
      <c r="F2493" s="284"/>
      <c r="G2493" s="106"/>
    </row>
    <row r="2494" spans="1:7" ht="15" hidden="1" thickBot="1">
      <c r="A2494" s="103"/>
      <c r="B2494" s="942"/>
      <c r="C2494" s="943"/>
      <c r="D2494" s="104"/>
      <c r="E2494" s="247"/>
      <c r="F2494" s="288"/>
      <c r="G2494" s="106"/>
    </row>
    <row r="2495" spans="1:7" ht="15" hidden="1" thickBot="1">
      <c r="A2495" s="978"/>
      <c r="B2495" s="979"/>
      <c r="C2495" s="980"/>
      <c r="D2495" s="981"/>
      <c r="E2495" s="981"/>
      <c r="F2495" s="981"/>
      <c r="G2495" s="13"/>
    </row>
    <row r="2496" spans="1:7" ht="15" hidden="1" thickBot="1">
      <c r="A2496" s="982"/>
      <c r="B2496" s="983"/>
      <c r="C2496" s="983"/>
      <c r="D2496" s="983"/>
      <c r="E2496" s="983"/>
      <c r="F2496" s="983"/>
      <c r="G2496" s="984"/>
    </row>
    <row r="2497" spans="1:7" ht="15" hidden="1" thickBot="1">
      <c r="A2497" s="982"/>
      <c r="B2497" s="913"/>
      <c r="C2497" s="914"/>
      <c r="D2497" s="95"/>
      <c r="E2497" s="242"/>
      <c r="F2497" s="289"/>
      <c r="G2497" s="97"/>
    </row>
    <row r="2498" spans="1:7" hidden="1">
      <c r="A2498" s="108"/>
      <c r="B2498" s="985"/>
      <c r="C2498" s="986"/>
      <c r="D2498" s="109"/>
      <c r="E2498" s="254"/>
      <c r="F2498" s="290"/>
      <c r="G2498" s="111"/>
    </row>
    <row r="2499" spans="1:7" ht="15" hidden="1" thickBot="1">
      <c r="A2499" s="987"/>
      <c r="B2499" s="988"/>
      <c r="C2499" s="989"/>
      <c r="D2499" s="990"/>
      <c r="E2499" s="990"/>
      <c r="F2499" s="990"/>
      <c r="G2499" s="14"/>
    </row>
    <row r="2500" spans="1:7" ht="15" hidden="1" thickBot="1">
      <c r="A2500" s="991"/>
      <c r="B2500" s="991"/>
      <c r="C2500" s="991"/>
      <c r="D2500" s="992"/>
      <c r="E2500" s="993"/>
      <c r="F2500" s="993"/>
      <c r="G2500" s="112"/>
    </row>
    <row r="2501" spans="1:7" hidden="1">
      <c r="A2501" s="49"/>
      <c r="B2501" s="49"/>
      <c r="C2501" s="49"/>
      <c r="D2501" s="49"/>
      <c r="F2501" s="307"/>
      <c r="G2501" s="49"/>
    </row>
    <row r="2502" spans="1:7" hidden="1">
      <c r="A2502" s="49"/>
      <c r="B2502" s="49"/>
      <c r="C2502" s="49"/>
      <c r="D2502" s="49"/>
      <c r="F2502" s="307"/>
      <c r="G2502" s="49"/>
    </row>
    <row r="2503" spans="1:7" ht="15" hidden="1" thickBot="1">
      <c r="A2503" s="1036"/>
      <c r="B2503" s="1037"/>
      <c r="C2503" s="1037"/>
      <c r="D2503" s="1037"/>
      <c r="E2503" s="1037"/>
      <c r="F2503" s="1037"/>
      <c r="G2503" s="1038"/>
    </row>
    <row r="2504" spans="1:7" ht="15" hidden="1" thickBot="1">
      <c r="A2504" s="1006"/>
      <c r="B2504" s="1007"/>
      <c r="C2504" s="1007"/>
      <c r="D2504" s="1007"/>
      <c r="E2504" s="1007"/>
      <c r="F2504" s="272"/>
      <c r="G2504" s="43"/>
    </row>
    <row r="2505" spans="1:7" ht="15" hidden="1" customHeight="1" thickBot="1">
      <c r="A2505" s="953"/>
      <c r="B2505" s="954"/>
      <c r="C2505" s="954"/>
      <c r="D2505" s="954"/>
      <c r="E2505" s="955"/>
      <c r="F2505" s="273"/>
      <c r="G2505" s="45"/>
    </row>
    <row r="2506" spans="1:7" ht="15" hidden="1" thickBot="1">
      <c r="A2506" s="956"/>
      <c r="B2506" s="957"/>
      <c r="C2506" s="957"/>
      <c r="D2506" s="957"/>
      <c r="E2506" s="958"/>
      <c r="F2506" s="273"/>
      <c r="G2506" s="46"/>
    </row>
    <row r="2507" spans="1:7" ht="15" hidden="1" thickBot="1">
      <c r="A2507" s="959"/>
      <c r="B2507" s="960"/>
      <c r="C2507" s="960"/>
      <c r="D2507" s="960"/>
      <c r="E2507" s="961"/>
      <c r="F2507" s="274"/>
      <c r="G2507" s="48"/>
    </row>
    <row r="2508" spans="1:7" ht="15" hidden="1" thickBot="1">
      <c r="A2508" s="1008"/>
      <c r="B2508" s="1009"/>
      <c r="C2508" s="1009"/>
      <c r="D2508" s="1009"/>
      <c r="E2508" s="1009"/>
      <c r="F2508" s="1009"/>
      <c r="G2508" s="1010"/>
    </row>
    <row r="2509" spans="1:7" ht="15" hidden="1" thickBot="1">
      <c r="A2509" s="982"/>
      <c r="B2509" s="913"/>
      <c r="C2509" s="914"/>
      <c r="D2509" s="95"/>
      <c r="E2509" s="242"/>
      <c r="F2509" s="286"/>
      <c r="G2509" s="97"/>
    </row>
    <row r="2510" spans="1:7" hidden="1">
      <c r="A2510" s="87"/>
      <c r="B2510" s="930"/>
      <c r="C2510" s="931"/>
      <c r="D2510" s="88"/>
      <c r="E2510" s="251"/>
      <c r="F2510" s="284"/>
      <c r="G2510" s="90"/>
    </row>
    <row r="2511" spans="1:7" hidden="1">
      <c r="A2511" s="91"/>
      <c r="B2511" s="968"/>
      <c r="C2511" s="969"/>
      <c r="D2511" s="92"/>
      <c r="E2511" s="252"/>
      <c r="F2511" s="285"/>
      <c r="G2511" s="94"/>
    </row>
    <row r="2512" spans="1:7" hidden="1">
      <c r="A2512" s="91"/>
      <c r="B2512" s="968"/>
      <c r="C2512" s="969"/>
      <c r="D2512" s="92"/>
      <c r="E2512" s="252"/>
      <c r="F2512" s="285"/>
      <c r="G2512" s="94"/>
    </row>
    <row r="2513" spans="1:7" ht="15" hidden="1" thickBot="1">
      <c r="A2513" s="994"/>
      <c r="B2513" s="995"/>
      <c r="C2513" s="995"/>
      <c r="D2513" s="981"/>
      <c r="E2513" s="981"/>
      <c r="F2513" s="981"/>
      <c r="G2513" s="13"/>
    </row>
    <row r="2514" spans="1:7" ht="15" hidden="1" thickBot="1">
      <c r="A2514" s="982"/>
      <c r="B2514" s="983"/>
      <c r="C2514" s="983"/>
      <c r="D2514" s="983"/>
      <c r="E2514" s="983"/>
      <c r="F2514" s="983"/>
      <c r="G2514" s="984"/>
    </row>
    <row r="2515" spans="1:7" ht="15" hidden="1" thickBot="1">
      <c r="A2515" s="982"/>
      <c r="B2515" s="913"/>
      <c r="C2515" s="914"/>
      <c r="D2515" s="95"/>
      <c r="E2515" s="242"/>
      <c r="F2515" s="286"/>
      <c r="G2515" s="97"/>
    </row>
    <row r="2516" spans="1:7" hidden="1">
      <c r="A2516" s="98"/>
      <c r="B2516" s="928"/>
      <c r="C2516" s="929"/>
      <c r="D2516" s="99"/>
      <c r="E2516" s="253"/>
      <c r="F2516" s="287"/>
      <c r="G2516" s="102"/>
    </row>
    <row r="2517" spans="1:7" hidden="1">
      <c r="A2517" s="98"/>
      <c r="B2517" s="928"/>
      <c r="C2517" s="929"/>
      <c r="D2517" s="92"/>
      <c r="E2517" s="252"/>
      <c r="F2517" s="287"/>
      <c r="G2517" s="102"/>
    </row>
    <row r="2518" spans="1:7" hidden="1">
      <c r="A2518" s="98"/>
      <c r="B2518" s="928"/>
      <c r="C2518" s="929"/>
      <c r="D2518" s="99"/>
      <c r="E2518" s="253"/>
      <c r="F2518" s="287"/>
      <c r="G2518" s="102"/>
    </row>
    <row r="2519" spans="1:7" hidden="1">
      <c r="A2519" s="98"/>
      <c r="B2519" s="928"/>
      <c r="C2519" s="929"/>
      <c r="D2519" s="99"/>
      <c r="E2519" s="253"/>
      <c r="F2519" s="287"/>
      <c r="G2519" s="102"/>
    </row>
    <row r="2520" spans="1:7" ht="15" hidden="1" thickBot="1">
      <c r="A2520" s="996"/>
      <c r="B2520" s="997"/>
      <c r="C2520" s="998"/>
      <c r="D2520" s="981"/>
      <c r="E2520" s="981"/>
      <c r="F2520" s="981"/>
      <c r="G2520" s="13"/>
    </row>
    <row r="2521" spans="1:7" ht="15" hidden="1" thickBot="1">
      <c r="A2521" s="982"/>
      <c r="B2521" s="983"/>
      <c r="C2521" s="983"/>
      <c r="D2521" s="983"/>
      <c r="E2521" s="983"/>
      <c r="F2521" s="983"/>
      <c r="G2521" s="984"/>
    </row>
    <row r="2522" spans="1:7" ht="15" hidden="1" thickBot="1">
      <c r="A2522" s="982"/>
      <c r="B2522" s="913"/>
      <c r="C2522" s="914"/>
      <c r="D2522" s="95"/>
      <c r="E2522" s="242"/>
      <c r="F2522" s="286"/>
      <c r="G2522" s="97"/>
    </row>
    <row r="2523" spans="1:7" ht="15" hidden="1" thickBot="1">
      <c r="A2523" s="103"/>
      <c r="B2523" s="942"/>
      <c r="C2523" s="943"/>
      <c r="D2523" s="104"/>
      <c r="E2523" s="247"/>
      <c r="F2523" s="288"/>
      <c r="G2523" s="106"/>
    </row>
    <row r="2524" spans="1:7" ht="15" hidden="1" thickBot="1">
      <c r="A2524" s="978"/>
      <c r="B2524" s="979"/>
      <c r="C2524" s="980"/>
      <c r="D2524" s="981"/>
      <c r="E2524" s="981"/>
      <c r="F2524" s="981"/>
      <c r="G2524" s="13"/>
    </row>
    <row r="2525" spans="1:7" ht="15" hidden="1" thickBot="1">
      <c r="A2525" s="982"/>
      <c r="B2525" s="983"/>
      <c r="C2525" s="983"/>
      <c r="D2525" s="983"/>
      <c r="E2525" s="983"/>
      <c r="F2525" s="983"/>
      <c r="G2525" s="984"/>
    </row>
    <row r="2526" spans="1:7" ht="15" hidden="1" thickBot="1">
      <c r="A2526" s="982"/>
      <c r="B2526" s="913"/>
      <c r="C2526" s="914"/>
      <c r="D2526" s="95"/>
      <c r="E2526" s="242"/>
      <c r="F2526" s="289"/>
      <c r="G2526" s="97"/>
    </row>
    <row r="2527" spans="1:7" hidden="1">
      <c r="A2527" s="108"/>
      <c r="B2527" s="985"/>
      <c r="C2527" s="986"/>
      <c r="D2527" s="109"/>
      <c r="E2527" s="254"/>
      <c r="F2527" s="290"/>
      <c r="G2527" s="111"/>
    </row>
    <row r="2528" spans="1:7" ht="15" hidden="1" thickBot="1">
      <c r="A2528" s="987"/>
      <c r="B2528" s="988"/>
      <c r="C2528" s="989"/>
      <c r="D2528" s="990"/>
      <c r="E2528" s="990"/>
      <c r="F2528" s="990"/>
      <c r="G2528" s="14"/>
    </row>
    <row r="2529" spans="1:7" ht="15" hidden="1" thickBot="1">
      <c r="A2529" s="991"/>
      <c r="B2529" s="991"/>
      <c r="C2529" s="991"/>
      <c r="D2529" s="992"/>
      <c r="E2529" s="993"/>
      <c r="F2529" s="993"/>
      <c r="G2529" s="112"/>
    </row>
    <row r="2530" spans="1:7" hidden="1">
      <c r="A2530" s="49"/>
      <c r="B2530" s="49"/>
      <c r="C2530" s="49"/>
      <c r="D2530" s="49"/>
      <c r="F2530" s="307"/>
      <c r="G2530" s="49"/>
    </row>
    <row r="2531" spans="1:7" hidden="1">
      <c r="A2531" s="49"/>
      <c r="B2531" s="49"/>
      <c r="C2531" s="49"/>
      <c r="D2531" s="49"/>
      <c r="F2531" s="307"/>
      <c r="G2531" s="49"/>
    </row>
    <row r="2532" spans="1:7" ht="15" hidden="1" thickBot="1">
      <c r="A2532" s="1036"/>
      <c r="B2532" s="1037"/>
      <c r="C2532" s="1037"/>
      <c r="D2532" s="1037"/>
      <c r="E2532" s="1037"/>
      <c r="F2532" s="1037"/>
      <c r="G2532" s="1038"/>
    </row>
    <row r="2533" spans="1:7" ht="15" hidden="1" thickBot="1">
      <c r="A2533" s="1006"/>
      <c r="B2533" s="1007"/>
      <c r="C2533" s="1007"/>
      <c r="D2533" s="1007"/>
      <c r="E2533" s="1007"/>
      <c r="F2533" s="272"/>
      <c r="G2533" s="43"/>
    </row>
    <row r="2534" spans="1:7" ht="15" hidden="1" customHeight="1" thickBot="1">
      <c r="A2534" s="1018"/>
      <c r="B2534" s="1019"/>
      <c r="C2534" s="1019"/>
      <c r="D2534" s="1019"/>
      <c r="E2534" s="1020"/>
      <c r="F2534" s="273"/>
      <c r="G2534" s="45"/>
    </row>
    <row r="2535" spans="1:7" ht="15" hidden="1" thickBot="1">
      <c r="A2535" s="1021"/>
      <c r="B2535" s="1022"/>
      <c r="C2535" s="1022"/>
      <c r="D2535" s="1022"/>
      <c r="E2535" s="1023"/>
      <c r="F2535" s="273"/>
      <c r="G2535" s="46"/>
    </row>
    <row r="2536" spans="1:7" ht="15" hidden="1" thickBot="1">
      <c r="A2536" s="1024"/>
      <c r="B2536" s="1025"/>
      <c r="C2536" s="1025"/>
      <c r="D2536" s="1025"/>
      <c r="E2536" s="1026"/>
      <c r="F2536" s="274"/>
      <c r="G2536" s="48"/>
    </row>
    <row r="2537" spans="1:7" ht="15" hidden="1" thickBot="1">
      <c r="A2537" s="1008"/>
      <c r="B2537" s="1009"/>
      <c r="C2537" s="1009"/>
      <c r="D2537" s="1009"/>
      <c r="E2537" s="1009"/>
      <c r="F2537" s="1009"/>
      <c r="G2537" s="1010"/>
    </row>
    <row r="2538" spans="1:7" ht="15" hidden="1" thickBot="1">
      <c r="A2538" s="982"/>
      <c r="B2538" s="913"/>
      <c r="C2538" s="914"/>
      <c r="D2538" s="95"/>
      <c r="E2538" s="242"/>
      <c r="F2538" s="286"/>
      <c r="G2538" s="97"/>
    </row>
    <row r="2539" spans="1:7" hidden="1">
      <c r="A2539" s="87"/>
      <c r="B2539" s="930"/>
      <c r="C2539" s="931"/>
      <c r="D2539" s="88"/>
      <c r="E2539" s="251"/>
      <c r="F2539" s="284"/>
      <c r="G2539" s="90"/>
    </row>
    <row r="2540" spans="1:7" hidden="1">
      <c r="A2540" s="91"/>
      <c r="B2540" s="968"/>
      <c r="C2540" s="969"/>
      <c r="D2540" s="92"/>
      <c r="E2540" s="252"/>
      <c r="F2540" s="285"/>
      <c r="G2540" s="94"/>
    </row>
    <row r="2541" spans="1:7" hidden="1">
      <c r="A2541" s="91"/>
      <c r="B2541" s="968"/>
      <c r="C2541" s="969"/>
      <c r="D2541" s="92"/>
      <c r="E2541" s="252"/>
      <c r="F2541" s="285"/>
      <c r="G2541" s="94"/>
    </row>
    <row r="2542" spans="1:7" ht="15" hidden="1" thickBot="1">
      <c r="A2542" s="994"/>
      <c r="B2542" s="995"/>
      <c r="C2542" s="995"/>
      <c r="D2542" s="981"/>
      <c r="E2542" s="981"/>
      <c r="F2542" s="981"/>
      <c r="G2542" s="13"/>
    </row>
    <row r="2543" spans="1:7" ht="15" hidden="1" thickBot="1">
      <c r="A2543" s="982"/>
      <c r="B2543" s="983"/>
      <c r="C2543" s="983"/>
      <c r="D2543" s="983"/>
      <c r="E2543" s="983"/>
      <c r="F2543" s="983"/>
      <c r="G2543" s="984"/>
    </row>
    <row r="2544" spans="1:7" ht="15" hidden="1" thickBot="1">
      <c r="A2544" s="982"/>
      <c r="B2544" s="913"/>
      <c r="C2544" s="914"/>
      <c r="D2544" s="95"/>
      <c r="E2544" s="242"/>
      <c r="F2544" s="286"/>
      <c r="G2544" s="97"/>
    </row>
    <row r="2545" spans="1:7" hidden="1">
      <c r="A2545" s="98"/>
      <c r="B2545" s="928"/>
      <c r="C2545" s="929"/>
      <c r="D2545" s="99"/>
      <c r="E2545" s="253"/>
      <c r="F2545" s="287"/>
      <c r="G2545" s="102"/>
    </row>
    <row r="2546" spans="1:7" hidden="1">
      <c r="A2546" s="98"/>
      <c r="B2546" s="928"/>
      <c r="C2546" s="929"/>
      <c r="D2546" s="92"/>
      <c r="E2546" s="252"/>
      <c r="F2546" s="287"/>
      <c r="G2546" s="102"/>
    </row>
    <row r="2547" spans="1:7" hidden="1">
      <c r="A2547" s="98"/>
      <c r="B2547" s="928"/>
      <c r="C2547" s="929"/>
      <c r="D2547" s="99"/>
      <c r="E2547" s="253"/>
      <c r="F2547" s="287"/>
      <c r="G2547" s="102"/>
    </row>
    <row r="2548" spans="1:7" hidden="1">
      <c r="A2548" s="98"/>
      <c r="B2548" s="928"/>
      <c r="C2548" s="929"/>
      <c r="D2548" s="99"/>
      <c r="E2548" s="253"/>
      <c r="F2548" s="287"/>
      <c r="G2548" s="102"/>
    </row>
    <row r="2549" spans="1:7" ht="15" hidden="1" thickBot="1">
      <c r="A2549" s="996"/>
      <c r="B2549" s="997"/>
      <c r="C2549" s="998"/>
      <c r="D2549" s="981"/>
      <c r="E2549" s="981"/>
      <c r="F2549" s="981"/>
      <c r="G2549" s="13"/>
    </row>
    <row r="2550" spans="1:7" ht="15" hidden="1" thickBot="1">
      <c r="A2550" s="982"/>
      <c r="B2550" s="983"/>
      <c r="C2550" s="983"/>
      <c r="D2550" s="983"/>
      <c r="E2550" s="983"/>
      <c r="F2550" s="983"/>
      <c r="G2550" s="984"/>
    </row>
    <row r="2551" spans="1:7" ht="15" hidden="1" thickBot="1">
      <c r="A2551" s="982"/>
      <c r="B2551" s="913"/>
      <c r="C2551" s="914"/>
      <c r="D2551" s="95"/>
      <c r="E2551" s="242"/>
      <c r="F2551" s="286"/>
      <c r="G2551" s="97"/>
    </row>
    <row r="2552" spans="1:7" ht="15" hidden="1" thickBot="1">
      <c r="A2552" s="103"/>
      <c r="B2552" s="942"/>
      <c r="C2552" s="943"/>
      <c r="D2552" s="104"/>
      <c r="E2552" s="247"/>
      <c r="F2552" s="288"/>
      <c r="G2552" s="106"/>
    </row>
    <row r="2553" spans="1:7" ht="15" hidden="1" thickBot="1">
      <c r="A2553" s="978"/>
      <c r="B2553" s="979"/>
      <c r="C2553" s="980"/>
      <c r="D2553" s="981"/>
      <c r="E2553" s="981"/>
      <c r="F2553" s="981"/>
      <c r="G2553" s="13"/>
    </row>
    <row r="2554" spans="1:7" ht="15" hidden="1" thickBot="1">
      <c r="A2554" s="982"/>
      <c r="B2554" s="983"/>
      <c r="C2554" s="983"/>
      <c r="D2554" s="983"/>
      <c r="E2554" s="983"/>
      <c r="F2554" s="983"/>
      <c r="G2554" s="984"/>
    </row>
    <row r="2555" spans="1:7" ht="15" hidden="1" thickBot="1">
      <c r="A2555" s="982"/>
      <c r="B2555" s="913"/>
      <c r="C2555" s="914"/>
      <c r="D2555" s="95"/>
      <c r="E2555" s="242"/>
      <c r="F2555" s="289"/>
      <c r="G2555" s="97"/>
    </row>
    <row r="2556" spans="1:7" hidden="1">
      <c r="A2556" s="108"/>
      <c r="B2556" s="985"/>
      <c r="C2556" s="986"/>
      <c r="D2556" s="109"/>
      <c r="E2556" s="254"/>
      <c r="F2556" s="290"/>
      <c r="G2556" s="111"/>
    </row>
    <row r="2557" spans="1:7" ht="15" hidden="1" thickBot="1">
      <c r="A2557" s="987"/>
      <c r="B2557" s="988"/>
      <c r="C2557" s="989"/>
      <c r="D2557" s="990"/>
      <c r="E2557" s="990"/>
      <c r="F2557" s="990"/>
      <c r="G2557" s="14"/>
    </row>
    <row r="2558" spans="1:7" ht="15" hidden="1" thickBot="1">
      <c r="A2558" s="991"/>
      <c r="B2558" s="991"/>
      <c r="C2558" s="991"/>
      <c r="D2558" s="992"/>
      <c r="E2558" s="993"/>
      <c r="F2558" s="993"/>
      <c r="G2558" s="112"/>
    </row>
    <row r="2559" spans="1:7" hidden="1">
      <c r="A2559" s="49"/>
      <c r="B2559" s="49"/>
      <c r="C2559" s="49"/>
      <c r="D2559" s="49"/>
      <c r="F2559" s="307"/>
      <c r="G2559" s="49"/>
    </row>
    <row r="2560" spans="1:7" hidden="1">
      <c r="A2560" s="49"/>
      <c r="B2560" s="49"/>
      <c r="C2560" s="49"/>
      <c r="D2560" s="49"/>
      <c r="F2560" s="307"/>
      <c r="G2560" s="49"/>
    </row>
    <row r="2561" spans="1:7" ht="15" hidden="1" thickBot="1">
      <c r="A2561" s="1036"/>
      <c r="B2561" s="1037"/>
      <c r="C2561" s="1037"/>
      <c r="D2561" s="1037"/>
      <c r="E2561" s="1037"/>
      <c r="F2561" s="1037"/>
      <c r="G2561" s="1038"/>
    </row>
    <row r="2562" spans="1:7" ht="15" hidden="1" thickBot="1">
      <c r="A2562" s="1006"/>
      <c r="B2562" s="1007"/>
      <c r="C2562" s="1007"/>
      <c r="D2562" s="1007"/>
      <c r="E2562" s="1007"/>
      <c r="F2562" s="272"/>
      <c r="G2562" s="43"/>
    </row>
    <row r="2563" spans="1:7" ht="15" hidden="1" customHeight="1" thickBot="1">
      <c r="A2563" s="1018"/>
      <c r="B2563" s="1019"/>
      <c r="C2563" s="1019"/>
      <c r="D2563" s="1019"/>
      <c r="E2563" s="1020"/>
      <c r="F2563" s="273"/>
      <c r="G2563" s="45"/>
    </row>
    <row r="2564" spans="1:7" ht="15" hidden="1" thickBot="1">
      <c r="A2564" s="1021"/>
      <c r="B2564" s="1022"/>
      <c r="C2564" s="1022"/>
      <c r="D2564" s="1022"/>
      <c r="E2564" s="1023"/>
      <c r="F2564" s="273"/>
      <c r="G2564" s="46"/>
    </row>
    <row r="2565" spans="1:7" ht="15" hidden="1" thickBot="1">
      <c r="A2565" s="1024"/>
      <c r="B2565" s="1025"/>
      <c r="C2565" s="1025"/>
      <c r="D2565" s="1025"/>
      <c r="E2565" s="1026"/>
      <c r="F2565" s="274"/>
      <c r="G2565" s="48"/>
    </row>
    <row r="2566" spans="1:7" ht="15" hidden="1" thickBot="1">
      <c r="A2566" s="1008"/>
      <c r="B2566" s="1009"/>
      <c r="C2566" s="1009"/>
      <c r="D2566" s="1009"/>
      <c r="E2566" s="1009"/>
      <c r="F2566" s="1009"/>
      <c r="G2566" s="1010"/>
    </row>
    <row r="2567" spans="1:7" ht="15" hidden="1" thickBot="1">
      <c r="A2567" s="982"/>
      <c r="B2567" s="913"/>
      <c r="C2567" s="914"/>
      <c r="D2567" s="95"/>
      <c r="E2567" s="242"/>
      <c r="F2567" s="286"/>
      <c r="G2567" s="97"/>
    </row>
    <row r="2568" spans="1:7" hidden="1">
      <c r="A2568" s="87"/>
      <c r="B2568" s="930"/>
      <c r="C2568" s="931"/>
      <c r="D2568" s="88"/>
      <c r="E2568" s="251"/>
      <c r="F2568" s="284"/>
      <c r="G2568" s="90"/>
    </row>
    <row r="2569" spans="1:7" hidden="1">
      <c r="A2569" s="91"/>
      <c r="B2569" s="968"/>
      <c r="C2569" s="969"/>
      <c r="D2569" s="92"/>
      <c r="E2569" s="252"/>
      <c r="F2569" s="285"/>
      <c r="G2569" s="94"/>
    </row>
    <row r="2570" spans="1:7" hidden="1">
      <c r="A2570" s="91"/>
      <c r="B2570" s="968"/>
      <c r="C2570" s="969"/>
      <c r="D2570" s="92"/>
      <c r="E2570" s="252"/>
      <c r="F2570" s="285"/>
      <c r="G2570" s="94"/>
    </row>
    <row r="2571" spans="1:7" ht="15" hidden="1" thickBot="1">
      <c r="A2571" s="994"/>
      <c r="B2571" s="995"/>
      <c r="C2571" s="995"/>
      <c r="D2571" s="981"/>
      <c r="E2571" s="981"/>
      <c r="F2571" s="981"/>
      <c r="G2571" s="13"/>
    </row>
    <row r="2572" spans="1:7" ht="15" hidden="1" thickBot="1">
      <c r="A2572" s="982"/>
      <c r="B2572" s="983"/>
      <c r="C2572" s="983"/>
      <c r="D2572" s="983"/>
      <c r="E2572" s="983"/>
      <c r="F2572" s="983"/>
      <c r="G2572" s="984"/>
    </row>
    <row r="2573" spans="1:7" ht="15" hidden="1" thickBot="1">
      <c r="A2573" s="982"/>
      <c r="B2573" s="913"/>
      <c r="C2573" s="914"/>
      <c r="D2573" s="95"/>
      <c r="E2573" s="242"/>
      <c r="F2573" s="286"/>
      <c r="G2573" s="97"/>
    </row>
    <row r="2574" spans="1:7" ht="15" hidden="1" thickBot="1">
      <c r="A2574" s="98"/>
      <c r="B2574" s="930"/>
      <c r="C2574" s="931"/>
      <c r="D2574" s="88"/>
      <c r="E2574" s="251"/>
      <c r="F2574" s="284"/>
      <c r="G2574" s="90"/>
    </row>
    <row r="2575" spans="1:7" ht="14.45" hidden="1" customHeight="1">
      <c r="A2575" s="98"/>
      <c r="B2575" s="930"/>
      <c r="C2575" s="931"/>
      <c r="D2575" s="88"/>
      <c r="E2575" s="251"/>
      <c r="F2575" s="284"/>
      <c r="G2575" s="90"/>
    </row>
    <row r="2576" spans="1:7" hidden="1">
      <c r="A2576" s="98"/>
      <c r="B2576" s="928"/>
      <c r="C2576" s="929"/>
      <c r="D2576" s="99"/>
      <c r="E2576" s="253"/>
      <c r="F2576" s="287"/>
      <c r="G2576" s="102"/>
    </row>
    <row r="2577" spans="1:7" ht="15" hidden="1" thickBot="1">
      <c r="A2577" s="996"/>
      <c r="B2577" s="997"/>
      <c r="C2577" s="998"/>
      <c r="D2577" s="981"/>
      <c r="E2577" s="981"/>
      <c r="F2577" s="981"/>
      <c r="G2577" s="13"/>
    </row>
    <row r="2578" spans="1:7" ht="15" hidden="1" thickBot="1">
      <c r="A2578" s="982"/>
      <c r="B2578" s="983"/>
      <c r="C2578" s="983"/>
      <c r="D2578" s="983"/>
      <c r="E2578" s="983"/>
      <c r="F2578" s="983"/>
      <c r="G2578" s="984"/>
    </row>
    <row r="2579" spans="1:7" ht="15" hidden="1" thickBot="1">
      <c r="A2579" s="982"/>
      <c r="B2579" s="913"/>
      <c r="C2579" s="914"/>
      <c r="D2579" s="95"/>
      <c r="E2579" s="242"/>
      <c r="F2579" s="286"/>
      <c r="G2579" s="97"/>
    </row>
    <row r="2580" spans="1:7" ht="15" hidden="1" thickBot="1">
      <c r="A2580" s="103"/>
      <c r="B2580" s="942"/>
      <c r="C2580" s="943"/>
      <c r="D2580" s="104"/>
      <c r="E2580" s="247"/>
      <c r="F2580" s="288"/>
      <c r="G2580" s="106"/>
    </row>
    <row r="2581" spans="1:7" ht="15" hidden="1" thickBot="1">
      <c r="A2581" s="978"/>
      <c r="B2581" s="979"/>
      <c r="C2581" s="980"/>
      <c r="D2581" s="981"/>
      <c r="E2581" s="981"/>
      <c r="F2581" s="981"/>
      <c r="G2581" s="13"/>
    </row>
    <row r="2582" spans="1:7" ht="15" hidden="1" thickBot="1">
      <c r="A2582" s="982"/>
      <c r="B2582" s="983"/>
      <c r="C2582" s="983"/>
      <c r="D2582" s="983"/>
      <c r="E2582" s="983"/>
      <c r="F2582" s="983"/>
      <c r="G2582" s="984"/>
    </row>
    <row r="2583" spans="1:7" ht="15" hidden="1" thickBot="1">
      <c r="A2583" s="982"/>
      <c r="B2583" s="913"/>
      <c r="C2583" s="914"/>
      <c r="D2583" s="95"/>
      <c r="E2583" s="242"/>
      <c r="F2583" s="289"/>
      <c r="G2583" s="97"/>
    </row>
    <row r="2584" spans="1:7" hidden="1">
      <c r="A2584" s="108"/>
      <c r="B2584" s="985"/>
      <c r="C2584" s="986"/>
      <c r="D2584" s="109"/>
      <c r="E2584" s="254"/>
      <c r="F2584" s="290"/>
      <c r="G2584" s="111"/>
    </row>
    <row r="2585" spans="1:7" ht="15" hidden="1" thickBot="1">
      <c r="A2585" s="987"/>
      <c r="B2585" s="988"/>
      <c r="C2585" s="989"/>
      <c r="D2585" s="990"/>
      <c r="E2585" s="990"/>
      <c r="F2585" s="990"/>
      <c r="G2585" s="14"/>
    </row>
    <row r="2586" spans="1:7" ht="15" hidden="1" thickBot="1">
      <c r="A2586" s="991"/>
      <c r="B2586" s="991"/>
      <c r="C2586" s="991"/>
      <c r="D2586" s="992"/>
      <c r="E2586" s="993"/>
      <c r="F2586" s="993"/>
      <c r="G2586" s="112"/>
    </row>
    <row r="2587" spans="1:7" hidden="1">
      <c r="A2587" s="49"/>
      <c r="B2587" s="49"/>
      <c r="C2587" s="49"/>
      <c r="D2587" s="49"/>
      <c r="F2587" s="307"/>
      <c r="G2587" s="49"/>
    </row>
    <row r="2588" spans="1:7" hidden="1">
      <c r="A2588" s="49"/>
      <c r="B2588" s="49"/>
      <c r="C2588" s="49"/>
      <c r="D2588" s="49"/>
      <c r="F2588" s="307"/>
      <c r="G2588" s="49"/>
    </row>
    <row r="2589" spans="1:7" ht="15" hidden="1" thickBot="1">
      <c r="A2589" s="1036"/>
      <c r="B2589" s="1037"/>
      <c r="C2589" s="1037"/>
      <c r="D2589" s="1037"/>
      <c r="E2589" s="1037"/>
      <c r="F2589" s="1037"/>
      <c r="G2589" s="1038"/>
    </row>
    <row r="2590" spans="1:7" ht="15" hidden="1" thickBot="1">
      <c r="A2590" s="1006"/>
      <c r="B2590" s="1007"/>
      <c r="C2590" s="1007"/>
      <c r="D2590" s="1007"/>
      <c r="E2590" s="1007"/>
      <c r="F2590" s="272"/>
      <c r="G2590" s="43"/>
    </row>
    <row r="2591" spans="1:7" ht="15" hidden="1" customHeight="1" thickBot="1">
      <c r="A2591" s="1018"/>
      <c r="B2591" s="1019"/>
      <c r="C2591" s="1019"/>
      <c r="D2591" s="1019"/>
      <c r="E2591" s="1020"/>
      <c r="F2591" s="273"/>
      <c r="G2591" s="45"/>
    </row>
    <row r="2592" spans="1:7" ht="15" hidden="1" thickBot="1">
      <c r="A2592" s="1021"/>
      <c r="B2592" s="1022"/>
      <c r="C2592" s="1022"/>
      <c r="D2592" s="1022"/>
      <c r="E2592" s="1023"/>
      <c r="F2592" s="273"/>
      <c r="G2592" s="46"/>
    </row>
    <row r="2593" spans="1:7" ht="15" hidden="1" thickBot="1">
      <c r="A2593" s="1024"/>
      <c r="B2593" s="1025"/>
      <c r="C2593" s="1025"/>
      <c r="D2593" s="1025"/>
      <c r="E2593" s="1026"/>
      <c r="F2593" s="274"/>
      <c r="G2593" s="48"/>
    </row>
    <row r="2594" spans="1:7" ht="15" hidden="1" thickBot="1">
      <c r="A2594" s="1008"/>
      <c r="B2594" s="1009"/>
      <c r="C2594" s="1009"/>
      <c r="D2594" s="1009"/>
      <c r="E2594" s="1009"/>
      <c r="F2594" s="1009"/>
      <c r="G2594" s="1010"/>
    </row>
    <row r="2595" spans="1:7" ht="15" hidden="1" thickBot="1">
      <c r="A2595" s="982"/>
      <c r="B2595" s="913"/>
      <c r="C2595" s="914"/>
      <c r="D2595" s="95"/>
      <c r="E2595" s="242"/>
      <c r="F2595" s="286"/>
      <c r="G2595" s="97"/>
    </row>
    <row r="2596" spans="1:7" hidden="1">
      <c r="A2596" s="87"/>
      <c r="B2596" s="930"/>
      <c r="C2596" s="931"/>
      <c r="D2596" s="88"/>
      <c r="E2596" s="251"/>
      <c r="F2596" s="284"/>
      <c r="G2596" s="90"/>
    </row>
    <row r="2597" spans="1:7" hidden="1">
      <c r="A2597" s="91"/>
      <c r="B2597" s="968"/>
      <c r="C2597" s="969"/>
      <c r="D2597" s="92"/>
      <c r="E2597" s="252"/>
      <c r="F2597" s="285"/>
      <c r="G2597" s="94"/>
    </row>
    <row r="2598" spans="1:7" hidden="1">
      <c r="A2598" s="91"/>
      <c r="B2598" s="968"/>
      <c r="C2598" s="969"/>
      <c r="D2598" s="92"/>
      <c r="E2598" s="252"/>
      <c r="F2598" s="285"/>
      <c r="G2598" s="94"/>
    </row>
    <row r="2599" spans="1:7" hidden="1">
      <c r="A2599" s="91"/>
      <c r="B2599" s="968"/>
      <c r="C2599" s="969"/>
      <c r="D2599" s="92"/>
      <c r="E2599" s="252"/>
      <c r="F2599" s="285"/>
      <c r="G2599" s="94"/>
    </row>
    <row r="2600" spans="1:7" ht="15" hidden="1" thickBot="1">
      <c r="A2600" s="994"/>
      <c r="B2600" s="995"/>
      <c r="C2600" s="995"/>
      <c r="D2600" s="981"/>
      <c r="E2600" s="981"/>
      <c r="F2600" s="981"/>
      <c r="G2600" s="13"/>
    </row>
    <row r="2601" spans="1:7" ht="15" hidden="1" thickBot="1">
      <c r="A2601" s="982"/>
      <c r="B2601" s="983"/>
      <c r="C2601" s="983"/>
      <c r="D2601" s="983"/>
      <c r="E2601" s="983"/>
      <c r="F2601" s="983"/>
      <c r="G2601" s="984"/>
    </row>
    <row r="2602" spans="1:7" ht="15" hidden="1" thickBot="1">
      <c r="A2602" s="982"/>
      <c r="B2602" s="913"/>
      <c r="C2602" s="914"/>
      <c r="D2602" s="95"/>
      <c r="E2602" s="242"/>
      <c r="F2602" s="286"/>
      <c r="G2602" s="97"/>
    </row>
    <row r="2603" spans="1:7" hidden="1">
      <c r="A2603" s="98"/>
      <c r="B2603" s="928"/>
      <c r="C2603" s="929"/>
      <c r="D2603" s="99"/>
      <c r="E2603" s="253"/>
      <c r="F2603" s="287"/>
      <c r="G2603" s="102"/>
    </row>
    <row r="2604" spans="1:7" hidden="1">
      <c r="A2604" s="98"/>
      <c r="B2604" s="928"/>
      <c r="C2604" s="929"/>
      <c r="D2604" s="92"/>
      <c r="E2604" s="252"/>
      <c r="F2604" s="287"/>
      <c r="G2604" s="102"/>
    </row>
    <row r="2605" spans="1:7" hidden="1">
      <c r="A2605" s="98"/>
      <c r="B2605" s="928"/>
      <c r="C2605" s="929"/>
      <c r="D2605" s="99"/>
      <c r="E2605" s="264"/>
      <c r="F2605" s="308"/>
      <c r="G2605" s="102"/>
    </row>
    <row r="2606" spans="1:7" hidden="1">
      <c r="A2606" s="98"/>
      <c r="B2606" s="928"/>
      <c r="C2606" s="929"/>
      <c r="D2606" s="99"/>
      <c r="E2606" s="264"/>
      <c r="F2606" s="308"/>
      <c r="G2606" s="102"/>
    </row>
    <row r="2607" spans="1:7" hidden="1">
      <c r="A2607" s="98"/>
      <c r="B2607" s="928"/>
      <c r="C2607" s="929"/>
      <c r="D2607" s="99"/>
      <c r="E2607" s="253"/>
      <c r="F2607" s="287"/>
      <c r="G2607" s="102"/>
    </row>
    <row r="2608" spans="1:7" hidden="1">
      <c r="A2608" s="98"/>
      <c r="B2608" s="928"/>
      <c r="C2608" s="929"/>
      <c r="D2608" s="99"/>
      <c r="E2608" s="253"/>
      <c r="F2608" s="287"/>
      <c r="G2608" s="102"/>
    </row>
    <row r="2609" spans="1:7" ht="15" hidden="1" thickBot="1">
      <c r="A2609" s="996"/>
      <c r="B2609" s="997"/>
      <c r="C2609" s="998"/>
      <c r="D2609" s="981"/>
      <c r="E2609" s="981"/>
      <c r="F2609" s="981"/>
      <c r="G2609" s="13"/>
    </row>
    <row r="2610" spans="1:7" ht="15" hidden="1" thickBot="1">
      <c r="A2610" s="982"/>
      <c r="B2610" s="983"/>
      <c r="C2610" s="983"/>
      <c r="D2610" s="983"/>
      <c r="E2610" s="983"/>
      <c r="F2610" s="983"/>
      <c r="G2610" s="984"/>
    </row>
    <row r="2611" spans="1:7" ht="15" hidden="1" thickBot="1">
      <c r="A2611" s="982"/>
      <c r="B2611" s="913"/>
      <c r="C2611" s="914"/>
      <c r="D2611" s="95"/>
      <c r="E2611" s="242"/>
      <c r="F2611" s="286"/>
      <c r="G2611" s="97"/>
    </row>
    <row r="2612" spans="1:7" ht="15" hidden="1" thickBot="1">
      <c r="A2612" s="103"/>
      <c r="B2612" s="942"/>
      <c r="C2612" s="943"/>
      <c r="D2612" s="104"/>
      <c r="E2612" s="247"/>
      <c r="F2612" s="288"/>
      <c r="G2612" s="106"/>
    </row>
    <row r="2613" spans="1:7" ht="15" hidden="1" thickBot="1">
      <c r="A2613" s="978"/>
      <c r="B2613" s="979"/>
      <c r="C2613" s="980"/>
      <c r="D2613" s="981"/>
      <c r="E2613" s="981"/>
      <c r="F2613" s="981"/>
      <c r="G2613" s="13"/>
    </row>
    <row r="2614" spans="1:7" ht="15" hidden="1" thickBot="1">
      <c r="A2614" s="982"/>
      <c r="B2614" s="983"/>
      <c r="C2614" s="983"/>
      <c r="D2614" s="983"/>
      <c r="E2614" s="983"/>
      <c r="F2614" s="983"/>
      <c r="G2614" s="984"/>
    </row>
    <row r="2615" spans="1:7" ht="15" hidden="1" thickBot="1">
      <c r="A2615" s="982"/>
      <c r="B2615" s="913"/>
      <c r="C2615" s="914"/>
      <c r="D2615" s="95"/>
      <c r="E2615" s="242"/>
      <c r="F2615" s="289"/>
      <c r="G2615" s="97"/>
    </row>
    <row r="2616" spans="1:7" hidden="1">
      <c r="A2616" s="108"/>
      <c r="B2616" s="985"/>
      <c r="C2616" s="986"/>
      <c r="D2616" s="109"/>
      <c r="E2616" s="254"/>
      <c r="F2616" s="290"/>
      <c r="G2616" s="111"/>
    </row>
    <row r="2617" spans="1:7" ht="15" hidden="1" thickBot="1">
      <c r="A2617" s="987"/>
      <c r="B2617" s="988"/>
      <c r="C2617" s="989"/>
      <c r="D2617" s="990"/>
      <c r="E2617" s="990"/>
      <c r="F2617" s="990"/>
      <c r="G2617" s="14"/>
    </row>
    <row r="2618" spans="1:7" ht="15" hidden="1" thickBot="1">
      <c r="A2618" s="991"/>
      <c r="B2618" s="991"/>
      <c r="C2618" s="991"/>
      <c r="D2618" s="992"/>
      <c r="E2618" s="993"/>
      <c r="F2618" s="993"/>
      <c r="G2618" s="112"/>
    </row>
    <row r="2619" spans="1:7" hidden="1">
      <c r="A2619" s="49"/>
      <c r="B2619" s="49"/>
      <c r="C2619" s="49"/>
      <c r="D2619" s="49"/>
      <c r="F2619" s="307"/>
      <c r="G2619" s="49"/>
    </row>
    <row r="2620" spans="1:7" hidden="1">
      <c r="A2620" s="49"/>
      <c r="B2620" s="49"/>
      <c r="C2620" s="49"/>
      <c r="D2620" s="49"/>
      <c r="F2620" s="307"/>
      <c r="G2620" s="49"/>
    </row>
    <row r="2621" spans="1:7" ht="15" hidden="1" thickBot="1">
      <c r="A2621" s="1036"/>
      <c r="B2621" s="1037"/>
      <c r="C2621" s="1037"/>
      <c r="D2621" s="1037"/>
      <c r="E2621" s="1037"/>
      <c r="F2621" s="1037"/>
      <c r="G2621" s="1038"/>
    </row>
    <row r="2622" spans="1:7" ht="15" hidden="1" thickBot="1">
      <c r="A2622" s="1006"/>
      <c r="B2622" s="1007"/>
      <c r="C2622" s="1007"/>
      <c r="D2622" s="1007"/>
      <c r="E2622" s="1007"/>
      <c r="F2622" s="272"/>
      <c r="G2622" s="43"/>
    </row>
    <row r="2623" spans="1:7" ht="15" hidden="1" customHeight="1" thickBot="1">
      <c r="A2623" s="1018"/>
      <c r="B2623" s="1019"/>
      <c r="C2623" s="1019"/>
      <c r="D2623" s="1019"/>
      <c r="E2623" s="1020"/>
      <c r="F2623" s="273"/>
      <c r="G2623" s="45"/>
    </row>
    <row r="2624" spans="1:7" ht="15" hidden="1" thickBot="1">
      <c r="A2624" s="1021"/>
      <c r="B2624" s="1022"/>
      <c r="C2624" s="1022"/>
      <c r="D2624" s="1022"/>
      <c r="E2624" s="1023"/>
      <c r="F2624" s="273"/>
      <c r="G2624" s="46"/>
    </row>
    <row r="2625" spans="1:7" ht="15" hidden="1" thickBot="1">
      <c r="A2625" s="1024"/>
      <c r="B2625" s="1025"/>
      <c r="C2625" s="1025"/>
      <c r="D2625" s="1025"/>
      <c r="E2625" s="1026"/>
      <c r="F2625" s="274"/>
      <c r="G2625" s="48"/>
    </row>
    <row r="2626" spans="1:7" ht="15" hidden="1" thickBot="1">
      <c r="A2626" s="1008"/>
      <c r="B2626" s="1009"/>
      <c r="C2626" s="1009"/>
      <c r="D2626" s="1009"/>
      <c r="E2626" s="1009"/>
      <c r="F2626" s="1009"/>
      <c r="G2626" s="1010"/>
    </row>
    <row r="2627" spans="1:7" ht="15" hidden="1" thickBot="1">
      <c r="A2627" s="982"/>
      <c r="B2627" s="913"/>
      <c r="C2627" s="914"/>
      <c r="D2627" s="95"/>
      <c r="E2627" s="242"/>
      <c r="F2627" s="286"/>
      <c r="G2627" s="97"/>
    </row>
    <row r="2628" spans="1:7" hidden="1">
      <c r="A2628" s="87"/>
      <c r="B2628" s="930"/>
      <c r="C2628" s="931"/>
      <c r="D2628" s="88"/>
      <c r="E2628" s="251"/>
      <c r="F2628" s="284"/>
      <c r="G2628" s="90"/>
    </row>
    <row r="2629" spans="1:7" hidden="1">
      <c r="A2629" s="91"/>
      <c r="B2629" s="968"/>
      <c r="C2629" s="969"/>
      <c r="D2629" s="92"/>
      <c r="E2629" s="252"/>
      <c r="F2629" s="285"/>
      <c r="G2629" s="94"/>
    </row>
    <row r="2630" spans="1:7" ht="15" hidden="1" thickBot="1">
      <c r="A2630" s="994"/>
      <c r="B2630" s="995"/>
      <c r="C2630" s="995"/>
      <c r="D2630" s="981"/>
      <c r="E2630" s="981"/>
      <c r="F2630" s="981"/>
      <c r="G2630" s="13"/>
    </row>
    <row r="2631" spans="1:7" ht="15" hidden="1" thickBot="1">
      <c r="A2631" s="982"/>
      <c r="B2631" s="983"/>
      <c r="C2631" s="983"/>
      <c r="D2631" s="983"/>
      <c r="E2631" s="983"/>
      <c r="F2631" s="983"/>
      <c r="G2631" s="984"/>
    </row>
    <row r="2632" spans="1:7" ht="15" hidden="1" thickBot="1">
      <c r="A2632" s="982"/>
      <c r="B2632" s="913"/>
      <c r="C2632" s="914"/>
      <c r="D2632" s="95"/>
      <c r="E2632" s="242"/>
      <c r="F2632" s="286"/>
      <c r="G2632" s="97"/>
    </row>
    <row r="2633" spans="1:7" hidden="1">
      <c r="A2633" s="98"/>
      <c r="B2633" s="928"/>
      <c r="C2633" s="929"/>
      <c r="D2633" s="99"/>
      <c r="E2633" s="253"/>
      <c r="F2633" s="287"/>
      <c r="G2633" s="102"/>
    </row>
    <row r="2634" spans="1:7" ht="15" hidden="1" thickBot="1">
      <c r="A2634" s="996"/>
      <c r="B2634" s="997"/>
      <c r="C2634" s="998"/>
      <c r="D2634" s="981"/>
      <c r="E2634" s="981"/>
      <c r="F2634" s="981"/>
      <c r="G2634" s="13"/>
    </row>
    <row r="2635" spans="1:7" ht="15" hidden="1" thickBot="1">
      <c r="A2635" s="982"/>
      <c r="B2635" s="983"/>
      <c r="C2635" s="983"/>
      <c r="D2635" s="983"/>
      <c r="E2635" s="983"/>
      <c r="F2635" s="983"/>
      <c r="G2635" s="984"/>
    </row>
    <row r="2636" spans="1:7" ht="15" hidden="1" thickBot="1">
      <c r="A2636" s="982"/>
      <c r="B2636" s="913"/>
      <c r="C2636" s="914"/>
      <c r="D2636" s="95"/>
      <c r="E2636" s="242"/>
      <c r="F2636" s="286"/>
      <c r="G2636" s="97"/>
    </row>
    <row r="2637" spans="1:7" ht="15" hidden="1" thickBot="1">
      <c r="A2637" s="103"/>
      <c r="B2637" s="942"/>
      <c r="C2637" s="943"/>
      <c r="D2637" s="104"/>
      <c r="E2637" s="247"/>
      <c r="F2637" s="288"/>
      <c r="G2637" s="106"/>
    </row>
    <row r="2638" spans="1:7" ht="15" hidden="1" thickBot="1">
      <c r="A2638" s="978"/>
      <c r="B2638" s="979"/>
      <c r="C2638" s="980"/>
      <c r="D2638" s="981"/>
      <c r="E2638" s="981"/>
      <c r="F2638" s="981"/>
      <c r="G2638" s="13"/>
    </row>
    <row r="2639" spans="1:7" ht="15" hidden="1" thickBot="1">
      <c r="A2639" s="982"/>
      <c r="B2639" s="983"/>
      <c r="C2639" s="983"/>
      <c r="D2639" s="983"/>
      <c r="E2639" s="983"/>
      <c r="F2639" s="983"/>
      <c r="G2639" s="984"/>
    </row>
    <row r="2640" spans="1:7" ht="15" hidden="1" thickBot="1">
      <c r="A2640" s="982"/>
      <c r="B2640" s="913"/>
      <c r="C2640" s="914"/>
      <c r="D2640" s="95"/>
      <c r="E2640" s="242"/>
      <c r="F2640" s="289"/>
      <c r="G2640" s="97"/>
    </row>
    <row r="2641" spans="1:7" hidden="1">
      <c r="A2641" s="108"/>
      <c r="B2641" s="985"/>
      <c r="C2641" s="986"/>
      <c r="D2641" s="109"/>
      <c r="E2641" s="254"/>
      <c r="F2641" s="290"/>
      <c r="G2641" s="111"/>
    </row>
    <row r="2642" spans="1:7" ht="15" hidden="1" thickBot="1">
      <c r="A2642" s="987"/>
      <c r="B2642" s="988"/>
      <c r="C2642" s="989"/>
      <c r="D2642" s="990"/>
      <c r="E2642" s="990"/>
      <c r="F2642" s="990"/>
      <c r="G2642" s="14"/>
    </row>
    <row r="2643" spans="1:7" ht="15" hidden="1" thickBot="1">
      <c r="A2643" s="991"/>
      <c r="B2643" s="991"/>
      <c r="C2643" s="991"/>
      <c r="D2643" s="992"/>
      <c r="E2643" s="993"/>
      <c r="F2643" s="993"/>
      <c r="G2643" s="112"/>
    </row>
    <row r="2644" spans="1:7" hidden="1">
      <c r="A2644" s="49"/>
      <c r="B2644" s="49"/>
      <c r="C2644" s="49"/>
      <c r="D2644" s="49"/>
      <c r="F2644" s="307"/>
      <c r="G2644" s="49"/>
    </row>
    <row r="2645" spans="1:7" hidden="1">
      <c r="A2645" s="49"/>
      <c r="B2645" s="49"/>
      <c r="C2645" s="49"/>
      <c r="D2645" s="49"/>
      <c r="F2645" s="307"/>
      <c r="G2645" s="49"/>
    </row>
    <row r="2646" spans="1:7" ht="15" hidden="1" thickBot="1">
      <c r="A2646" s="1036"/>
      <c r="B2646" s="1037"/>
      <c r="C2646" s="1037"/>
      <c r="D2646" s="1037"/>
      <c r="E2646" s="1037"/>
      <c r="F2646" s="1037"/>
      <c r="G2646" s="1038"/>
    </row>
    <row r="2647" spans="1:7" ht="15" hidden="1" thickBot="1">
      <c r="A2647" s="1006"/>
      <c r="B2647" s="1007"/>
      <c r="C2647" s="1007"/>
      <c r="D2647" s="1007"/>
      <c r="E2647" s="1007"/>
      <c r="F2647" s="272"/>
      <c r="G2647" s="43"/>
    </row>
    <row r="2648" spans="1:7" ht="15" hidden="1" customHeight="1" thickBot="1">
      <c r="A2648" s="1018"/>
      <c r="B2648" s="1019"/>
      <c r="C2648" s="1019"/>
      <c r="D2648" s="1019"/>
      <c r="E2648" s="1020"/>
      <c r="F2648" s="273"/>
      <c r="G2648" s="45"/>
    </row>
    <row r="2649" spans="1:7" ht="15" hidden="1" thickBot="1">
      <c r="A2649" s="1021"/>
      <c r="B2649" s="1022"/>
      <c r="C2649" s="1022"/>
      <c r="D2649" s="1022"/>
      <c r="E2649" s="1023"/>
      <c r="F2649" s="273"/>
      <c r="G2649" s="46"/>
    </row>
    <row r="2650" spans="1:7" ht="15" hidden="1" thickBot="1">
      <c r="A2650" s="1024"/>
      <c r="B2650" s="1025"/>
      <c r="C2650" s="1025"/>
      <c r="D2650" s="1025"/>
      <c r="E2650" s="1026"/>
      <c r="F2650" s="274"/>
      <c r="G2650" s="48"/>
    </row>
    <row r="2651" spans="1:7" ht="15" hidden="1" thickBot="1">
      <c r="A2651" s="1008"/>
      <c r="B2651" s="1009"/>
      <c r="C2651" s="1009"/>
      <c r="D2651" s="1009"/>
      <c r="E2651" s="1009"/>
      <c r="F2651" s="1009"/>
      <c r="G2651" s="1010"/>
    </row>
    <row r="2652" spans="1:7" ht="15" hidden="1" thickBot="1">
      <c r="A2652" s="982"/>
      <c r="B2652" s="913"/>
      <c r="C2652" s="914"/>
      <c r="D2652" s="95"/>
      <c r="E2652" s="242"/>
      <c r="F2652" s="286"/>
      <c r="G2652" s="97"/>
    </row>
    <row r="2653" spans="1:7" hidden="1">
      <c r="A2653" s="87"/>
      <c r="B2653" s="930"/>
      <c r="C2653" s="931"/>
      <c r="D2653" s="88"/>
      <c r="E2653" s="251"/>
      <c r="F2653" s="284"/>
      <c r="G2653" s="90"/>
    </row>
    <row r="2654" spans="1:7" hidden="1">
      <c r="A2654" s="91"/>
      <c r="B2654" s="968"/>
      <c r="C2654" s="969"/>
      <c r="D2654" s="92"/>
      <c r="E2654" s="252"/>
      <c r="F2654" s="285"/>
      <c r="G2654" s="94"/>
    </row>
    <row r="2655" spans="1:7" ht="15" hidden="1" thickBot="1">
      <c r="A2655" s="994"/>
      <c r="B2655" s="995"/>
      <c r="C2655" s="995"/>
      <c r="D2655" s="981"/>
      <c r="E2655" s="981"/>
      <c r="F2655" s="981"/>
      <c r="G2655" s="13"/>
    </row>
    <row r="2656" spans="1:7" ht="15" hidden="1" thickBot="1">
      <c r="A2656" s="982"/>
      <c r="B2656" s="983"/>
      <c r="C2656" s="983"/>
      <c r="D2656" s="983"/>
      <c r="E2656" s="983"/>
      <c r="F2656" s="983"/>
      <c r="G2656" s="984"/>
    </row>
    <row r="2657" spans="1:7" ht="15" hidden="1" thickBot="1">
      <c r="A2657" s="982"/>
      <c r="B2657" s="913"/>
      <c r="C2657" s="914"/>
      <c r="D2657" s="95"/>
      <c r="E2657" s="242"/>
      <c r="F2657" s="286"/>
      <c r="G2657" s="97"/>
    </row>
    <row r="2658" spans="1:7" hidden="1">
      <c r="A2658" s="98"/>
      <c r="B2658" s="928"/>
      <c r="C2658" s="929"/>
      <c r="D2658" s="99"/>
      <c r="E2658" s="253"/>
      <c r="F2658" s="287"/>
      <c r="G2658" s="102"/>
    </row>
    <row r="2659" spans="1:7" ht="15" hidden="1" thickBot="1">
      <c r="A2659" s="996"/>
      <c r="B2659" s="997"/>
      <c r="C2659" s="998"/>
      <c r="D2659" s="981"/>
      <c r="E2659" s="981"/>
      <c r="F2659" s="981"/>
      <c r="G2659" s="13"/>
    </row>
    <row r="2660" spans="1:7" ht="15" hidden="1" thickBot="1">
      <c r="A2660" s="982"/>
      <c r="B2660" s="983"/>
      <c r="C2660" s="983"/>
      <c r="D2660" s="983"/>
      <c r="E2660" s="983"/>
      <c r="F2660" s="983"/>
      <c r="G2660" s="984"/>
    </row>
    <row r="2661" spans="1:7" ht="15" hidden="1" thickBot="1">
      <c r="A2661" s="982"/>
      <c r="B2661" s="913"/>
      <c r="C2661" s="914"/>
      <c r="D2661" s="95"/>
      <c r="E2661" s="242"/>
      <c r="F2661" s="286"/>
      <c r="G2661" s="97"/>
    </row>
    <row r="2662" spans="1:7" ht="15" hidden="1" thickBot="1">
      <c r="A2662" s="103"/>
      <c r="B2662" s="942"/>
      <c r="C2662" s="943"/>
      <c r="D2662" s="104"/>
      <c r="E2662" s="247"/>
      <c r="F2662" s="288"/>
      <c r="G2662" s="106"/>
    </row>
    <row r="2663" spans="1:7" ht="15" hidden="1" thickBot="1">
      <c r="A2663" s="978"/>
      <c r="B2663" s="979"/>
      <c r="C2663" s="980"/>
      <c r="D2663" s="981"/>
      <c r="E2663" s="981"/>
      <c r="F2663" s="981"/>
      <c r="G2663" s="13"/>
    </row>
    <row r="2664" spans="1:7" ht="15" hidden="1" thickBot="1">
      <c r="A2664" s="982"/>
      <c r="B2664" s="983"/>
      <c r="C2664" s="983"/>
      <c r="D2664" s="983"/>
      <c r="E2664" s="983"/>
      <c r="F2664" s="983"/>
      <c r="G2664" s="984"/>
    </row>
    <row r="2665" spans="1:7" ht="15" hidden="1" thickBot="1">
      <c r="A2665" s="982"/>
      <c r="B2665" s="913"/>
      <c r="C2665" s="914"/>
      <c r="D2665" s="95"/>
      <c r="E2665" s="242"/>
      <c r="F2665" s="289"/>
      <c r="G2665" s="97"/>
    </row>
    <row r="2666" spans="1:7" hidden="1">
      <c r="A2666" s="108"/>
      <c r="B2666" s="985"/>
      <c r="C2666" s="986"/>
      <c r="D2666" s="109"/>
      <c r="E2666" s="254"/>
      <c r="F2666" s="290"/>
      <c r="G2666" s="111"/>
    </row>
    <row r="2667" spans="1:7" ht="15" hidden="1" thickBot="1">
      <c r="A2667" s="987"/>
      <c r="B2667" s="988"/>
      <c r="C2667" s="989"/>
      <c r="D2667" s="990"/>
      <c r="E2667" s="990"/>
      <c r="F2667" s="990"/>
      <c r="G2667" s="14"/>
    </row>
    <row r="2668" spans="1:7" ht="15" hidden="1" thickBot="1">
      <c r="A2668" s="991"/>
      <c r="B2668" s="991"/>
      <c r="C2668" s="991"/>
      <c r="D2668" s="992"/>
      <c r="E2668" s="993"/>
      <c r="F2668" s="993"/>
      <c r="G2668" s="112"/>
    </row>
    <row r="2669" spans="1:7" hidden="1">
      <c r="A2669" s="49"/>
      <c r="B2669" s="49"/>
      <c r="C2669" s="49"/>
      <c r="D2669" s="49"/>
      <c r="F2669" s="307"/>
      <c r="G2669" s="49"/>
    </row>
    <row r="2670" spans="1:7" hidden="1">
      <c r="A2670" s="49"/>
      <c r="B2670" s="49"/>
      <c r="C2670" s="49"/>
      <c r="D2670" s="49"/>
      <c r="F2670" s="307"/>
      <c r="G2670" s="49"/>
    </row>
    <row r="2671" spans="1:7" ht="15" hidden="1" thickBot="1">
      <c r="A2671" s="1036"/>
      <c r="B2671" s="1037"/>
      <c r="C2671" s="1037"/>
      <c r="D2671" s="1037"/>
      <c r="E2671" s="1037"/>
      <c r="F2671" s="1037"/>
      <c r="G2671" s="1038"/>
    </row>
    <row r="2672" spans="1:7" ht="15" hidden="1" thickBot="1">
      <c r="A2672" s="1006"/>
      <c r="B2672" s="1007"/>
      <c r="C2672" s="1007"/>
      <c r="D2672" s="1007"/>
      <c r="E2672" s="1007"/>
      <c r="F2672" s="272"/>
      <c r="G2672" s="43"/>
    </row>
    <row r="2673" spans="1:7" ht="15" hidden="1" customHeight="1" thickBot="1">
      <c r="A2673" s="1018"/>
      <c r="B2673" s="1019"/>
      <c r="C2673" s="1019"/>
      <c r="D2673" s="1019"/>
      <c r="E2673" s="1020"/>
      <c r="F2673" s="273"/>
      <c r="G2673" s="45"/>
    </row>
    <row r="2674" spans="1:7" ht="15" hidden="1" thickBot="1">
      <c r="A2674" s="1021"/>
      <c r="B2674" s="1022"/>
      <c r="C2674" s="1022"/>
      <c r="D2674" s="1022"/>
      <c r="E2674" s="1023"/>
      <c r="F2674" s="273"/>
      <c r="G2674" s="46"/>
    </row>
    <row r="2675" spans="1:7" ht="15" hidden="1" thickBot="1">
      <c r="A2675" s="1024"/>
      <c r="B2675" s="1025"/>
      <c r="C2675" s="1025"/>
      <c r="D2675" s="1025"/>
      <c r="E2675" s="1026"/>
      <c r="F2675" s="274"/>
      <c r="G2675" s="48"/>
    </row>
    <row r="2676" spans="1:7" ht="15" hidden="1" thickBot="1">
      <c r="A2676" s="1008"/>
      <c r="B2676" s="1009"/>
      <c r="C2676" s="1009"/>
      <c r="D2676" s="1009"/>
      <c r="E2676" s="1009"/>
      <c r="F2676" s="1009"/>
      <c r="G2676" s="1010"/>
    </row>
    <row r="2677" spans="1:7" ht="15" hidden="1" thickBot="1">
      <c r="A2677" s="982"/>
      <c r="B2677" s="913"/>
      <c r="C2677" s="914"/>
      <c r="D2677" s="95"/>
      <c r="E2677" s="242"/>
      <c r="F2677" s="286"/>
      <c r="G2677" s="97"/>
    </row>
    <row r="2678" spans="1:7" hidden="1">
      <c r="A2678" s="87"/>
      <c r="B2678" s="930"/>
      <c r="C2678" s="931"/>
      <c r="D2678" s="88"/>
      <c r="E2678" s="251"/>
      <c r="F2678" s="284"/>
      <c r="G2678" s="90"/>
    </row>
    <row r="2679" spans="1:7" hidden="1">
      <c r="A2679" s="91"/>
      <c r="B2679" s="968"/>
      <c r="C2679" s="969"/>
      <c r="D2679" s="92"/>
      <c r="E2679" s="252"/>
      <c r="F2679" s="285"/>
      <c r="G2679" s="94"/>
    </row>
    <row r="2680" spans="1:7" ht="15" hidden="1" thickBot="1">
      <c r="A2680" s="994"/>
      <c r="B2680" s="995"/>
      <c r="C2680" s="995"/>
      <c r="D2680" s="981"/>
      <c r="E2680" s="981"/>
      <c r="F2680" s="981"/>
      <c r="G2680" s="13"/>
    </row>
    <row r="2681" spans="1:7" ht="15" hidden="1" thickBot="1">
      <c r="A2681" s="982"/>
      <c r="B2681" s="983"/>
      <c r="C2681" s="983"/>
      <c r="D2681" s="983"/>
      <c r="E2681" s="983"/>
      <c r="F2681" s="983"/>
      <c r="G2681" s="984"/>
    </row>
    <row r="2682" spans="1:7" ht="15" hidden="1" thickBot="1">
      <c r="A2682" s="982"/>
      <c r="B2682" s="913"/>
      <c r="C2682" s="914"/>
      <c r="D2682" s="95"/>
      <c r="E2682" s="242"/>
      <c r="F2682" s="286"/>
      <c r="G2682" s="97"/>
    </row>
    <row r="2683" spans="1:7" hidden="1">
      <c r="A2683" s="98"/>
      <c r="B2683" s="928"/>
      <c r="C2683" s="929"/>
      <c r="D2683" s="99"/>
      <c r="E2683" s="253"/>
      <c r="F2683" s="287"/>
      <c r="G2683" s="102"/>
    </row>
    <row r="2684" spans="1:7" ht="15" hidden="1" thickBot="1">
      <c r="A2684" s="996"/>
      <c r="B2684" s="997"/>
      <c r="C2684" s="998"/>
      <c r="D2684" s="981"/>
      <c r="E2684" s="981"/>
      <c r="F2684" s="981"/>
      <c r="G2684" s="13"/>
    </row>
    <row r="2685" spans="1:7" ht="15" hidden="1" thickBot="1">
      <c r="A2685" s="982"/>
      <c r="B2685" s="983"/>
      <c r="C2685" s="983"/>
      <c r="D2685" s="983"/>
      <c r="E2685" s="983"/>
      <c r="F2685" s="983"/>
      <c r="G2685" s="984"/>
    </row>
    <row r="2686" spans="1:7" ht="15" hidden="1" thickBot="1">
      <c r="A2686" s="982"/>
      <c r="B2686" s="913"/>
      <c r="C2686" s="914"/>
      <c r="D2686" s="95"/>
      <c r="E2686" s="242"/>
      <c r="F2686" s="286"/>
      <c r="G2686" s="97"/>
    </row>
    <row r="2687" spans="1:7" ht="15" hidden="1" thickBot="1">
      <c r="A2687" s="103"/>
      <c r="B2687" s="942"/>
      <c r="C2687" s="943"/>
      <c r="D2687" s="104"/>
      <c r="E2687" s="247"/>
      <c r="F2687" s="288"/>
      <c r="G2687" s="106"/>
    </row>
    <row r="2688" spans="1:7" ht="15" hidden="1" thickBot="1">
      <c r="A2688" s="978"/>
      <c r="B2688" s="979"/>
      <c r="C2688" s="980"/>
      <c r="D2688" s="981"/>
      <c r="E2688" s="981"/>
      <c r="F2688" s="981"/>
      <c r="G2688" s="13"/>
    </row>
    <row r="2689" spans="1:7" ht="15" hidden="1" thickBot="1">
      <c r="A2689" s="982"/>
      <c r="B2689" s="983"/>
      <c r="C2689" s="983"/>
      <c r="D2689" s="983"/>
      <c r="E2689" s="983"/>
      <c r="F2689" s="983"/>
      <c r="G2689" s="984"/>
    </row>
    <row r="2690" spans="1:7" ht="15" hidden="1" thickBot="1">
      <c r="A2690" s="982"/>
      <c r="B2690" s="913"/>
      <c r="C2690" s="914"/>
      <c r="D2690" s="95"/>
      <c r="E2690" s="242"/>
      <c r="F2690" s="289"/>
      <c r="G2690" s="97"/>
    </row>
    <row r="2691" spans="1:7" hidden="1">
      <c r="A2691" s="108"/>
      <c r="B2691" s="985"/>
      <c r="C2691" s="986"/>
      <c r="D2691" s="109"/>
      <c r="E2691" s="254"/>
      <c r="F2691" s="290"/>
      <c r="G2691" s="111"/>
    </row>
    <row r="2692" spans="1:7" ht="15" hidden="1" thickBot="1">
      <c r="A2692" s="987"/>
      <c r="B2692" s="988"/>
      <c r="C2692" s="989"/>
      <c r="D2692" s="990"/>
      <c r="E2692" s="990"/>
      <c r="F2692" s="990"/>
      <c r="G2692" s="14"/>
    </row>
    <row r="2693" spans="1:7" ht="15" hidden="1" thickBot="1">
      <c r="A2693" s="991"/>
      <c r="B2693" s="991"/>
      <c r="C2693" s="991"/>
      <c r="D2693" s="992"/>
      <c r="E2693" s="993"/>
      <c r="F2693" s="993"/>
      <c r="G2693" s="112"/>
    </row>
    <row r="2694" spans="1:7" hidden="1">
      <c r="A2694" s="49"/>
      <c r="B2694" s="49"/>
      <c r="C2694" s="49"/>
      <c r="D2694" s="49"/>
      <c r="F2694" s="307"/>
      <c r="G2694" s="49"/>
    </row>
    <row r="2695" spans="1:7" hidden="1">
      <c r="A2695" s="49"/>
      <c r="B2695" s="49"/>
      <c r="C2695" s="49"/>
      <c r="D2695" s="49"/>
      <c r="F2695" s="307"/>
      <c r="G2695" s="49"/>
    </row>
    <row r="2696" spans="1:7" ht="15" hidden="1" thickBot="1">
      <c r="A2696" s="1036"/>
      <c r="B2696" s="1037"/>
      <c r="C2696" s="1037"/>
      <c r="D2696" s="1037"/>
      <c r="E2696" s="1037"/>
      <c r="F2696" s="1037"/>
      <c r="G2696" s="1038"/>
    </row>
    <row r="2697" spans="1:7" ht="15" hidden="1" thickBot="1">
      <c r="A2697" s="1006"/>
      <c r="B2697" s="1007"/>
      <c r="C2697" s="1007"/>
      <c r="D2697" s="1007"/>
      <c r="E2697" s="1007"/>
      <c r="F2697" s="272"/>
      <c r="G2697" s="43"/>
    </row>
    <row r="2698" spans="1:7" ht="15" hidden="1" customHeight="1" thickBot="1">
      <c r="A2698" s="1018"/>
      <c r="B2698" s="1019"/>
      <c r="C2698" s="1019"/>
      <c r="D2698" s="1019"/>
      <c r="E2698" s="1020"/>
      <c r="F2698" s="273"/>
      <c r="G2698" s="45"/>
    </row>
    <row r="2699" spans="1:7" ht="15" hidden="1" thickBot="1">
      <c r="A2699" s="1021"/>
      <c r="B2699" s="1022"/>
      <c r="C2699" s="1022"/>
      <c r="D2699" s="1022"/>
      <c r="E2699" s="1023"/>
      <c r="F2699" s="273"/>
      <c r="G2699" s="46"/>
    </row>
    <row r="2700" spans="1:7" ht="15" hidden="1" thickBot="1">
      <c r="A2700" s="1024"/>
      <c r="B2700" s="1025"/>
      <c r="C2700" s="1025"/>
      <c r="D2700" s="1025"/>
      <c r="E2700" s="1026"/>
      <c r="F2700" s="274"/>
      <c r="G2700" s="48"/>
    </row>
    <row r="2701" spans="1:7" ht="15" hidden="1" thickBot="1">
      <c r="A2701" s="1008"/>
      <c r="B2701" s="1009"/>
      <c r="C2701" s="1009"/>
      <c r="D2701" s="1009"/>
      <c r="E2701" s="1009"/>
      <c r="F2701" s="1009"/>
      <c r="G2701" s="1010"/>
    </row>
    <row r="2702" spans="1:7" ht="15" hidden="1" thickBot="1">
      <c r="A2702" s="982"/>
      <c r="B2702" s="913"/>
      <c r="C2702" s="914"/>
      <c r="D2702" s="95"/>
      <c r="E2702" s="242"/>
      <c r="F2702" s="286"/>
      <c r="G2702" s="97"/>
    </row>
    <row r="2703" spans="1:7" hidden="1">
      <c r="A2703" s="87"/>
      <c r="B2703" s="930"/>
      <c r="C2703" s="931"/>
      <c r="D2703" s="88"/>
      <c r="E2703" s="251"/>
      <c r="F2703" s="284"/>
      <c r="G2703" s="90"/>
    </row>
    <row r="2704" spans="1:7" hidden="1">
      <c r="A2704" s="91"/>
      <c r="B2704" s="968"/>
      <c r="C2704" s="969"/>
      <c r="D2704" s="92"/>
      <c r="E2704" s="252"/>
      <c r="F2704" s="285"/>
      <c r="G2704" s="94"/>
    </row>
    <row r="2705" spans="1:7" ht="15" hidden="1" thickBot="1">
      <c r="A2705" s="994"/>
      <c r="B2705" s="995"/>
      <c r="C2705" s="995"/>
      <c r="D2705" s="981"/>
      <c r="E2705" s="981"/>
      <c r="F2705" s="981"/>
      <c r="G2705" s="13"/>
    </row>
    <row r="2706" spans="1:7" ht="15" hidden="1" thickBot="1">
      <c r="A2706" s="982"/>
      <c r="B2706" s="983"/>
      <c r="C2706" s="983"/>
      <c r="D2706" s="983"/>
      <c r="E2706" s="983"/>
      <c r="F2706" s="983"/>
      <c r="G2706" s="984"/>
    </row>
    <row r="2707" spans="1:7" ht="15" hidden="1" thickBot="1">
      <c r="A2707" s="982"/>
      <c r="B2707" s="913"/>
      <c r="C2707" s="914"/>
      <c r="D2707" s="95"/>
      <c r="E2707" s="242"/>
      <c r="F2707" s="286"/>
      <c r="G2707" s="97"/>
    </row>
    <row r="2708" spans="1:7" hidden="1">
      <c r="A2708" s="98"/>
      <c r="B2708" s="928"/>
      <c r="C2708" s="929"/>
      <c r="D2708" s="99"/>
      <c r="E2708" s="253"/>
      <c r="F2708" s="287"/>
      <c r="G2708" s="102"/>
    </row>
    <row r="2709" spans="1:7" ht="15" hidden="1" thickBot="1">
      <c r="A2709" s="996"/>
      <c r="B2709" s="997"/>
      <c r="C2709" s="998"/>
      <c r="D2709" s="981"/>
      <c r="E2709" s="981"/>
      <c r="F2709" s="981"/>
      <c r="G2709" s="13"/>
    </row>
    <row r="2710" spans="1:7" ht="15" hidden="1" thickBot="1">
      <c r="A2710" s="982"/>
      <c r="B2710" s="983"/>
      <c r="C2710" s="983"/>
      <c r="D2710" s="983"/>
      <c r="E2710" s="983"/>
      <c r="F2710" s="983"/>
      <c r="G2710" s="984"/>
    </row>
    <row r="2711" spans="1:7" ht="15" hidden="1" thickBot="1">
      <c r="A2711" s="982"/>
      <c r="B2711" s="913"/>
      <c r="C2711" s="914"/>
      <c r="D2711" s="95"/>
      <c r="E2711" s="242"/>
      <c r="F2711" s="286"/>
      <c r="G2711" s="97"/>
    </row>
    <row r="2712" spans="1:7" ht="15" hidden="1" thickBot="1">
      <c r="A2712" s="103"/>
      <c r="B2712" s="942"/>
      <c r="C2712" s="943"/>
      <c r="D2712" s="104"/>
      <c r="E2712" s="247"/>
      <c r="F2712" s="288"/>
      <c r="G2712" s="106"/>
    </row>
    <row r="2713" spans="1:7" ht="15" hidden="1" thickBot="1">
      <c r="A2713" s="978"/>
      <c r="B2713" s="979"/>
      <c r="C2713" s="980"/>
      <c r="D2713" s="981"/>
      <c r="E2713" s="981"/>
      <c r="F2713" s="981"/>
      <c r="G2713" s="13"/>
    </row>
    <row r="2714" spans="1:7" ht="15" hidden="1" thickBot="1">
      <c r="A2714" s="982"/>
      <c r="B2714" s="983"/>
      <c r="C2714" s="983"/>
      <c r="D2714" s="983"/>
      <c r="E2714" s="983"/>
      <c r="F2714" s="983"/>
      <c r="G2714" s="984"/>
    </row>
    <row r="2715" spans="1:7" ht="15" hidden="1" thickBot="1">
      <c r="A2715" s="982"/>
      <c r="B2715" s="913"/>
      <c r="C2715" s="914"/>
      <c r="D2715" s="95"/>
      <c r="E2715" s="242"/>
      <c r="F2715" s="289"/>
      <c r="G2715" s="97"/>
    </row>
    <row r="2716" spans="1:7" hidden="1">
      <c r="A2716" s="108"/>
      <c r="B2716" s="985"/>
      <c r="C2716" s="986"/>
      <c r="D2716" s="109"/>
      <c r="E2716" s="254"/>
      <c r="F2716" s="290"/>
      <c r="G2716" s="111"/>
    </row>
    <row r="2717" spans="1:7" ht="15" hidden="1" thickBot="1">
      <c r="A2717" s="987"/>
      <c r="B2717" s="988"/>
      <c r="C2717" s="989"/>
      <c r="D2717" s="990"/>
      <c r="E2717" s="990"/>
      <c r="F2717" s="990"/>
      <c r="G2717" s="14"/>
    </row>
    <row r="2718" spans="1:7" ht="15" hidden="1" thickBot="1">
      <c r="A2718" s="991"/>
      <c r="B2718" s="991"/>
      <c r="C2718" s="991"/>
      <c r="D2718" s="992"/>
      <c r="E2718" s="993"/>
      <c r="F2718" s="993"/>
      <c r="G2718" s="112"/>
    </row>
    <row r="2719" spans="1:7" ht="15" hidden="1" customHeight="1">
      <c r="A2719" s="40"/>
      <c r="B2719" s="40"/>
      <c r="C2719" s="40"/>
      <c r="D2719" s="146"/>
      <c r="E2719" s="250"/>
      <c r="F2719" s="298"/>
      <c r="G2719" s="147"/>
    </row>
    <row r="2720" spans="1:7" ht="15.75" hidden="1" thickBot="1">
      <c r="A2720" s="162"/>
      <c r="B2720" s="162"/>
      <c r="C2720" s="162"/>
      <c r="D2720" s="162"/>
      <c r="E2720" s="258"/>
      <c r="F2720" s="301"/>
      <c r="G2720" s="162"/>
    </row>
    <row r="2721" spans="1:7" ht="15" hidden="1" collapsed="1" thickBot="1">
      <c r="A2721" s="1027"/>
      <c r="B2721" s="1028"/>
      <c r="C2721" s="1028"/>
      <c r="D2721" s="1028"/>
      <c r="E2721" s="1028"/>
      <c r="F2721" s="1028"/>
      <c r="G2721" s="1029"/>
    </row>
    <row r="2722" spans="1:7" ht="15" hidden="1" thickBot="1">
      <c r="A2722" s="950"/>
      <c r="B2722" s="951"/>
      <c r="C2722" s="951"/>
      <c r="D2722" s="951"/>
      <c r="E2722" s="952"/>
      <c r="F2722" s="272"/>
      <c r="G2722" s="43"/>
    </row>
    <row r="2723" spans="1:7" ht="14.45" hidden="1" customHeight="1" thickBot="1">
      <c r="A2723" s="1018"/>
      <c r="B2723" s="1019"/>
      <c r="C2723" s="1019"/>
      <c r="D2723" s="1019"/>
      <c r="E2723" s="1020"/>
      <c r="F2723" s="273"/>
      <c r="G2723" s="45"/>
    </row>
    <row r="2724" spans="1:7" ht="15" hidden="1" thickBot="1">
      <c r="A2724" s="1021"/>
      <c r="B2724" s="1022"/>
      <c r="C2724" s="1022"/>
      <c r="D2724" s="1022"/>
      <c r="E2724" s="1023"/>
      <c r="F2724" s="273"/>
      <c r="G2724" s="46"/>
    </row>
    <row r="2725" spans="1:7" ht="15" hidden="1" thickBot="1">
      <c r="A2725" s="1024"/>
      <c r="B2725" s="1025"/>
      <c r="C2725" s="1025"/>
      <c r="D2725" s="1025"/>
      <c r="E2725" s="1026"/>
      <c r="F2725" s="274"/>
      <c r="G2725" s="48"/>
    </row>
    <row r="2726" spans="1:7" ht="15" hidden="1" thickBot="1">
      <c r="A2726" s="962"/>
      <c r="B2726" s="963"/>
      <c r="C2726" s="964"/>
      <c r="D2726" s="964"/>
      <c r="E2726" s="964"/>
      <c r="F2726" s="964"/>
      <c r="G2726" s="965"/>
    </row>
    <row r="2727" spans="1:7" ht="15" hidden="1" thickBot="1">
      <c r="A2727" s="909"/>
      <c r="B2727" s="913"/>
      <c r="C2727" s="914"/>
      <c r="D2727" s="95"/>
      <c r="E2727" s="242"/>
      <c r="F2727" s="286"/>
      <c r="G2727" s="113"/>
    </row>
    <row r="2728" spans="1:7" ht="15" hidden="1" thickBot="1">
      <c r="A2728" s="114"/>
      <c r="B2728" s="966"/>
      <c r="C2728" s="967"/>
      <c r="D2728" s="88"/>
      <c r="E2728" s="251"/>
      <c r="F2728" s="284"/>
      <c r="G2728" s="117"/>
    </row>
    <row r="2729" spans="1:7" ht="15" hidden="1" thickBot="1">
      <c r="A2729" s="114"/>
      <c r="B2729" s="966"/>
      <c r="C2729" s="967"/>
      <c r="D2729" s="88"/>
      <c r="E2729" s="251"/>
      <c r="F2729" s="284"/>
      <c r="G2729" s="117"/>
    </row>
    <row r="2730" spans="1:7" hidden="1">
      <c r="A2730" s="154"/>
      <c r="B2730" s="968"/>
      <c r="C2730" s="969"/>
      <c r="D2730" s="171"/>
      <c r="E2730" s="260"/>
      <c r="F2730" s="285"/>
      <c r="G2730" s="149"/>
    </row>
    <row r="2731" spans="1:7" ht="15" hidden="1" thickBot="1">
      <c r="A2731" s="970"/>
      <c r="B2731" s="971"/>
      <c r="C2731" s="972"/>
      <c r="D2731" s="973"/>
      <c r="E2731" s="974"/>
      <c r="F2731" s="975"/>
      <c r="G2731" s="11"/>
    </row>
    <row r="2732" spans="1:7" ht="15" hidden="1" thickBot="1">
      <c r="A2732" s="908"/>
      <c r="B2732" s="910"/>
      <c r="C2732" s="911"/>
      <c r="D2732" s="911"/>
      <c r="E2732" s="911"/>
      <c r="F2732" s="911"/>
      <c r="G2732" s="912"/>
    </row>
    <row r="2733" spans="1:7" ht="15" hidden="1" thickBot="1">
      <c r="A2733" s="909"/>
      <c r="B2733" s="913"/>
      <c r="C2733" s="914"/>
      <c r="D2733" s="95"/>
      <c r="E2733" s="242"/>
      <c r="F2733" s="286"/>
      <c r="G2733" s="113"/>
    </row>
    <row r="2734" spans="1:7" ht="15" hidden="1" thickBot="1">
      <c r="A2734" s="122"/>
      <c r="B2734" s="976"/>
      <c r="C2734" s="977"/>
      <c r="D2734" s="88"/>
      <c r="E2734" s="251"/>
      <c r="F2734" s="284"/>
      <c r="G2734" s="149"/>
    </row>
    <row r="2735" spans="1:7" ht="15" hidden="1" thickBot="1">
      <c r="A2735" s="122"/>
      <c r="B2735" s="976"/>
      <c r="C2735" s="977"/>
      <c r="D2735" s="88"/>
      <c r="E2735" s="251"/>
      <c r="F2735" s="284"/>
      <c r="G2735" s="149"/>
    </row>
    <row r="2736" spans="1:7" ht="15" hidden="1" thickBot="1">
      <c r="A2736" s="122"/>
      <c r="B2736" s="976"/>
      <c r="C2736" s="977"/>
      <c r="D2736" s="88"/>
      <c r="E2736" s="251"/>
      <c r="F2736" s="284"/>
      <c r="G2736" s="149"/>
    </row>
    <row r="2737" spans="1:7" ht="15" hidden="1" thickBot="1">
      <c r="A2737" s="155"/>
      <c r="B2737" s="930"/>
      <c r="C2737" s="931"/>
      <c r="D2737" s="88"/>
      <c r="E2737" s="251"/>
      <c r="F2737" s="284"/>
      <c r="G2737" s="149"/>
    </row>
    <row r="2738" spans="1:7" ht="15" hidden="1" thickBot="1">
      <c r="A2738" s="155"/>
      <c r="B2738" s="930"/>
      <c r="C2738" s="931"/>
      <c r="D2738" s="88"/>
      <c r="E2738" s="251"/>
      <c r="F2738" s="284"/>
      <c r="G2738" s="149"/>
    </row>
    <row r="2739" spans="1:7" ht="15" hidden="1" thickBot="1">
      <c r="A2739" s="178"/>
      <c r="B2739" s="926"/>
      <c r="C2739" s="927"/>
      <c r="D2739" s="88"/>
      <c r="E2739" s="261"/>
      <c r="F2739" s="284"/>
      <c r="G2739" s="181"/>
    </row>
    <row r="2740" spans="1:7" ht="15" hidden="1" thickBot="1">
      <c r="A2740" s="122"/>
      <c r="B2740" s="976"/>
      <c r="C2740" s="977"/>
      <c r="D2740" s="88"/>
      <c r="E2740" s="261"/>
      <c r="F2740" s="284"/>
      <c r="G2740" s="149"/>
    </row>
    <row r="2741" spans="1:7" ht="15" hidden="1" thickBot="1">
      <c r="A2741" s="122"/>
      <c r="B2741" s="976"/>
      <c r="C2741" s="977"/>
      <c r="D2741" s="88"/>
      <c r="E2741" s="251"/>
      <c r="F2741" s="284"/>
      <c r="G2741" s="149"/>
    </row>
    <row r="2742" spans="1:7" ht="15" hidden="1" thickBot="1">
      <c r="A2742" s="122"/>
      <c r="B2742" s="976"/>
      <c r="C2742" s="977"/>
      <c r="D2742" s="88"/>
      <c r="E2742" s="251"/>
      <c r="F2742" s="284"/>
      <c r="G2742" s="149"/>
    </row>
    <row r="2743" spans="1:7" ht="15" hidden="1" thickBot="1">
      <c r="A2743" s="155"/>
      <c r="B2743" s="930"/>
      <c r="C2743" s="931"/>
      <c r="D2743" s="88"/>
      <c r="E2743" s="251"/>
      <c r="F2743" s="284"/>
      <c r="G2743" s="149"/>
    </row>
    <row r="2744" spans="1:7" ht="15" hidden="1" thickBot="1">
      <c r="A2744" s="155"/>
      <c r="B2744" s="930"/>
      <c r="C2744" s="931"/>
      <c r="D2744" s="88"/>
      <c r="E2744" s="251"/>
      <c r="F2744" s="284"/>
      <c r="G2744" s="149"/>
    </row>
    <row r="2745" spans="1:7" ht="15" hidden="1" thickBot="1">
      <c r="A2745" s="155"/>
      <c r="B2745" s="930"/>
      <c r="C2745" s="931"/>
      <c r="D2745" s="88"/>
      <c r="E2745" s="251"/>
      <c r="F2745" s="284"/>
      <c r="G2745" s="149"/>
    </row>
    <row r="2746" spans="1:7" ht="15" hidden="1" thickBot="1">
      <c r="A2746" s="155"/>
      <c r="B2746" s="930"/>
      <c r="C2746" s="931"/>
      <c r="D2746" s="88"/>
      <c r="E2746" s="251"/>
      <c r="F2746" s="284"/>
      <c r="G2746" s="149"/>
    </row>
    <row r="2747" spans="1:7" ht="15" hidden="1" thickBot="1">
      <c r="A2747" s="178"/>
      <c r="B2747" s="926"/>
      <c r="C2747" s="927"/>
      <c r="D2747" s="88"/>
      <c r="E2747" s="261"/>
      <c r="F2747" s="284"/>
      <c r="G2747" s="181"/>
    </row>
    <row r="2748" spans="1:7" ht="15" hidden="1" thickBot="1">
      <c r="A2748" s="932"/>
      <c r="B2748" s="933"/>
      <c r="C2748" s="934"/>
      <c r="D2748" s="935"/>
      <c r="E2748" s="936"/>
      <c r="F2748" s="937"/>
      <c r="G2748" s="18"/>
    </row>
    <row r="2749" spans="1:7" ht="15" hidden="1" thickBot="1">
      <c r="A2749" s="908"/>
      <c r="B2749" s="910"/>
      <c r="C2749" s="911"/>
      <c r="D2749" s="911"/>
      <c r="E2749" s="911"/>
      <c r="F2749" s="911"/>
      <c r="G2749" s="912"/>
    </row>
    <row r="2750" spans="1:7" ht="15" hidden="1" thickBot="1">
      <c r="A2750" s="909"/>
      <c r="B2750" s="913"/>
      <c r="C2750" s="914"/>
      <c r="D2750" s="95"/>
      <c r="E2750" s="242"/>
      <c r="F2750" s="286"/>
      <c r="G2750" s="113"/>
    </row>
    <row r="2751" spans="1:7" ht="15" hidden="1" thickBot="1">
      <c r="A2751" s="127"/>
      <c r="B2751" s="942"/>
      <c r="C2751" s="943"/>
      <c r="D2751" s="104"/>
      <c r="E2751" s="247"/>
      <c r="F2751" s="284"/>
      <c r="G2751" s="159"/>
    </row>
    <row r="2752" spans="1:7" hidden="1">
      <c r="A2752" s="156"/>
      <c r="B2752" s="940"/>
      <c r="C2752" s="941"/>
      <c r="D2752" s="157"/>
      <c r="E2752" s="259"/>
      <c r="F2752" s="303"/>
      <c r="G2752" s="159"/>
    </row>
    <row r="2753" spans="1:7" ht="15" hidden="1" thickBot="1">
      <c r="A2753" s="130"/>
      <c r="B2753" s="942"/>
      <c r="C2753" s="943"/>
      <c r="D2753" s="104"/>
      <c r="E2753" s="247"/>
      <c r="F2753" s="288"/>
      <c r="G2753" s="131"/>
    </row>
    <row r="2754" spans="1:7" ht="15" hidden="1" thickBot="1">
      <c r="A2754" s="944"/>
      <c r="B2754" s="945"/>
      <c r="C2754" s="946"/>
      <c r="D2754" s="947"/>
      <c r="E2754" s="948"/>
      <c r="F2754" s="949"/>
      <c r="G2754" s="11"/>
    </row>
    <row r="2755" spans="1:7" ht="15" hidden="1" thickBot="1">
      <c r="A2755" s="908"/>
      <c r="B2755" s="910"/>
      <c r="C2755" s="911"/>
      <c r="D2755" s="911"/>
      <c r="E2755" s="911"/>
      <c r="F2755" s="911"/>
      <c r="G2755" s="912"/>
    </row>
    <row r="2756" spans="1:7" ht="18.75" hidden="1" customHeight="1" thickBot="1">
      <c r="A2756" s="909"/>
      <c r="B2756" s="913"/>
      <c r="C2756" s="914"/>
      <c r="D2756" s="95"/>
      <c r="E2756" s="242"/>
      <c r="F2756" s="286"/>
      <c r="G2756" s="113"/>
    </row>
    <row r="2757" spans="1:7" ht="18.75" hidden="1" customHeight="1" thickBot="1">
      <c r="A2757" s="122"/>
      <c r="B2757" s="985"/>
      <c r="C2757" s="986"/>
      <c r="D2757" s="109"/>
      <c r="E2757" s="254"/>
      <c r="F2757" s="304"/>
      <c r="G2757" s="129"/>
    </row>
    <row r="2758" spans="1:7" s="7" customFormat="1" ht="13.5" hidden="1" thickBot="1">
      <c r="A2758" s="165"/>
      <c r="B2758" s="985"/>
      <c r="C2758" s="986"/>
      <c r="D2758" s="168"/>
      <c r="E2758" s="262"/>
      <c r="F2758" s="306"/>
      <c r="G2758" s="170"/>
    </row>
    <row r="2759" spans="1:7" ht="15" hidden="1" thickBot="1">
      <c r="A2759" s="915"/>
      <c r="B2759" s="916"/>
      <c r="C2759" s="917"/>
      <c r="D2759" s="918"/>
      <c r="E2759" s="919"/>
      <c r="F2759" s="920"/>
      <c r="G2759" s="12"/>
    </row>
    <row r="2760" spans="1:7" ht="15" hidden="1" thickBot="1">
      <c r="A2760" s="921"/>
      <c r="B2760" s="922"/>
      <c r="C2760" s="922"/>
      <c r="D2760" s="923"/>
      <c r="E2760" s="924"/>
      <c r="F2760" s="925"/>
      <c r="G2760" s="112"/>
    </row>
    <row r="2761" spans="1:7" ht="15" hidden="1" customHeight="1">
      <c r="A2761" s="40"/>
      <c r="B2761" s="40"/>
      <c r="C2761" s="40"/>
      <c r="D2761" s="146"/>
      <c r="E2761" s="250"/>
      <c r="F2761" s="298"/>
      <c r="G2761" s="147"/>
    </row>
    <row r="2762" spans="1:7" ht="15.75" hidden="1" thickBot="1">
      <c r="A2762" s="162"/>
      <c r="B2762" s="162"/>
      <c r="C2762" s="162"/>
      <c r="D2762" s="162"/>
      <c r="E2762" s="258"/>
      <c r="F2762" s="301"/>
      <c r="G2762" s="162"/>
    </row>
    <row r="2763" spans="1:7" ht="15" hidden="1" collapsed="1" thickBot="1">
      <c r="A2763" s="1027"/>
      <c r="B2763" s="1028"/>
      <c r="C2763" s="1028"/>
      <c r="D2763" s="1028"/>
      <c r="E2763" s="1028"/>
      <c r="F2763" s="1028"/>
      <c r="G2763" s="1029"/>
    </row>
    <row r="2764" spans="1:7" ht="15" hidden="1" thickBot="1">
      <c r="A2764" s="950"/>
      <c r="B2764" s="951"/>
      <c r="C2764" s="951"/>
      <c r="D2764" s="951"/>
      <c r="E2764" s="952"/>
      <c r="F2764" s="272"/>
      <c r="G2764" s="43"/>
    </row>
    <row r="2765" spans="1:7" ht="14.45" hidden="1" customHeight="1" thickBot="1">
      <c r="A2765" s="1018"/>
      <c r="B2765" s="1019"/>
      <c r="C2765" s="1019"/>
      <c r="D2765" s="1019"/>
      <c r="E2765" s="1020"/>
      <c r="F2765" s="273"/>
      <c r="G2765" s="45"/>
    </row>
    <row r="2766" spans="1:7" ht="15" hidden="1" thickBot="1">
      <c r="A2766" s="1021"/>
      <c r="B2766" s="1022"/>
      <c r="C2766" s="1022"/>
      <c r="D2766" s="1022"/>
      <c r="E2766" s="1023"/>
      <c r="F2766" s="273"/>
      <c r="G2766" s="46"/>
    </row>
    <row r="2767" spans="1:7" ht="15" hidden="1" thickBot="1">
      <c r="A2767" s="1024"/>
      <c r="B2767" s="1025"/>
      <c r="C2767" s="1025"/>
      <c r="D2767" s="1025"/>
      <c r="E2767" s="1026"/>
      <c r="F2767" s="274"/>
      <c r="G2767" s="48"/>
    </row>
    <row r="2768" spans="1:7" ht="15" hidden="1" thickBot="1">
      <c r="A2768" s="962"/>
      <c r="B2768" s="963"/>
      <c r="C2768" s="964"/>
      <c r="D2768" s="964"/>
      <c r="E2768" s="964"/>
      <c r="F2768" s="964"/>
      <c r="G2768" s="965"/>
    </row>
    <row r="2769" spans="1:7" ht="15" hidden="1" thickBot="1">
      <c r="A2769" s="909"/>
      <c r="B2769" s="913"/>
      <c r="C2769" s="914"/>
      <c r="D2769" s="95"/>
      <c r="E2769" s="242"/>
      <c r="F2769" s="286"/>
      <c r="G2769" s="113"/>
    </row>
    <row r="2770" spans="1:7" ht="15" hidden="1" thickBot="1">
      <c r="A2770" s="114"/>
      <c r="B2770" s="966"/>
      <c r="C2770" s="967"/>
      <c r="D2770" s="88"/>
      <c r="E2770" s="251"/>
      <c r="F2770" s="284"/>
      <c r="G2770" s="117"/>
    </row>
    <row r="2771" spans="1:7" ht="15" hidden="1" thickBot="1">
      <c r="A2771" s="114"/>
      <c r="B2771" s="966"/>
      <c r="C2771" s="967"/>
      <c r="D2771" s="88"/>
      <c r="E2771" s="251"/>
      <c r="F2771" s="284"/>
      <c r="G2771" s="117"/>
    </row>
    <row r="2772" spans="1:7" hidden="1">
      <c r="A2772" s="154"/>
      <c r="B2772" s="968"/>
      <c r="C2772" s="969"/>
      <c r="D2772" s="171"/>
      <c r="E2772" s="260"/>
      <c r="F2772" s="285"/>
      <c r="G2772" s="149"/>
    </row>
    <row r="2773" spans="1:7" ht="15" hidden="1" thickBot="1">
      <c r="A2773" s="970"/>
      <c r="B2773" s="971"/>
      <c r="C2773" s="972"/>
      <c r="D2773" s="973"/>
      <c r="E2773" s="974"/>
      <c r="F2773" s="975"/>
      <c r="G2773" s="11"/>
    </row>
    <row r="2774" spans="1:7" ht="15" hidden="1" thickBot="1">
      <c r="A2774" s="908"/>
      <c r="B2774" s="910"/>
      <c r="C2774" s="911"/>
      <c r="D2774" s="911"/>
      <c r="E2774" s="911"/>
      <c r="F2774" s="911"/>
      <c r="G2774" s="912"/>
    </row>
    <row r="2775" spans="1:7" ht="15" hidden="1" thickBot="1">
      <c r="A2775" s="909"/>
      <c r="B2775" s="913"/>
      <c r="C2775" s="914"/>
      <c r="D2775" s="95"/>
      <c r="E2775" s="242"/>
      <c r="F2775" s="286"/>
      <c r="G2775" s="113"/>
    </row>
    <row r="2776" spans="1:7" ht="15" hidden="1" thickBot="1">
      <c r="A2776" s="122"/>
      <c r="B2776" s="976"/>
      <c r="C2776" s="977"/>
      <c r="D2776" s="88"/>
      <c r="E2776" s="251"/>
      <c r="F2776" s="284"/>
      <c r="G2776" s="149"/>
    </row>
    <row r="2777" spans="1:7" ht="15" hidden="1" thickBot="1">
      <c r="A2777" s="932"/>
      <c r="B2777" s="933"/>
      <c r="C2777" s="934"/>
      <c r="D2777" s="935"/>
      <c r="E2777" s="936"/>
      <c r="F2777" s="937"/>
      <c r="G2777" s="18"/>
    </row>
    <row r="2778" spans="1:7" ht="15" hidden="1" thickBot="1">
      <c r="A2778" s="908"/>
      <c r="B2778" s="910"/>
      <c r="C2778" s="911"/>
      <c r="D2778" s="911"/>
      <c r="E2778" s="911"/>
      <c r="F2778" s="911"/>
      <c r="G2778" s="912"/>
    </row>
    <row r="2779" spans="1:7" ht="15" hidden="1" thickBot="1">
      <c r="A2779" s="909"/>
      <c r="B2779" s="913"/>
      <c r="C2779" s="914"/>
      <c r="D2779" s="95"/>
      <c r="E2779" s="242"/>
      <c r="F2779" s="286"/>
      <c r="G2779" s="113"/>
    </row>
    <row r="2780" spans="1:7" ht="15" hidden="1" thickBot="1">
      <c r="A2780" s="127"/>
      <c r="B2780" s="942"/>
      <c r="C2780" s="943"/>
      <c r="D2780" s="104"/>
      <c r="E2780" s="247"/>
      <c r="F2780" s="284"/>
      <c r="G2780" s="159"/>
    </row>
    <row r="2781" spans="1:7" hidden="1">
      <c r="A2781" s="156"/>
      <c r="B2781" s="940"/>
      <c r="C2781" s="941"/>
      <c r="D2781" s="157"/>
      <c r="E2781" s="259"/>
      <c r="F2781" s="303"/>
      <c r="G2781" s="159"/>
    </row>
    <row r="2782" spans="1:7" ht="15" hidden="1" thickBot="1">
      <c r="A2782" s="130"/>
      <c r="B2782" s="942"/>
      <c r="C2782" s="943"/>
      <c r="D2782" s="104"/>
      <c r="E2782" s="247"/>
      <c r="F2782" s="288"/>
      <c r="G2782" s="131"/>
    </row>
    <row r="2783" spans="1:7" ht="15" hidden="1" thickBot="1">
      <c r="A2783" s="944"/>
      <c r="B2783" s="945"/>
      <c r="C2783" s="946"/>
      <c r="D2783" s="947"/>
      <c r="E2783" s="948"/>
      <c r="F2783" s="949"/>
      <c r="G2783" s="11"/>
    </row>
    <row r="2784" spans="1:7" ht="15" hidden="1" thickBot="1">
      <c r="A2784" s="908"/>
      <c r="B2784" s="910"/>
      <c r="C2784" s="911"/>
      <c r="D2784" s="911"/>
      <c r="E2784" s="911"/>
      <c r="F2784" s="911"/>
      <c r="G2784" s="912"/>
    </row>
    <row r="2785" spans="1:7" ht="18.75" hidden="1" customHeight="1" thickBot="1">
      <c r="A2785" s="909"/>
      <c r="B2785" s="913"/>
      <c r="C2785" s="914"/>
      <c r="D2785" s="95"/>
      <c r="E2785" s="242"/>
      <c r="F2785" s="286"/>
      <c r="G2785" s="113"/>
    </row>
    <row r="2786" spans="1:7" ht="18.75" hidden="1" customHeight="1" thickBot="1">
      <c r="A2786" s="122"/>
      <c r="B2786" s="985"/>
      <c r="C2786" s="986"/>
      <c r="D2786" s="109"/>
      <c r="E2786" s="254"/>
      <c r="F2786" s="304"/>
      <c r="G2786" s="129"/>
    </row>
    <row r="2787" spans="1:7" s="7" customFormat="1" ht="13.5" hidden="1" thickBot="1">
      <c r="A2787" s="165"/>
      <c r="B2787" s="985"/>
      <c r="C2787" s="986"/>
      <c r="D2787" s="168"/>
      <c r="E2787" s="262"/>
      <c r="F2787" s="306"/>
      <c r="G2787" s="170"/>
    </row>
    <row r="2788" spans="1:7" ht="15" hidden="1" thickBot="1">
      <c r="A2788" s="915"/>
      <c r="B2788" s="916"/>
      <c r="C2788" s="917"/>
      <c r="D2788" s="918"/>
      <c r="E2788" s="919"/>
      <c r="F2788" s="920"/>
      <c r="G2788" s="12"/>
    </row>
    <row r="2789" spans="1:7" ht="15" hidden="1" thickBot="1">
      <c r="A2789" s="921"/>
      <c r="B2789" s="922"/>
      <c r="C2789" s="922"/>
      <c r="D2789" s="923"/>
      <c r="E2789" s="924"/>
      <c r="F2789" s="925"/>
      <c r="G2789" s="112"/>
    </row>
    <row r="2790" spans="1:7" ht="15" hidden="1" customHeight="1">
      <c r="A2790" s="40"/>
      <c r="B2790" s="40"/>
      <c r="C2790" s="40"/>
      <c r="D2790" s="146"/>
      <c r="E2790" s="250"/>
      <c r="F2790" s="298"/>
      <c r="G2790" s="147"/>
    </row>
    <row r="2791" spans="1:7" ht="15.75" hidden="1" thickBot="1">
      <c r="A2791" s="162"/>
      <c r="B2791" s="162"/>
      <c r="C2791" s="162"/>
      <c r="D2791" s="162"/>
      <c r="E2791" s="258"/>
      <c r="F2791" s="301"/>
      <c r="G2791" s="162"/>
    </row>
    <row r="2792" spans="1:7" ht="15" hidden="1" collapsed="1" thickBot="1">
      <c r="A2792" s="1027"/>
      <c r="B2792" s="1028"/>
      <c r="C2792" s="1028"/>
      <c r="D2792" s="1028"/>
      <c r="E2792" s="1028"/>
      <c r="F2792" s="1028"/>
      <c r="G2792" s="1029"/>
    </row>
    <row r="2793" spans="1:7" ht="15" hidden="1" thickBot="1">
      <c r="A2793" s="950"/>
      <c r="B2793" s="951"/>
      <c r="C2793" s="951"/>
      <c r="D2793" s="951"/>
      <c r="E2793" s="952"/>
      <c r="F2793" s="272"/>
      <c r="G2793" s="43"/>
    </row>
    <row r="2794" spans="1:7" ht="14.45" hidden="1" customHeight="1" thickBot="1">
      <c r="A2794" s="1018"/>
      <c r="B2794" s="1019"/>
      <c r="C2794" s="1019"/>
      <c r="D2794" s="1019"/>
      <c r="E2794" s="1020"/>
      <c r="F2794" s="273"/>
      <c r="G2794" s="45"/>
    </row>
    <row r="2795" spans="1:7" ht="15" hidden="1" thickBot="1">
      <c r="A2795" s="1021"/>
      <c r="B2795" s="1022"/>
      <c r="C2795" s="1022"/>
      <c r="D2795" s="1022"/>
      <c r="E2795" s="1023"/>
      <c r="F2795" s="273"/>
      <c r="G2795" s="46"/>
    </row>
    <row r="2796" spans="1:7" ht="15" hidden="1" thickBot="1">
      <c r="A2796" s="1024"/>
      <c r="B2796" s="1025"/>
      <c r="C2796" s="1025"/>
      <c r="D2796" s="1025"/>
      <c r="E2796" s="1026"/>
      <c r="F2796" s="274"/>
      <c r="G2796" s="48"/>
    </row>
    <row r="2797" spans="1:7" ht="15" hidden="1" thickBot="1">
      <c r="A2797" s="962"/>
      <c r="B2797" s="963"/>
      <c r="C2797" s="964"/>
      <c r="D2797" s="964"/>
      <c r="E2797" s="964"/>
      <c r="F2797" s="964"/>
      <c r="G2797" s="965"/>
    </row>
    <row r="2798" spans="1:7" ht="15" hidden="1" thickBot="1">
      <c r="A2798" s="909"/>
      <c r="B2798" s="913"/>
      <c r="C2798" s="914"/>
      <c r="D2798" s="95"/>
      <c r="E2798" s="242"/>
      <c r="F2798" s="286"/>
      <c r="G2798" s="113"/>
    </row>
    <row r="2799" spans="1:7" ht="15" hidden="1" thickBot="1">
      <c r="A2799" s="114"/>
      <c r="B2799" s="966"/>
      <c r="C2799" s="967"/>
      <c r="D2799" s="88"/>
      <c r="E2799" s="251"/>
      <c r="F2799" s="284"/>
      <c r="G2799" s="117"/>
    </row>
    <row r="2800" spans="1:7" ht="15" hidden="1" thickBot="1">
      <c r="A2800" s="114"/>
      <c r="B2800" s="966"/>
      <c r="C2800" s="967"/>
      <c r="D2800" s="88"/>
      <c r="E2800" s="251"/>
      <c r="F2800" s="284"/>
      <c r="G2800" s="117"/>
    </row>
    <row r="2801" spans="1:7" hidden="1">
      <c r="A2801" s="154"/>
      <c r="B2801" s="968"/>
      <c r="C2801" s="969"/>
      <c r="D2801" s="171"/>
      <c r="E2801" s="260"/>
      <c r="F2801" s="285"/>
      <c r="G2801" s="149"/>
    </row>
    <row r="2802" spans="1:7" ht="15" hidden="1" thickBot="1">
      <c r="A2802" s="970"/>
      <c r="B2802" s="971"/>
      <c r="C2802" s="972"/>
      <c r="D2802" s="973"/>
      <c r="E2802" s="974"/>
      <c r="F2802" s="975"/>
      <c r="G2802" s="11"/>
    </row>
    <row r="2803" spans="1:7" ht="15" hidden="1" thickBot="1">
      <c r="A2803" s="908"/>
      <c r="B2803" s="910"/>
      <c r="C2803" s="911"/>
      <c r="D2803" s="911"/>
      <c r="E2803" s="911"/>
      <c r="F2803" s="911"/>
      <c r="G2803" s="912"/>
    </row>
    <row r="2804" spans="1:7" ht="15" hidden="1" thickBot="1">
      <c r="A2804" s="909"/>
      <c r="B2804" s="913"/>
      <c r="C2804" s="914"/>
      <c r="D2804" s="95"/>
      <c r="E2804" s="242"/>
      <c r="F2804" s="286"/>
      <c r="G2804" s="113"/>
    </row>
    <row r="2805" spans="1:7" ht="15" hidden="1" thickBot="1">
      <c r="A2805" s="122"/>
      <c r="B2805" s="976"/>
      <c r="C2805" s="977"/>
      <c r="D2805" s="88"/>
      <c r="E2805" s="251"/>
      <c r="F2805" s="284"/>
      <c r="G2805" s="149"/>
    </row>
    <row r="2806" spans="1:7" ht="15" hidden="1" thickBot="1">
      <c r="A2806" s="122"/>
      <c r="B2806" s="976"/>
      <c r="C2806" s="977"/>
      <c r="D2806" s="88"/>
      <c r="E2806" s="251"/>
      <c r="F2806" s="284"/>
      <c r="G2806" s="149"/>
    </row>
    <row r="2807" spans="1:7" ht="15" hidden="1" thickBot="1">
      <c r="A2807" s="932"/>
      <c r="B2807" s="933"/>
      <c r="C2807" s="934"/>
      <c r="D2807" s="935"/>
      <c r="E2807" s="936"/>
      <c r="F2807" s="937"/>
      <c r="G2807" s="18"/>
    </row>
    <row r="2808" spans="1:7" ht="15" hidden="1" thickBot="1">
      <c r="A2808" s="908"/>
      <c r="B2808" s="910"/>
      <c r="C2808" s="911"/>
      <c r="D2808" s="911"/>
      <c r="E2808" s="911"/>
      <c r="F2808" s="911"/>
      <c r="G2808" s="912"/>
    </row>
    <row r="2809" spans="1:7" ht="15" hidden="1" thickBot="1">
      <c r="A2809" s="909"/>
      <c r="B2809" s="913"/>
      <c r="C2809" s="914"/>
      <c r="D2809" s="95"/>
      <c r="E2809" s="242"/>
      <c r="F2809" s="286"/>
      <c r="G2809" s="113"/>
    </row>
    <row r="2810" spans="1:7" ht="15" hidden="1" thickBot="1">
      <c r="A2810" s="127"/>
      <c r="B2810" s="942"/>
      <c r="C2810" s="943"/>
      <c r="D2810" s="104"/>
      <c r="E2810" s="247"/>
      <c r="F2810" s="284"/>
      <c r="G2810" s="159"/>
    </row>
    <row r="2811" spans="1:7" hidden="1">
      <c r="A2811" s="156"/>
      <c r="B2811" s="940"/>
      <c r="C2811" s="941"/>
      <c r="D2811" s="157"/>
      <c r="E2811" s="259"/>
      <c r="F2811" s="303"/>
      <c r="G2811" s="159"/>
    </row>
    <row r="2812" spans="1:7" ht="15" hidden="1" thickBot="1">
      <c r="A2812" s="130"/>
      <c r="B2812" s="942"/>
      <c r="C2812" s="943"/>
      <c r="D2812" s="104"/>
      <c r="E2812" s="247"/>
      <c r="F2812" s="288"/>
      <c r="G2812" s="131"/>
    </row>
    <row r="2813" spans="1:7" ht="15" hidden="1" thickBot="1">
      <c r="A2813" s="944"/>
      <c r="B2813" s="945"/>
      <c r="C2813" s="946"/>
      <c r="D2813" s="947"/>
      <c r="E2813" s="948"/>
      <c r="F2813" s="949"/>
      <c r="G2813" s="11"/>
    </row>
    <row r="2814" spans="1:7" ht="15" hidden="1" thickBot="1">
      <c r="A2814" s="908"/>
      <c r="B2814" s="910"/>
      <c r="C2814" s="911"/>
      <c r="D2814" s="911"/>
      <c r="E2814" s="911"/>
      <c r="F2814" s="911"/>
      <c r="G2814" s="912"/>
    </row>
    <row r="2815" spans="1:7" ht="18.75" hidden="1" customHeight="1" thickBot="1">
      <c r="A2815" s="909"/>
      <c r="B2815" s="913"/>
      <c r="C2815" s="914"/>
      <c r="D2815" s="95"/>
      <c r="E2815" s="242"/>
      <c r="F2815" s="286"/>
      <c r="G2815" s="113"/>
    </row>
    <row r="2816" spans="1:7" ht="18.75" hidden="1" customHeight="1" thickBot="1">
      <c r="A2816" s="122"/>
      <c r="B2816" s="985"/>
      <c r="C2816" s="986"/>
      <c r="D2816" s="109"/>
      <c r="E2816" s="254"/>
      <c r="F2816" s="304"/>
      <c r="G2816" s="129"/>
    </row>
    <row r="2817" spans="1:7" s="7" customFormat="1" ht="13.5" hidden="1" thickBot="1">
      <c r="A2817" s="165"/>
      <c r="B2817" s="985"/>
      <c r="C2817" s="986"/>
      <c r="D2817" s="168"/>
      <c r="E2817" s="262"/>
      <c r="F2817" s="306"/>
      <c r="G2817" s="170"/>
    </row>
    <row r="2818" spans="1:7" ht="15" hidden="1" thickBot="1">
      <c r="A2818" s="915"/>
      <c r="B2818" s="916"/>
      <c r="C2818" s="917"/>
      <c r="D2818" s="918"/>
      <c r="E2818" s="919"/>
      <c r="F2818" s="920"/>
      <c r="G2818" s="12"/>
    </row>
    <row r="2819" spans="1:7" ht="15" hidden="1" thickBot="1">
      <c r="A2819" s="921"/>
      <c r="B2819" s="922"/>
      <c r="C2819" s="922"/>
      <c r="D2819" s="923"/>
      <c r="E2819" s="924"/>
      <c r="F2819" s="925"/>
      <c r="G2819" s="112"/>
    </row>
    <row r="2820" spans="1:7" ht="15" hidden="1" customHeight="1">
      <c r="A2820" s="40"/>
      <c r="B2820" s="40"/>
      <c r="C2820" s="40"/>
      <c r="D2820" s="146"/>
      <c r="E2820" s="250"/>
      <c r="F2820" s="298"/>
      <c r="G2820" s="147"/>
    </row>
    <row r="2821" spans="1:7" ht="15" hidden="1" customHeight="1">
      <c r="A2821" s="40"/>
      <c r="B2821" s="40"/>
      <c r="C2821" s="40"/>
      <c r="D2821" s="146"/>
      <c r="E2821" s="250"/>
      <c r="F2821" s="298"/>
      <c r="G2821" s="147"/>
    </row>
    <row r="2822" spans="1:7" hidden="1">
      <c r="A2822" s="49"/>
      <c r="B2822" s="49"/>
      <c r="C2822" s="49"/>
      <c r="D2822" s="49"/>
      <c r="F2822" s="307"/>
      <c r="G2822" s="49"/>
    </row>
    <row r="2823" spans="1:7" ht="15" hidden="1" thickBot="1">
      <c r="A2823" s="1036"/>
      <c r="B2823" s="1037"/>
      <c r="C2823" s="1037"/>
      <c r="D2823" s="1037"/>
      <c r="E2823" s="1037"/>
      <c r="F2823" s="1037"/>
      <c r="G2823" s="1038"/>
    </row>
    <row r="2824" spans="1:7" ht="15" hidden="1" thickBot="1">
      <c r="A2824" s="1006"/>
      <c r="B2824" s="1007"/>
      <c r="C2824" s="1007"/>
      <c r="D2824" s="1007"/>
      <c r="E2824" s="1007"/>
      <c r="F2824" s="272"/>
      <c r="G2824" s="43"/>
    </row>
    <row r="2825" spans="1:7" ht="15" hidden="1" customHeight="1" thickBot="1">
      <c r="A2825" s="1018"/>
      <c r="B2825" s="1019"/>
      <c r="C2825" s="1019"/>
      <c r="D2825" s="1019"/>
      <c r="E2825" s="1020"/>
      <c r="F2825" s="273"/>
      <c r="G2825" s="45"/>
    </row>
    <row r="2826" spans="1:7" ht="15" hidden="1" thickBot="1">
      <c r="A2826" s="1021"/>
      <c r="B2826" s="1022"/>
      <c r="C2826" s="1022"/>
      <c r="D2826" s="1022"/>
      <c r="E2826" s="1023"/>
      <c r="F2826" s="273"/>
      <c r="G2826" s="46"/>
    </row>
    <row r="2827" spans="1:7" ht="15" hidden="1" thickBot="1">
      <c r="A2827" s="1024"/>
      <c r="B2827" s="1025"/>
      <c r="C2827" s="1025"/>
      <c r="D2827" s="1025"/>
      <c r="E2827" s="1026"/>
      <c r="F2827" s="274"/>
      <c r="G2827" s="48"/>
    </row>
    <row r="2828" spans="1:7" ht="15" hidden="1" thickBot="1">
      <c r="A2828" s="1008"/>
      <c r="B2828" s="1009"/>
      <c r="C2828" s="1009"/>
      <c r="D2828" s="1009"/>
      <c r="E2828" s="1009"/>
      <c r="F2828" s="1009"/>
      <c r="G2828" s="1010"/>
    </row>
    <row r="2829" spans="1:7" ht="15" hidden="1" thickBot="1">
      <c r="A2829" s="982"/>
      <c r="B2829" s="913"/>
      <c r="C2829" s="914"/>
      <c r="D2829" s="95"/>
      <c r="E2829" s="242"/>
      <c r="F2829" s="286"/>
      <c r="G2829" s="97"/>
    </row>
    <row r="2830" spans="1:7" hidden="1">
      <c r="A2830" s="91"/>
      <c r="B2830" s="968"/>
      <c r="C2830" s="969"/>
      <c r="D2830" s="92"/>
      <c r="E2830" s="252"/>
      <c r="F2830" s="285"/>
      <c r="G2830" s="94"/>
    </row>
    <row r="2831" spans="1:7" ht="15" hidden="1" thickBot="1">
      <c r="A2831" s="994"/>
      <c r="B2831" s="995"/>
      <c r="C2831" s="995"/>
      <c r="D2831" s="981"/>
      <c r="E2831" s="981"/>
      <c r="F2831" s="981"/>
      <c r="G2831" s="13"/>
    </row>
    <row r="2832" spans="1:7" ht="15" hidden="1" thickBot="1">
      <c r="A2832" s="982"/>
      <c r="B2832" s="983"/>
      <c r="C2832" s="983"/>
      <c r="D2832" s="983"/>
      <c r="E2832" s="983"/>
      <c r="F2832" s="983"/>
      <c r="G2832" s="984"/>
    </row>
    <row r="2833" spans="1:7" ht="15" hidden="1" thickBot="1">
      <c r="A2833" s="982"/>
      <c r="B2833" s="913"/>
      <c r="C2833" s="914"/>
      <c r="D2833" s="95"/>
      <c r="E2833" s="242"/>
      <c r="F2833" s="286"/>
      <c r="G2833" s="97"/>
    </row>
    <row r="2834" spans="1:7" hidden="1">
      <c r="A2834" s="98"/>
      <c r="B2834" s="928"/>
      <c r="C2834" s="929"/>
      <c r="D2834" s="99"/>
      <c r="E2834" s="253"/>
      <c r="F2834" s="287"/>
      <c r="G2834" s="102"/>
    </row>
    <row r="2835" spans="1:7" ht="15" hidden="1" thickBot="1">
      <c r="A2835" s="996"/>
      <c r="B2835" s="997"/>
      <c r="C2835" s="998"/>
      <c r="D2835" s="981"/>
      <c r="E2835" s="981"/>
      <c r="F2835" s="981"/>
      <c r="G2835" s="13"/>
    </row>
    <row r="2836" spans="1:7" ht="15" hidden="1" thickBot="1">
      <c r="A2836" s="982"/>
      <c r="B2836" s="983"/>
      <c r="C2836" s="983"/>
      <c r="D2836" s="983"/>
      <c r="E2836" s="983"/>
      <c r="F2836" s="983"/>
      <c r="G2836" s="984"/>
    </row>
    <row r="2837" spans="1:7" ht="15" hidden="1" thickBot="1">
      <c r="A2837" s="982"/>
      <c r="B2837" s="913"/>
      <c r="C2837" s="914"/>
      <c r="D2837" s="95"/>
      <c r="E2837" s="242"/>
      <c r="F2837" s="286"/>
      <c r="G2837" s="97"/>
    </row>
    <row r="2838" spans="1:7" ht="15" hidden="1" thickBot="1">
      <c r="A2838" s="103"/>
      <c r="B2838" s="942"/>
      <c r="C2838" s="943"/>
      <c r="D2838" s="104"/>
      <c r="E2838" s="247"/>
      <c r="F2838" s="288"/>
      <c r="G2838" s="106"/>
    </row>
    <row r="2839" spans="1:7" ht="15" hidden="1" thickBot="1">
      <c r="A2839" s="978"/>
      <c r="B2839" s="979"/>
      <c r="C2839" s="980"/>
      <c r="D2839" s="981"/>
      <c r="E2839" s="981"/>
      <c r="F2839" s="981"/>
      <c r="G2839" s="13"/>
    </row>
    <row r="2840" spans="1:7" ht="15" hidden="1" thickBot="1">
      <c r="A2840" s="982"/>
      <c r="B2840" s="983"/>
      <c r="C2840" s="983"/>
      <c r="D2840" s="983"/>
      <c r="E2840" s="983"/>
      <c r="F2840" s="983"/>
      <c r="G2840" s="984"/>
    </row>
    <row r="2841" spans="1:7" ht="15" hidden="1" thickBot="1">
      <c r="A2841" s="982"/>
      <c r="B2841" s="913"/>
      <c r="C2841" s="914"/>
      <c r="D2841" s="95"/>
      <c r="E2841" s="242"/>
      <c r="F2841" s="289"/>
      <c r="G2841" s="97"/>
    </row>
    <row r="2842" spans="1:7" hidden="1">
      <c r="A2842" s="108"/>
      <c r="B2842" s="985"/>
      <c r="C2842" s="986"/>
      <c r="D2842" s="109"/>
      <c r="E2842" s="254"/>
      <c r="F2842" s="290"/>
      <c r="G2842" s="111"/>
    </row>
    <row r="2843" spans="1:7" ht="15" hidden="1" thickBot="1">
      <c r="A2843" s="987"/>
      <c r="B2843" s="988"/>
      <c r="C2843" s="989"/>
      <c r="D2843" s="990"/>
      <c r="E2843" s="990"/>
      <c r="F2843" s="990"/>
      <c r="G2843" s="14"/>
    </row>
    <row r="2844" spans="1:7" ht="15" hidden="1" thickBot="1">
      <c r="A2844" s="991"/>
      <c r="B2844" s="991"/>
      <c r="C2844" s="991"/>
      <c r="D2844" s="992"/>
      <c r="E2844" s="993"/>
      <c r="F2844" s="993"/>
      <c r="G2844" s="112"/>
    </row>
    <row r="2845" spans="1:7" hidden="1">
      <c r="A2845" s="49"/>
      <c r="B2845" s="49"/>
      <c r="C2845" s="49"/>
      <c r="D2845" s="49"/>
      <c r="F2845" s="307"/>
      <c r="G2845" s="49"/>
    </row>
    <row r="2846" spans="1:7" hidden="1">
      <c r="A2846" s="49"/>
      <c r="B2846" s="49"/>
      <c r="C2846" s="49"/>
      <c r="D2846" s="49"/>
      <c r="F2846" s="307"/>
      <c r="G2846" s="49"/>
    </row>
    <row r="2847" spans="1:7" ht="15" hidden="1" thickBot="1">
      <c r="A2847" s="1036"/>
      <c r="B2847" s="1037"/>
      <c r="C2847" s="1037"/>
      <c r="D2847" s="1037"/>
      <c r="E2847" s="1037"/>
      <c r="F2847" s="1037"/>
      <c r="G2847" s="1038"/>
    </row>
    <row r="2848" spans="1:7" ht="15" hidden="1" thickBot="1">
      <c r="A2848" s="1006"/>
      <c r="B2848" s="1007"/>
      <c r="C2848" s="1007"/>
      <c r="D2848" s="1007"/>
      <c r="E2848" s="1007"/>
      <c r="F2848" s="272"/>
      <c r="G2848" s="43"/>
    </row>
    <row r="2849" spans="1:7" ht="15" hidden="1" customHeight="1" thickBot="1">
      <c r="A2849" s="1018"/>
      <c r="B2849" s="1019"/>
      <c r="C2849" s="1019"/>
      <c r="D2849" s="1019"/>
      <c r="E2849" s="1020"/>
      <c r="F2849" s="273"/>
      <c r="G2849" s="45"/>
    </row>
    <row r="2850" spans="1:7" ht="15" hidden="1" thickBot="1">
      <c r="A2850" s="1021"/>
      <c r="B2850" s="1022"/>
      <c r="C2850" s="1022"/>
      <c r="D2850" s="1022"/>
      <c r="E2850" s="1023"/>
      <c r="F2850" s="273"/>
      <c r="G2850" s="46"/>
    </row>
    <row r="2851" spans="1:7" ht="15" hidden="1" thickBot="1">
      <c r="A2851" s="1024"/>
      <c r="B2851" s="1025"/>
      <c r="C2851" s="1025"/>
      <c r="D2851" s="1025"/>
      <c r="E2851" s="1026"/>
      <c r="F2851" s="274"/>
      <c r="G2851" s="48"/>
    </row>
    <row r="2852" spans="1:7" ht="15" hidden="1" thickBot="1">
      <c r="A2852" s="1008"/>
      <c r="B2852" s="1009"/>
      <c r="C2852" s="1009"/>
      <c r="D2852" s="1009"/>
      <c r="E2852" s="1009"/>
      <c r="F2852" s="1009"/>
      <c r="G2852" s="1010"/>
    </row>
    <row r="2853" spans="1:7" ht="15" hidden="1" thickBot="1">
      <c r="A2853" s="982"/>
      <c r="B2853" s="913"/>
      <c r="C2853" s="914"/>
      <c r="D2853" s="95"/>
      <c r="E2853" s="242"/>
      <c r="F2853" s="286"/>
      <c r="G2853" s="97"/>
    </row>
    <row r="2854" spans="1:7" hidden="1">
      <c r="A2854" s="87"/>
      <c r="B2854" s="930"/>
      <c r="C2854" s="931"/>
      <c r="D2854" s="88"/>
      <c r="E2854" s="251"/>
      <c r="F2854" s="284"/>
      <c r="G2854" s="90"/>
    </row>
    <row r="2855" spans="1:7" hidden="1">
      <c r="A2855" s="91"/>
      <c r="B2855" s="968"/>
      <c r="C2855" s="969"/>
      <c r="D2855" s="92"/>
      <c r="E2855" s="252"/>
      <c r="F2855" s="285"/>
      <c r="G2855" s="94"/>
    </row>
    <row r="2856" spans="1:7" hidden="1">
      <c r="A2856" s="91"/>
      <c r="B2856" s="968"/>
      <c r="C2856" s="969"/>
      <c r="D2856" s="92"/>
      <c r="E2856" s="252"/>
      <c r="F2856" s="285"/>
      <c r="G2856" s="94"/>
    </row>
    <row r="2857" spans="1:7" ht="15" hidden="1" thickBot="1">
      <c r="A2857" s="994"/>
      <c r="B2857" s="995"/>
      <c r="C2857" s="995"/>
      <c r="D2857" s="981"/>
      <c r="E2857" s="981"/>
      <c r="F2857" s="981"/>
      <c r="G2857" s="13"/>
    </row>
    <row r="2858" spans="1:7" ht="15" hidden="1" thickBot="1">
      <c r="A2858" s="982"/>
      <c r="B2858" s="983"/>
      <c r="C2858" s="983"/>
      <c r="D2858" s="983"/>
      <c r="E2858" s="983"/>
      <c r="F2858" s="983"/>
      <c r="G2858" s="984"/>
    </row>
    <row r="2859" spans="1:7" ht="15" hidden="1" thickBot="1">
      <c r="A2859" s="982"/>
      <c r="B2859" s="913"/>
      <c r="C2859" s="914"/>
      <c r="D2859" s="95"/>
      <c r="E2859" s="242"/>
      <c r="F2859" s="286"/>
      <c r="G2859" s="97"/>
    </row>
    <row r="2860" spans="1:7" hidden="1">
      <c r="A2860" s="108"/>
      <c r="B2860" s="985"/>
      <c r="C2860" s="986"/>
      <c r="D2860" s="109"/>
      <c r="E2860" s="251"/>
      <c r="F2860" s="304"/>
      <c r="G2860" s="111"/>
    </row>
    <row r="2861" spans="1:7" hidden="1">
      <c r="A2861" s="98"/>
      <c r="B2861" s="928"/>
      <c r="C2861" s="929"/>
      <c r="D2861" s="92"/>
      <c r="E2861" s="252"/>
      <c r="F2861" s="287"/>
      <c r="G2861" s="102"/>
    </row>
    <row r="2862" spans="1:7" hidden="1">
      <c r="A2862" s="98"/>
      <c r="B2862" s="928"/>
      <c r="C2862" s="929"/>
      <c r="D2862" s="99"/>
      <c r="E2862" s="253"/>
      <c r="F2862" s="287"/>
      <c r="G2862" s="102"/>
    </row>
    <row r="2863" spans="1:7" hidden="1">
      <c r="A2863" s="98"/>
      <c r="B2863" s="928"/>
      <c r="C2863" s="929"/>
      <c r="D2863" s="92"/>
      <c r="E2863" s="252"/>
      <c r="F2863" s="287"/>
      <c r="G2863" s="102"/>
    </row>
    <row r="2864" spans="1:7" hidden="1">
      <c r="A2864" s="98"/>
      <c r="B2864" s="928"/>
      <c r="C2864" s="929"/>
      <c r="D2864" s="99"/>
      <c r="E2864" s="253"/>
      <c r="F2864" s="287"/>
      <c r="G2864" s="102"/>
    </row>
    <row r="2865" spans="1:7" ht="15" hidden="1" thickBot="1">
      <c r="A2865" s="996"/>
      <c r="B2865" s="997"/>
      <c r="C2865" s="998"/>
      <c r="D2865" s="981"/>
      <c r="E2865" s="981"/>
      <c r="F2865" s="981"/>
      <c r="G2865" s="13"/>
    </row>
    <row r="2866" spans="1:7" ht="15" hidden="1" thickBot="1">
      <c r="A2866" s="982"/>
      <c r="B2866" s="983"/>
      <c r="C2866" s="983"/>
      <c r="D2866" s="983"/>
      <c r="E2866" s="983"/>
      <c r="F2866" s="983"/>
      <c r="G2866" s="984"/>
    </row>
    <row r="2867" spans="1:7" ht="15" hidden="1" thickBot="1">
      <c r="A2867" s="982"/>
      <c r="B2867" s="913"/>
      <c r="C2867" s="914"/>
      <c r="D2867" s="95"/>
      <c r="E2867" s="242"/>
      <c r="F2867" s="286"/>
      <c r="G2867" s="97"/>
    </row>
    <row r="2868" spans="1:7" ht="15" hidden="1" thickBot="1">
      <c r="A2868" s="103"/>
      <c r="B2868" s="942"/>
      <c r="C2868" s="943"/>
      <c r="D2868" s="104"/>
      <c r="E2868" s="247"/>
      <c r="F2868" s="288"/>
      <c r="G2868" s="106"/>
    </row>
    <row r="2869" spans="1:7" ht="15" hidden="1" thickBot="1">
      <c r="A2869" s="978"/>
      <c r="B2869" s="979"/>
      <c r="C2869" s="980"/>
      <c r="D2869" s="981"/>
      <c r="E2869" s="981"/>
      <c r="F2869" s="981"/>
      <c r="G2869" s="13"/>
    </row>
    <row r="2870" spans="1:7" ht="15" hidden="1" thickBot="1">
      <c r="A2870" s="982"/>
      <c r="B2870" s="983"/>
      <c r="C2870" s="983"/>
      <c r="D2870" s="983"/>
      <c r="E2870" s="983"/>
      <c r="F2870" s="983"/>
      <c r="G2870" s="984"/>
    </row>
    <row r="2871" spans="1:7" ht="15" hidden="1" thickBot="1">
      <c r="A2871" s="982"/>
      <c r="B2871" s="913"/>
      <c r="C2871" s="914"/>
      <c r="D2871" s="95"/>
      <c r="E2871" s="242"/>
      <c r="F2871" s="289"/>
      <c r="G2871" s="97"/>
    </row>
    <row r="2872" spans="1:7" hidden="1">
      <c r="A2872" s="108"/>
      <c r="B2872" s="985"/>
      <c r="C2872" s="986"/>
      <c r="D2872" s="109"/>
      <c r="E2872" s="254"/>
      <c r="F2872" s="290"/>
      <c r="G2872" s="111"/>
    </row>
    <row r="2873" spans="1:7" ht="15" hidden="1" thickBot="1">
      <c r="A2873" s="987"/>
      <c r="B2873" s="988"/>
      <c r="C2873" s="989"/>
      <c r="D2873" s="990"/>
      <c r="E2873" s="990"/>
      <c r="F2873" s="990"/>
      <c r="G2873" s="14"/>
    </row>
    <row r="2874" spans="1:7" ht="15" hidden="1" thickBot="1">
      <c r="A2874" s="991"/>
      <c r="B2874" s="991"/>
      <c r="C2874" s="991"/>
      <c r="D2874" s="992"/>
      <c r="E2874" s="993"/>
      <c r="F2874" s="993"/>
      <c r="G2874" s="112"/>
    </row>
    <row r="2875" spans="1:7" hidden="1">
      <c r="A2875" s="49"/>
      <c r="B2875" s="49"/>
      <c r="C2875" s="49"/>
      <c r="D2875" s="49"/>
      <c r="F2875" s="307"/>
      <c r="G2875" s="49"/>
    </row>
    <row r="2876" spans="1:7" hidden="1">
      <c r="A2876" s="49"/>
      <c r="B2876" s="49"/>
      <c r="C2876" s="49"/>
      <c r="D2876" s="49"/>
      <c r="F2876" s="307"/>
      <c r="G2876" s="49"/>
    </row>
    <row r="2877" spans="1:7" ht="15" hidden="1" thickBot="1">
      <c r="A2877" s="1036"/>
      <c r="B2877" s="1037"/>
      <c r="C2877" s="1037"/>
      <c r="D2877" s="1037"/>
      <c r="E2877" s="1037"/>
      <c r="F2877" s="1037"/>
      <c r="G2877" s="1038"/>
    </row>
    <row r="2878" spans="1:7" ht="15" hidden="1" thickBot="1">
      <c r="A2878" s="1006"/>
      <c r="B2878" s="1007"/>
      <c r="C2878" s="1007"/>
      <c r="D2878" s="1007"/>
      <c r="E2878" s="1007"/>
      <c r="F2878" s="272"/>
      <c r="G2878" s="43"/>
    </row>
    <row r="2879" spans="1:7" ht="15" hidden="1" customHeight="1" thickBot="1">
      <c r="A2879" s="1018"/>
      <c r="B2879" s="1019"/>
      <c r="C2879" s="1019"/>
      <c r="D2879" s="1019"/>
      <c r="E2879" s="1020"/>
      <c r="F2879" s="273"/>
      <c r="G2879" s="45"/>
    </row>
    <row r="2880" spans="1:7" ht="15" hidden="1" thickBot="1">
      <c r="A2880" s="1021"/>
      <c r="B2880" s="1022"/>
      <c r="C2880" s="1022"/>
      <c r="D2880" s="1022"/>
      <c r="E2880" s="1023"/>
      <c r="F2880" s="273"/>
      <c r="G2880" s="46"/>
    </row>
    <row r="2881" spans="1:7" ht="15" hidden="1" thickBot="1">
      <c r="A2881" s="1024"/>
      <c r="B2881" s="1025"/>
      <c r="C2881" s="1025"/>
      <c r="D2881" s="1025"/>
      <c r="E2881" s="1026"/>
      <c r="F2881" s="274"/>
      <c r="G2881" s="48"/>
    </row>
    <row r="2882" spans="1:7" ht="15" hidden="1" thickBot="1">
      <c r="A2882" s="1008"/>
      <c r="B2882" s="1009"/>
      <c r="C2882" s="1009"/>
      <c r="D2882" s="1009"/>
      <c r="E2882" s="1009"/>
      <c r="F2882" s="1009"/>
      <c r="G2882" s="1010"/>
    </row>
    <row r="2883" spans="1:7" ht="15" hidden="1" thickBot="1">
      <c r="A2883" s="982"/>
      <c r="B2883" s="913"/>
      <c r="C2883" s="914"/>
      <c r="D2883" s="95"/>
      <c r="E2883" s="242"/>
      <c r="F2883" s="286"/>
      <c r="G2883" s="97"/>
    </row>
    <row r="2884" spans="1:7" hidden="1">
      <c r="A2884" s="87"/>
      <c r="B2884" s="930"/>
      <c r="C2884" s="931"/>
      <c r="D2884" s="88"/>
      <c r="E2884" s="251"/>
      <c r="F2884" s="284"/>
      <c r="G2884" s="90"/>
    </row>
    <row r="2885" spans="1:7" hidden="1">
      <c r="A2885" s="91"/>
      <c r="B2885" s="968"/>
      <c r="C2885" s="969"/>
      <c r="D2885" s="92"/>
      <c r="E2885" s="252"/>
      <c r="F2885" s="285"/>
      <c r="G2885" s="94"/>
    </row>
    <row r="2886" spans="1:7" ht="22.9" hidden="1" customHeight="1">
      <c r="A2886" s="91"/>
      <c r="B2886" s="1091"/>
      <c r="C2886" s="1092"/>
      <c r="D2886" s="92"/>
      <c r="E2886" s="252"/>
      <c r="F2886" s="285"/>
      <c r="G2886" s="94"/>
    </row>
    <row r="2887" spans="1:7" ht="15" hidden="1" thickBot="1">
      <c r="A2887" s="994"/>
      <c r="B2887" s="995"/>
      <c r="C2887" s="995"/>
      <c r="D2887" s="981"/>
      <c r="E2887" s="981"/>
      <c r="F2887" s="981"/>
      <c r="G2887" s="13"/>
    </row>
    <row r="2888" spans="1:7" ht="15" hidden="1" thickBot="1">
      <c r="A2888" s="982"/>
      <c r="B2888" s="983"/>
      <c r="C2888" s="983"/>
      <c r="D2888" s="983"/>
      <c r="E2888" s="983"/>
      <c r="F2888" s="983"/>
      <c r="G2888" s="984"/>
    </row>
    <row r="2889" spans="1:7" ht="15" hidden="1" thickBot="1">
      <c r="A2889" s="982"/>
      <c r="B2889" s="913"/>
      <c r="C2889" s="914"/>
      <c r="D2889" s="95"/>
      <c r="E2889" s="242"/>
      <c r="F2889" s="286"/>
      <c r="G2889" s="97"/>
    </row>
    <row r="2890" spans="1:7" ht="15" hidden="1" thickBot="1">
      <c r="A2890" s="103"/>
      <c r="B2890" s="942"/>
      <c r="C2890" s="943"/>
      <c r="D2890" s="104"/>
      <c r="E2890" s="247"/>
      <c r="F2890" s="284"/>
      <c r="G2890" s="106"/>
    </row>
    <row r="2891" spans="1:7" ht="15" hidden="1" thickBot="1">
      <c r="A2891" s="103"/>
      <c r="B2891" s="942"/>
      <c r="C2891" s="943"/>
      <c r="D2891" s="104"/>
      <c r="E2891" s="247"/>
      <c r="F2891" s="284"/>
      <c r="G2891" s="106"/>
    </row>
    <row r="2892" spans="1:7" ht="15" hidden="1" thickBot="1">
      <c r="A2892" s="103"/>
      <c r="B2892" s="942"/>
      <c r="C2892" s="943"/>
      <c r="D2892" s="104"/>
      <c r="E2892" s="247"/>
      <c r="F2892" s="284"/>
      <c r="G2892" s="106"/>
    </row>
    <row r="2893" spans="1:7" ht="15" hidden="1" thickBot="1">
      <c r="A2893" s="103"/>
      <c r="B2893" s="942"/>
      <c r="C2893" s="943"/>
      <c r="D2893" s="104"/>
      <c r="E2893" s="247"/>
      <c r="F2893" s="284"/>
      <c r="G2893" s="106"/>
    </row>
    <row r="2894" spans="1:7" ht="15" hidden="1" thickBot="1">
      <c r="A2894" s="103"/>
      <c r="B2894" s="942"/>
      <c r="C2894" s="943"/>
      <c r="D2894" s="104"/>
      <c r="E2894" s="247"/>
      <c r="F2894" s="284"/>
      <c r="G2894" s="106"/>
    </row>
    <row r="2895" spans="1:7" ht="15" hidden="1" thickBot="1">
      <c r="A2895" s="103"/>
      <c r="B2895" s="942"/>
      <c r="C2895" s="943"/>
      <c r="D2895" s="104"/>
      <c r="E2895" s="247"/>
      <c r="F2895" s="284"/>
      <c r="G2895" s="106"/>
    </row>
    <row r="2896" spans="1:7" ht="15" hidden="1" thickBot="1">
      <c r="A2896" s="103"/>
      <c r="B2896" s="942"/>
      <c r="C2896" s="943"/>
      <c r="D2896" s="104"/>
      <c r="E2896" s="247"/>
      <c r="F2896" s="284"/>
      <c r="G2896" s="106"/>
    </row>
    <row r="2897" spans="1:7" ht="15" hidden="1" thickBot="1">
      <c r="A2897" s="996"/>
      <c r="B2897" s="997"/>
      <c r="C2897" s="998"/>
      <c r="D2897" s="981"/>
      <c r="E2897" s="981"/>
      <c r="F2897" s="981"/>
      <c r="G2897" s="13"/>
    </row>
    <row r="2898" spans="1:7" ht="15" hidden="1" thickBot="1">
      <c r="A2898" s="982"/>
      <c r="B2898" s="983"/>
      <c r="C2898" s="983"/>
      <c r="D2898" s="983"/>
      <c r="E2898" s="983"/>
      <c r="F2898" s="983"/>
      <c r="G2898" s="984"/>
    </row>
    <row r="2899" spans="1:7" ht="15" hidden="1" thickBot="1">
      <c r="A2899" s="982"/>
      <c r="B2899" s="913"/>
      <c r="C2899" s="914"/>
      <c r="D2899" s="95"/>
      <c r="E2899" s="242"/>
      <c r="F2899" s="286"/>
      <c r="G2899" s="97"/>
    </row>
    <row r="2900" spans="1:7" ht="15" hidden="1" thickBot="1">
      <c r="A2900" s="103"/>
      <c r="B2900" s="942"/>
      <c r="C2900" s="943"/>
      <c r="D2900" s="104"/>
      <c r="E2900" s="247"/>
      <c r="F2900" s="284"/>
      <c r="G2900" s="106"/>
    </row>
    <row r="2901" spans="1:7" ht="15" hidden="1" thickBot="1">
      <c r="A2901" s="978"/>
      <c r="B2901" s="979"/>
      <c r="C2901" s="980"/>
      <c r="D2901" s="981"/>
      <c r="E2901" s="981"/>
      <c r="F2901" s="981"/>
      <c r="G2901" s="13"/>
    </row>
    <row r="2902" spans="1:7" ht="15" hidden="1" thickBot="1">
      <c r="A2902" s="982"/>
      <c r="B2902" s="983"/>
      <c r="C2902" s="983"/>
      <c r="D2902" s="983"/>
      <c r="E2902" s="983"/>
      <c r="F2902" s="983"/>
      <c r="G2902" s="984"/>
    </row>
    <row r="2903" spans="1:7" ht="15" hidden="1" thickBot="1">
      <c r="A2903" s="982"/>
      <c r="B2903" s="913"/>
      <c r="C2903" s="914"/>
      <c r="D2903" s="95"/>
      <c r="E2903" s="242"/>
      <c r="F2903" s="289"/>
      <c r="G2903" s="97"/>
    </row>
    <row r="2904" spans="1:7" hidden="1">
      <c r="A2904" s="108"/>
      <c r="B2904" s="985"/>
      <c r="C2904" s="986"/>
      <c r="D2904" s="109"/>
      <c r="E2904" s="254"/>
      <c r="F2904" s="290"/>
      <c r="G2904" s="111"/>
    </row>
    <row r="2905" spans="1:7" ht="15" hidden="1" thickBot="1">
      <c r="A2905" s="987"/>
      <c r="B2905" s="988"/>
      <c r="C2905" s="989"/>
      <c r="D2905" s="990"/>
      <c r="E2905" s="990"/>
      <c r="F2905" s="990"/>
      <c r="G2905" s="14"/>
    </row>
    <row r="2906" spans="1:7" ht="15" hidden="1" thickBot="1">
      <c r="A2906" s="991"/>
      <c r="B2906" s="991"/>
      <c r="C2906" s="991"/>
      <c r="D2906" s="992"/>
      <c r="E2906" s="993"/>
      <c r="F2906" s="993"/>
      <c r="G2906" s="112"/>
    </row>
    <row r="2907" spans="1:7" hidden="1">
      <c r="A2907" s="49"/>
      <c r="B2907" s="49"/>
      <c r="C2907" s="49"/>
      <c r="D2907" s="49"/>
      <c r="F2907" s="307"/>
      <c r="G2907" s="49"/>
    </row>
    <row r="2908" spans="1:7" ht="15" hidden="1" thickBot="1">
      <c r="A2908" s="1036"/>
      <c r="B2908" s="1037"/>
      <c r="C2908" s="1037"/>
      <c r="D2908" s="1037"/>
      <c r="E2908" s="1037"/>
      <c r="F2908" s="1037"/>
      <c r="G2908" s="1038"/>
    </row>
    <row r="2909" spans="1:7" ht="15" hidden="1" thickBot="1">
      <c r="A2909" s="1006"/>
      <c r="B2909" s="1007"/>
      <c r="C2909" s="1007"/>
      <c r="D2909" s="1007"/>
      <c r="E2909" s="1007"/>
      <c r="F2909" s="272"/>
      <c r="G2909" s="43"/>
    </row>
    <row r="2910" spans="1:7" ht="15" hidden="1" customHeight="1" thickBot="1">
      <c r="A2910" s="1018"/>
      <c r="B2910" s="1019"/>
      <c r="C2910" s="1019"/>
      <c r="D2910" s="1019"/>
      <c r="E2910" s="1020"/>
      <c r="F2910" s="273"/>
      <c r="G2910" s="45"/>
    </row>
    <row r="2911" spans="1:7" ht="15" hidden="1" thickBot="1">
      <c r="A2911" s="1021"/>
      <c r="B2911" s="1022"/>
      <c r="C2911" s="1022"/>
      <c r="D2911" s="1022"/>
      <c r="E2911" s="1023"/>
      <c r="F2911" s="273"/>
      <c r="G2911" s="46"/>
    </row>
    <row r="2912" spans="1:7" ht="15" hidden="1" thickBot="1">
      <c r="A2912" s="1024"/>
      <c r="B2912" s="1025"/>
      <c r="C2912" s="1025"/>
      <c r="D2912" s="1025"/>
      <c r="E2912" s="1026"/>
      <c r="F2912" s="274"/>
      <c r="G2912" s="48"/>
    </row>
    <row r="2913" spans="1:7" ht="15" hidden="1" thickBot="1">
      <c r="A2913" s="1008"/>
      <c r="B2913" s="1009"/>
      <c r="C2913" s="1009"/>
      <c r="D2913" s="1009"/>
      <c r="E2913" s="1009"/>
      <c r="F2913" s="1009"/>
      <c r="G2913" s="1010"/>
    </row>
    <row r="2914" spans="1:7" ht="15" hidden="1" thickBot="1">
      <c r="A2914" s="982"/>
      <c r="B2914" s="913"/>
      <c r="C2914" s="914"/>
      <c r="D2914" s="95"/>
      <c r="E2914" s="242"/>
      <c r="F2914" s="286"/>
      <c r="G2914" s="97"/>
    </row>
    <row r="2915" spans="1:7" hidden="1">
      <c r="A2915" s="87"/>
      <c r="B2915" s="930"/>
      <c r="C2915" s="931"/>
      <c r="D2915" s="88"/>
      <c r="E2915" s="251"/>
      <c r="F2915" s="284"/>
      <c r="G2915" s="90"/>
    </row>
    <row r="2916" spans="1:7" hidden="1">
      <c r="A2916" s="91"/>
      <c r="B2916" s="968"/>
      <c r="C2916" s="969"/>
      <c r="D2916" s="92"/>
      <c r="E2916" s="252"/>
      <c r="F2916" s="285"/>
      <c r="G2916" s="94"/>
    </row>
    <row r="2917" spans="1:7" hidden="1">
      <c r="A2917" s="91"/>
      <c r="B2917" s="968"/>
      <c r="C2917" s="969"/>
      <c r="D2917" s="92"/>
      <c r="E2917" s="252"/>
      <c r="F2917" s="285"/>
      <c r="G2917" s="94"/>
    </row>
    <row r="2918" spans="1:7" ht="15" hidden="1" thickBot="1">
      <c r="A2918" s="994"/>
      <c r="B2918" s="995"/>
      <c r="C2918" s="995"/>
      <c r="D2918" s="981"/>
      <c r="E2918" s="981"/>
      <c r="F2918" s="981"/>
      <c r="G2918" s="13"/>
    </row>
    <row r="2919" spans="1:7" ht="15" hidden="1" thickBot="1">
      <c r="A2919" s="982"/>
      <c r="B2919" s="983"/>
      <c r="C2919" s="983"/>
      <c r="D2919" s="983"/>
      <c r="E2919" s="983"/>
      <c r="F2919" s="983"/>
      <c r="G2919" s="984"/>
    </row>
    <row r="2920" spans="1:7" ht="15" hidden="1" thickBot="1">
      <c r="A2920" s="982"/>
      <c r="B2920" s="913"/>
      <c r="C2920" s="914"/>
      <c r="D2920" s="95"/>
      <c r="E2920" s="242"/>
      <c r="F2920" s="286"/>
      <c r="G2920" s="97"/>
    </row>
    <row r="2921" spans="1:7" ht="15" hidden="1" thickBot="1">
      <c r="A2921" s="108"/>
      <c r="B2921" s="985"/>
      <c r="C2921" s="986"/>
      <c r="D2921" s="109"/>
      <c r="E2921" s="254"/>
      <c r="F2921" s="304"/>
      <c r="G2921" s="111"/>
    </row>
    <row r="2922" spans="1:7" ht="15" hidden="1" thickBot="1">
      <c r="A2922" s="98"/>
      <c r="B2922" s="928"/>
      <c r="C2922" s="929"/>
      <c r="D2922" s="92"/>
      <c r="E2922" s="251"/>
      <c r="F2922" s="287"/>
      <c r="G2922" s="102"/>
    </row>
    <row r="2923" spans="1:7" hidden="1">
      <c r="A2923" s="98"/>
      <c r="B2923" s="985"/>
      <c r="C2923" s="986"/>
      <c r="D2923" s="109"/>
      <c r="E2923" s="254"/>
      <c r="F2923" s="304"/>
      <c r="G2923" s="102"/>
    </row>
    <row r="2924" spans="1:7" ht="15" hidden="1" thickBot="1">
      <c r="A2924" s="996"/>
      <c r="B2924" s="997"/>
      <c r="C2924" s="998"/>
      <c r="D2924" s="981"/>
      <c r="E2924" s="981"/>
      <c r="F2924" s="981"/>
      <c r="G2924" s="13"/>
    </row>
    <row r="2925" spans="1:7" ht="15" hidden="1" thickBot="1">
      <c r="A2925" s="982"/>
      <c r="B2925" s="983"/>
      <c r="C2925" s="983"/>
      <c r="D2925" s="983"/>
      <c r="E2925" s="983"/>
      <c r="F2925" s="983"/>
      <c r="G2925" s="984"/>
    </row>
    <row r="2926" spans="1:7" ht="15" hidden="1" thickBot="1">
      <c r="A2926" s="982"/>
      <c r="B2926" s="913"/>
      <c r="C2926" s="914"/>
      <c r="D2926" s="95"/>
      <c r="E2926" s="242"/>
      <c r="F2926" s="286"/>
      <c r="G2926" s="97"/>
    </row>
    <row r="2927" spans="1:7" ht="15" hidden="1" thickBot="1">
      <c r="A2927" s="103"/>
      <c r="B2927" s="942"/>
      <c r="C2927" s="943"/>
      <c r="D2927" s="104"/>
      <c r="E2927" s="247"/>
      <c r="F2927" s="288"/>
      <c r="G2927" s="106"/>
    </row>
    <row r="2928" spans="1:7" ht="15" hidden="1" thickBot="1">
      <c r="A2928" s="978"/>
      <c r="B2928" s="979"/>
      <c r="C2928" s="980"/>
      <c r="D2928" s="981"/>
      <c r="E2928" s="981"/>
      <c r="F2928" s="981"/>
      <c r="G2928" s="13"/>
    </row>
    <row r="2929" spans="1:7" ht="15" hidden="1" thickBot="1">
      <c r="A2929" s="982"/>
      <c r="B2929" s="983"/>
      <c r="C2929" s="983"/>
      <c r="D2929" s="983"/>
      <c r="E2929" s="983"/>
      <c r="F2929" s="983"/>
      <c r="G2929" s="984"/>
    </row>
    <row r="2930" spans="1:7" ht="15" hidden="1" thickBot="1">
      <c r="A2930" s="982"/>
      <c r="B2930" s="913"/>
      <c r="C2930" s="914"/>
      <c r="D2930" s="95"/>
      <c r="E2930" s="242"/>
      <c r="F2930" s="289"/>
      <c r="G2930" s="97"/>
    </row>
    <row r="2931" spans="1:7" hidden="1">
      <c r="A2931" s="108"/>
      <c r="B2931" s="985"/>
      <c r="C2931" s="986"/>
      <c r="D2931" s="109"/>
      <c r="E2931" s="254"/>
      <c r="F2931" s="290"/>
      <c r="G2931" s="111"/>
    </row>
    <row r="2932" spans="1:7" ht="15" hidden="1" thickBot="1">
      <c r="A2932" s="987"/>
      <c r="B2932" s="988"/>
      <c r="C2932" s="989"/>
      <c r="D2932" s="990"/>
      <c r="E2932" s="990"/>
      <c r="F2932" s="990"/>
      <c r="G2932" s="14"/>
    </row>
    <row r="2933" spans="1:7" ht="15" hidden="1" thickBot="1">
      <c r="A2933" s="991"/>
      <c r="B2933" s="991"/>
      <c r="C2933" s="991"/>
      <c r="D2933" s="992"/>
      <c r="E2933" s="993"/>
      <c r="F2933" s="993"/>
      <c r="G2933" s="112"/>
    </row>
    <row r="2934" spans="1:7" hidden="1">
      <c r="A2934" s="49"/>
      <c r="B2934" s="49"/>
      <c r="C2934" s="49"/>
      <c r="D2934" s="49"/>
      <c r="F2934" s="307"/>
      <c r="G2934" s="49"/>
    </row>
    <row r="2935" spans="1:7" ht="15" hidden="1" thickBot="1">
      <c r="A2935" s="1036"/>
      <c r="B2935" s="1037"/>
      <c r="C2935" s="1037"/>
      <c r="D2935" s="1037"/>
      <c r="E2935" s="1037"/>
      <c r="F2935" s="1037"/>
      <c r="G2935" s="1038"/>
    </row>
    <row r="2936" spans="1:7" ht="15" hidden="1" thickBot="1">
      <c r="A2936" s="1006"/>
      <c r="B2936" s="1007"/>
      <c r="C2936" s="1007"/>
      <c r="D2936" s="1007"/>
      <c r="E2936" s="1007"/>
      <c r="F2936" s="272"/>
      <c r="G2936" s="43"/>
    </row>
    <row r="2937" spans="1:7" ht="35.450000000000003" hidden="1" customHeight="1" thickBot="1">
      <c r="A2937" s="1018"/>
      <c r="B2937" s="1019"/>
      <c r="C2937" s="1019"/>
      <c r="D2937" s="1019"/>
      <c r="E2937" s="1020"/>
      <c r="F2937" s="273"/>
      <c r="G2937" s="45"/>
    </row>
    <row r="2938" spans="1:7" ht="30" hidden="1" customHeight="1" thickBot="1">
      <c r="A2938" s="1021"/>
      <c r="B2938" s="1022"/>
      <c r="C2938" s="1022"/>
      <c r="D2938" s="1022"/>
      <c r="E2938" s="1023"/>
      <c r="F2938" s="273"/>
      <c r="G2938" s="46"/>
    </row>
    <row r="2939" spans="1:7" ht="27.6" hidden="1" customHeight="1" thickBot="1">
      <c r="A2939" s="1024"/>
      <c r="B2939" s="1025"/>
      <c r="C2939" s="1025"/>
      <c r="D2939" s="1025"/>
      <c r="E2939" s="1026"/>
      <c r="F2939" s="274"/>
      <c r="G2939" s="48"/>
    </row>
    <row r="2940" spans="1:7" ht="15" hidden="1" thickBot="1">
      <c r="A2940" s="1008"/>
      <c r="B2940" s="1009"/>
      <c r="C2940" s="1009"/>
      <c r="D2940" s="1009"/>
      <c r="E2940" s="1009"/>
      <c r="F2940" s="1009"/>
      <c r="G2940" s="1010"/>
    </row>
    <row r="2941" spans="1:7" ht="15" hidden="1" thickBot="1">
      <c r="A2941" s="982"/>
      <c r="B2941" s="913"/>
      <c r="C2941" s="914"/>
      <c r="D2941" s="95"/>
      <c r="E2941" s="242"/>
      <c r="F2941" s="286"/>
      <c r="G2941" s="97"/>
    </row>
    <row r="2942" spans="1:7" hidden="1">
      <c r="A2942" s="87"/>
      <c r="B2942" s="930"/>
      <c r="C2942" s="931"/>
      <c r="D2942" s="88"/>
      <c r="E2942" s="251"/>
      <c r="F2942" s="284"/>
      <c r="G2942" s="90"/>
    </row>
    <row r="2943" spans="1:7" hidden="1">
      <c r="A2943" s="91"/>
      <c r="B2943" s="968"/>
      <c r="C2943" s="969"/>
      <c r="D2943" s="92"/>
      <c r="E2943" s="252"/>
      <c r="F2943" s="285"/>
      <c r="G2943" s="94"/>
    </row>
    <row r="2944" spans="1:7" hidden="1">
      <c r="A2944" s="91"/>
      <c r="B2944" s="968"/>
      <c r="C2944" s="969"/>
      <c r="D2944" s="92"/>
      <c r="E2944" s="252"/>
      <c r="F2944" s="285"/>
      <c r="G2944" s="94"/>
    </row>
    <row r="2945" spans="1:7" ht="15" hidden="1" thickBot="1">
      <c r="A2945" s="994"/>
      <c r="B2945" s="995"/>
      <c r="C2945" s="995"/>
      <c r="D2945" s="981"/>
      <c r="E2945" s="981"/>
      <c r="F2945" s="981"/>
      <c r="G2945" s="13"/>
    </row>
    <row r="2946" spans="1:7" ht="15" hidden="1" thickBot="1">
      <c r="A2946" s="982"/>
      <c r="B2946" s="983"/>
      <c r="C2946" s="983"/>
      <c r="D2946" s="983"/>
      <c r="E2946" s="983"/>
      <c r="F2946" s="983"/>
      <c r="G2946" s="984"/>
    </row>
    <row r="2947" spans="1:7" ht="15" hidden="1" thickBot="1">
      <c r="A2947" s="982"/>
      <c r="B2947" s="913"/>
      <c r="C2947" s="914"/>
      <c r="D2947" s="95"/>
      <c r="E2947" s="242"/>
      <c r="F2947" s="286"/>
      <c r="G2947" s="97"/>
    </row>
    <row r="2948" spans="1:7" hidden="1">
      <c r="A2948" s="108"/>
      <c r="B2948" s="985"/>
      <c r="C2948" s="986"/>
      <c r="D2948" s="109"/>
      <c r="E2948" s="254"/>
      <c r="F2948" s="304"/>
      <c r="G2948" s="111"/>
    </row>
    <row r="2949" spans="1:7" ht="15" hidden="1" thickBot="1">
      <c r="A2949" s="98"/>
      <c r="B2949" s="928"/>
      <c r="C2949" s="929"/>
      <c r="D2949" s="92"/>
      <c r="E2949" s="252"/>
      <c r="F2949" s="287"/>
      <c r="G2949" s="102"/>
    </row>
    <row r="2950" spans="1:7" hidden="1">
      <c r="A2950" s="98"/>
      <c r="B2950" s="985"/>
      <c r="C2950" s="986"/>
      <c r="D2950" s="109"/>
      <c r="E2950" s="254"/>
      <c r="F2950" s="304"/>
      <c r="G2950" s="102"/>
    </row>
    <row r="2951" spans="1:7" ht="15" hidden="1" thickBot="1">
      <c r="A2951" s="996"/>
      <c r="B2951" s="997"/>
      <c r="C2951" s="998"/>
      <c r="D2951" s="981"/>
      <c r="E2951" s="981"/>
      <c r="F2951" s="981"/>
      <c r="G2951" s="13"/>
    </row>
    <row r="2952" spans="1:7" ht="15" hidden="1" thickBot="1">
      <c r="A2952" s="982"/>
      <c r="B2952" s="983"/>
      <c r="C2952" s="983"/>
      <c r="D2952" s="983"/>
      <c r="E2952" s="983"/>
      <c r="F2952" s="983"/>
      <c r="G2952" s="984"/>
    </row>
    <row r="2953" spans="1:7" ht="15" hidden="1" thickBot="1">
      <c r="A2953" s="982"/>
      <c r="B2953" s="913"/>
      <c r="C2953" s="914"/>
      <c r="D2953" s="95"/>
      <c r="E2953" s="242"/>
      <c r="F2953" s="286"/>
      <c r="G2953" s="97"/>
    </row>
    <row r="2954" spans="1:7" ht="15" hidden="1" thickBot="1">
      <c r="A2954" s="103"/>
      <c r="B2954" s="942"/>
      <c r="C2954" s="943"/>
      <c r="D2954" s="104"/>
      <c r="E2954" s="247"/>
      <c r="F2954" s="288"/>
      <c r="G2954" s="106"/>
    </row>
    <row r="2955" spans="1:7" ht="15" hidden="1" thickBot="1">
      <c r="A2955" s="978"/>
      <c r="B2955" s="979"/>
      <c r="C2955" s="980"/>
      <c r="D2955" s="981"/>
      <c r="E2955" s="981"/>
      <c r="F2955" s="981"/>
      <c r="G2955" s="13"/>
    </row>
    <row r="2956" spans="1:7" ht="15" hidden="1" thickBot="1">
      <c r="A2956" s="982"/>
      <c r="B2956" s="983"/>
      <c r="C2956" s="983"/>
      <c r="D2956" s="983"/>
      <c r="E2956" s="983"/>
      <c r="F2956" s="983"/>
      <c r="G2956" s="984"/>
    </row>
    <row r="2957" spans="1:7" ht="15" hidden="1" thickBot="1">
      <c r="A2957" s="982"/>
      <c r="B2957" s="913"/>
      <c r="C2957" s="914"/>
      <c r="D2957" s="95"/>
      <c r="E2957" s="242"/>
      <c r="F2957" s="289"/>
      <c r="G2957" s="97"/>
    </row>
    <row r="2958" spans="1:7" hidden="1">
      <c r="A2958" s="108"/>
      <c r="B2958" s="985"/>
      <c r="C2958" s="986"/>
      <c r="D2958" s="109"/>
      <c r="E2958" s="254"/>
      <c r="F2958" s="290"/>
      <c r="G2958" s="111"/>
    </row>
    <row r="2959" spans="1:7" ht="15" hidden="1" thickBot="1">
      <c r="A2959" s="987"/>
      <c r="B2959" s="988"/>
      <c r="C2959" s="989"/>
      <c r="D2959" s="990"/>
      <c r="E2959" s="990"/>
      <c r="F2959" s="990"/>
      <c r="G2959" s="14"/>
    </row>
    <row r="2960" spans="1:7" ht="15" hidden="1" thickBot="1">
      <c r="A2960" s="991"/>
      <c r="B2960" s="991"/>
      <c r="C2960" s="991"/>
      <c r="D2960" s="992"/>
      <c r="E2960" s="993"/>
      <c r="F2960" s="993"/>
      <c r="G2960" s="112"/>
    </row>
    <row r="2961" spans="1:8" hidden="1">
      <c r="A2961" s="40"/>
      <c r="B2961" s="40"/>
      <c r="C2961" s="40"/>
      <c r="D2961" s="40"/>
      <c r="E2961" s="257"/>
      <c r="F2961" s="309"/>
      <c r="G2961" s="40"/>
      <c r="H2961" s="40"/>
    </row>
    <row r="2962" spans="1:8" ht="15" hidden="1" thickBot="1">
      <c r="A2962" s="1036"/>
      <c r="B2962" s="1037"/>
      <c r="C2962" s="1037"/>
      <c r="D2962" s="1037"/>
      <c r="E2962" s="1037"/>
      <c r="F2962" s="1037"/>
      <c r="G2962" s="1038"/>
    </row>
    <row r="2963" spans="1:8" ht="15" hidden="1" thickBot="1">
      <c r="A2963" s="1006"/>
      <c r="B2963" s="1007"/>
      <c r="C2963" s="1007"/>
      <c r="D2963" s="1007"/>
      <c r="E2963" s="1007"/>
      <c r="F2963" s="272"/>
      <c r="G2963" s="43"/>
    </row>
    <row r="2964" spans="1:8" ht="15" hidden="1" thickBot="1">
      <c r="A2964" s="1018"/>
      <c r="B2964" s="1019"/>
      <c r="C2964" s="1019"/>
      <c r="D2964" s="1019"/>
      <c r="E2964" s="1020"/>
      <c r="F2964" s="273"/>
      <c r="G2964" s="45"/>
    </row>
    <row r="2965" spans="1:8" ht="15" hidden="1" thickBot="1">
      <c r="A2965" s="1021"/>
      <c r="B2965" s="1022"/>
      <c r="C2965" s="1022"/>
      <c r="D2965" s="1022"/>
      <c r="E2965" s="1023"/>
      <c r="F2965" s="273"/>
      <c r="G2965" s="46"/>
    </row>
    <row r="2966" spans="1:8" ht="15" hidden="1" thickBot="1">
      <c r="A2966" s="1024"/>
      <c r="B2966" s="1025"/>
      <c r="C2966" s="1025"/>
      <c r="D2966" s="1025"/>
      <c r="E2966" s="1026"/>
      <c r="F2966" s="274"/>
      <c r="G2966" s="48"/>
    </row>
    <row r="2967" spans="1:8" ht="15" hidden="1" thickBot="1">
      <c r="A2967" s="1008"/>
      <c r="B2967" s="1009"/>
      <c r="C2967" s="1009"/>
      <c r="D2967" s="1009"/>
      <c r="E2967" s="1009"/>
      <c r="F2967" s="1009"/>
      <c r="G2967" s="1010"/>
    </row>
    <row r="2968" spans="1:8" ht="15" hidden="1" thickBot="1">
      <c r="A2968" s="982"/>
      <c r="B2968" s="913"/>
      <c r="C2968" s="914"/>
      <c r="D2968" s="95"/>
      <c r="E2968" s="242"/>
      <c r="F2968" s="286"/>
      <c r="G2968" s="97"/>
    </row>
    <row r="2969" spans="1:8" hidden="1">
      <c r="A2969" s="87"/>
      <c r="B2969" s="930"/>
      <c r="C2969" s="931"/>
      <c r="D2969" s="88"/>
      <c r="E2969" s="251"/>
      <c r="F2969" s="284"/>
      <c r="G2969" s="90"/>
    </row>
    <row r="2970" spans="1:8" hidden="1">
      <c r="A2970" s="91"/>
      <c r="B2970" s="968"/>
      <c r="C2970" s="969"/>
      <c r="D2970" s="92"/>
      <c r="E2970" s="252"/>
      <c r="F2970" s="285"/>
      <c r="G2970" s="94"/>
    </row>
    <row r="2971" spans="1:8" hidden="1">
      <c r="A2971" s="91"/>
      <c r="B2971" s="968"/>
      <c r="C2971" s="969"/>
      <c r="D2971" s="92"/>
      <c r="E2971" s="252"/>
      <c r="F2971" s="285"/>
      <c r="G2971" s="94"/>
    </row>
    <row r="2972" spans="1:8" ht="15" hidden="1" thickBot="1">
      <c r="A2972" s="994"/>
      <c r="B2972" s="995"/>
      <c r="C2972" s="995"/>
      <c r="D2972" s="981"/>
      <c r="E2972" s="981"/>
      <c r="F2972" s="981"/>
      <c r="G2972" s="13"/>
    </row>
    <row r="2973" spans="1:8" ht="15" hidden="1" thickBot="1">
      <c r="A2973" s="982"/>
      <c r="B2973" s="983"/>
      <c r="C2973" s="983"/>
      <c r="D2973" s="983"/>
      <c r="E2973" s="983"/>
      <c r="F2973" s="983"/>
      <c r="G2973" s="984"/>
    </row>
    <row r="2974" spans="1:8" ht="15" hidden="1" thickBot="1">
      <c r="A2974" s="982"/>
      <c r="B2974" s="913"/>
      <c r="C2974" s="914"/>
      <c r="D2974" s="95"/>
      <c r="E2974" s="242"/>
      <c r="F2974" s="286"/>
      <c r="G2974" s="97"/>
    </row>
    <row r="2975" spans="1:8" ht="15" hidden="1" thickBot="1">
      <c r="A2975" s="108"/>
      <c r="B2975" s="985"/>
      <c r="C2975" s="986"/>
      <c r="D2975" s="109"/>
      <c r="E2975" s="254"/>
      <c r="F2975" s="304"/>
      <c r="G2975" s="111"/>
    </row>
    <row r="2976" spans="1:8" ht="15" hidden="1" thickBot="1">
      <c r="A2976" s="98"/>
      <c r="B2976" s="928"/>
      <c r="C2976" s="929"/>
      <c r="D2976" s="92"/>
      <c r="E2976" s="251"/>
      <c r="F2976" s="287"/>
      <c r="G2976" s="102"/>
    </row>
    <row r="2977" spans="1:7" hidden="1">
      <c r="A2977" s="98"/>
      <c r="B2977" s="985"/>
      <c r="C2977" s="986"/>
      <c r="D2977" s="109"/>
      <c r="E2977" s="254"/>
      <c r="F2977" s="304"/>
      <c r="G2977" s="102"/>
    </row>
    <row r="2978" spans="1:7" ht="15" hidden="1" thickBot="1">
      <c r="A2978" s="996"/>
      <c r="B2978" s="997"/>
      <c r="C2978" s="998"/>
      <c r="D2978" s="981"/>
      <c r="E2978" s="981"/>
      <c r="F2978" s="981"/>
      <c r="G2978" s="13"/>
    </row>
    <row r="2979" spans="1:7" ht="15" hidden="1" thickBot="1">
      <c r="A2979" s="982"/>
      <c r="B2979" s="983"/>
      <c r="C2979" s="983"/>
      <c r="D2979" s="983"/>
      <c r="E2979" s="983"/>
      <c r="F2979" s="983"/>
      <c r="G2979" s="984"/>
    </row>
    <row r="2980" spans="1:7" ht="15" hidden="1" thickBot="1">
      <c r="A2980" s="982"/>
      <c r="B2980" s="913"/>
      <c r="C2980" s="914"/>
      <c r="D2980" s="95"/>
      <c r="E2980" s="242"/>
      <c r="F2980" s="286"/>
      <c r="G2980" s="97"/>
    </row>
    <row r="2981" spans="1:7" ht="15" hidden="1" thickBot="1">
      <c r="A2981" s="103"/>
      <c r="B2981" s="942"/>
      <c r="C2981" s="943"/>
      <c r="D2981" s="104"/>
      <c r="E2981" s="247"/>
      <c r="F2981" s="288"/>
      <c r="G2981" s="106"/>
    </row>
    <row r="2982" spans="1:7" ht="15" hidden="1" thickBot="1">
      <c r="A2982" s="978"/>
      <c r="B2982" s="979"/>
      <c r="C2982" s="980"/>
      <c r="D2982" s="981"/>
      <c r="E2982" s="981"/>
      <c r="F2982" s="981"/>
      <c r="G2982" s="13"/>
    </row>
    <row r="2983" spans="1:7" ht="15" hidden="1" thickBot="1">
      <c r="A2983" s="982"/>
      <c r="B2983" s="983"/>
      <c r="C2983" s="983"/>
      <c r="D2983" s="983"/>
      <c r="E2983" s="983"/>
      <c r="F2983" s="983"/>
      <c r="G2983" s="984"/>
    </row>
    <row r="2984" spans="1:7" ht="15" hidden="1" thickBot="1">
      <c r="A2984" s="982"/>
      <c r="B2984" s="913"/>
      <c r="C2984" s="914"/>
      <c r="D2984" s="95"/>
      <c r="E2984" s="242"/>
      <c r="F2984" s="289"/>
      <c r="G2984" s="97"/>
    </row>
    <row r="2985" spans="1:7" hidden="1">
      <c r="A2985" s="108"/>
      <c r="B2985" s="985"/>
      <c r="C2985" s="986"/>
      <c r="D2985" s="109"/>
      <c r="E2985" s="254"/>
      <c r="F2985" s="290"/>
      <c r="G2985" s="111"/>
    </row>
    <row r="2986" spans="1:7" ht="15" hidden="1" thickBot="1">
      <c r="A2986" s="987"/>
      <c r="B2986" s="988"/>
      <c r="C2986" s="989"/>
      <c r="D2986" s="990"/>
      <c r="E2986" s="990"/>
      <c r="F2986" s="990"/>
      <c r="G2986" s="14"/>
    </row>
    <row r="2987" spans="1:7" ht="15" hidden="1" thickBot="1">
      <c r="A2987" s="991"/>
      <c r="B2987" s="991"/>
      <c r="C2987" s="991"/>
      <c r="D2987" s="992"/>
      <c r="E2987" s="993"/>
      <c r="F2987" s="993"/>
      <c r="G2987" s="112"/>
    </row>
    <row r="2988" spans="1:7" hidden="1">
      <c r="A2988" s="49"/>
      <c r="B2988" s="49"/>
      <c r="C2988" s="49"/>
      <c r="D2988" s="49"/>
      <c r="F2988" s="307"/>
      <c r="G2988" s="49"/>
    </row>
    <row r="2989" spans="1:7" ht="18.75" hidden="1" customHeight="1" thickBot="1">
      <c r="A2989" s="1036"/>
      <c r="B2989" s="1037"/>
      <c r="C2989" s="1037"/>
      <c r="D2989" s="1037"/>
      <c r="E2989" s="1037"/>
      <c r="F2989" s="1037"/>
      <c r="G2989" s="1038"/>
    </row>
    <row r="2990" spans="1:7" s="7" customFormat="1" ht="13.5" hidden="1" thickBot="1">
      <c r="A2990" s="1006"/>
      <c r="B2990" s="1007"/>
      <c r="C2990" s="1007"/>
      <c r="D2990" s="1007"/>
      <c r="E2990" s="1007"/>
      <c r="F2990" s="272"/>
      <c r="G2990" s="43"/>
    </row>
    <row r="2991" spans="1:7" ht="15.75" hidden="1" customHeight="1" thickBot="1">
      <c r="A2991" s="1018"/>
      <c r="B2991" s="1019"/>
      <c r="C2991" s="1019"/>
      <c r="D2991" s="1019"/>
      <c r="E2991" s="1020"/>
      <c r="F2991" s="273"/>
      <c r="G2991" s="45"/>
    </row>
    <row r="2992" spans="1:7" ht="15.75" hidden="1" customHeight="1" thickBot="1">
      <c r="A2992" s="1021"/>
      <c r="B2992" s="1022"/>
      <c r="C2992" s="1022"/>
      <c r="D2992" s="1022"/>
      <c r="E2992" s="1023"/>
      <c r="F2992" s="273"/>
      <c r="G2992" s="46"/>
    </row>
    <row r="2993" spans="1:7" ht="15" hidden="1" customHeight="1" thickBot="1">
      <c r="A2993" s="1024"/>
      <c r="B2993" s="1025"/>
      <c r="C2993" s="1025"/>
      <c r="D2993" s="1025"/>
      <c r="E2993" s="1026"/>
      <c r="F2993" s="274"/>
      <c r="G2993" s="48"/>
    </row>
    <row r="2994" spans="1:7" ht="15.75" hidden="1" customHeight="1" thickBot="1">
      <c r="A2994" s="1008"/>
      <c r="B2994" s="1009"/>
      <c r="C2994" s="1009"/>
      <c r="D2994" s="1009"/>
      <c r="E2994" s="1009"/>
      <c r="F2994" s="1009"/>
      <c r="G2994" s="1010"/>
    </row>
    <row r="2995" spans="1:7" ht="15.75" hidden="1" customHeight="1" collapsed="1" thickBot="1">
      <c r="A2995" s="982"/>
      <c r="B2995" s="913"/>
      <c r="C2995" s="914"/>
      <c r="D2995" s="95"/>
      <c r="E2995" s="242"/>
      <c r="F2995" s="286"/>
      <c r="G2995" s="97"/>
    </row>
    <row r="2996" spans="1:7" ht="17.25" hidden="1" customHeight="1">
      <c r="A2996" s="87"/>
      <c r="B2996" s="930"/>
      <c r="C2996" s="931"/>
      <c r="D2996" s="88"/>
      <c r="E2996" s="251"/>
      <c r="F2996" s="284"/>
      <c r="G2996" s="90"/>
    </row>
    <row r="2997" spans="1:7" ht="16.5" hidden="1" customHeight="1" thickBot="1">
      <c r="A2997" s="994"/>
      <c r="B2997" s="995"/>
      <c r="C2997" s="995"/>
      <c r="D2997" s="981"/>
      <c r="E2997" s="981"/>
      <c r="F2997" s="981"/>
      <c r="G2997" s="13"/>
    </row>
    <row r="2998" spans="1:7" ht="15.75" hidden="1" customHeight="1" thickBot="1">
      <c r="A2998" s="982"/>
      <c r="B2998" s="983"/>
      <c r="C2998" s="983"/>
      <c r="D2998" s="983"/>
      <c r="E2998" s="983"/>
      <c r="F2998" s="983"/>
      <c r="G2998" s="984"/>
    </row>
    <row r="2999" spans="1:7" ht="15.75" hidden="1" customHeight="1" thickBot="1">
      <c r="A2999" s="982"/>
      <c r="B2999" s="913"/>
      <c r="C2999" s="914"/>
      <c r="D2999" s="95"/>
      <c r="E2999" s="242"/>
      <c r="F2999" s="286"/>
      <c r="G2999" s="97"/>
    </row>
    <row r="3000" spans="1:7" ht="15.75" hidden="1" customHeight="1">
      <c r="A3000" s="98"/>
      <c r="B3000" s="928"/>
      <c r="C3000" s="929"/>
      <c r="D3000" s="99"/>
      <c r="E3000" s="253"/>
      <c r="F3000" s="287"/>
      <c r="G3000" s="102"/>
    </row>
    <row r="3001" spans="1:7" ht="15" hidden="1" customHeight="1" thickBot="1">
      <c r="A3001" s="996"/>
      <c r="B3001" s="997"/>
      <c r="C3001" s="998"/>
      <c r="D3001" s="981"/>
      <c r="E3001" s="981"/>
      <c r="F3001" s="981"/>
      <c r="G3001" s="13"/>
    </row>
    <row r="3002" spans="1:7" ht="15" hidden="1" customHeight="1" thickBot="1">
      <c r="A3002" s="982"/>
      <c r="B3002" s="983"/>
      <c r="C3002" s="983"/>
      <c r="D3002" s="983"/>
      <c r="E3002" s="983"/>
      <c r="F3002" s="983"/>
      <c r="G3002" s="984"/>
    </row>
    <row r="3003" spans="1:7" ht="16.5" hidden="1" customHeight="1" thickBot="1">
      <c r="A3003" s="982"/>
      <c r="B3003" s="913"/>
      <c r="C3003" s="914"/>
      <c r="D3003" s="95"/>
      <c r="E3003" s="242"/>
      <c r="F3003" s="286"/>
      <c r="G3003" s="97"/>
    </row>
    <row r="3004" spans="1:7" ht="17.25" hidden="1" customHeight="1" thickBot="1">
      <c r="A3004" s="103"/>
      <c r="B3004" s="942"/>
      <c r="C3004" s="943"/>
      <c r="D3004" s="104"/>
      <c r="E3004" s="247"/>
      <c r="F3004" s="288"/>
      <c r="G3004" s="106"/>
    </row>
    <row r="3005" spans="1:7" ht="22.5" hidden="1" customHeight="1" thickBot="1">
      <c r="A3005" s="978"/>
      <c r="B3005" s="979"/>
      <c r="C3005" s="980"/>
      <c r="D3005" s="981"/>
      <c r="E3005" s="981"/>
      <c r="F3005" s="981"/>
      <c r="G3005" s="13"/>
    </row>
    <row r="3006" spans="1:7" ht="15.75" hidden="1" customHeight="1" thickBot="1">
      <c r="A3006" s="982"/>
      <c r="B3006" s="983"/>
      <c r="C3006" s="983"/>
      <c r="D3006" s="983"/>
      <c r="E3006" s="983"/>
      <c r="F3006" s="983"/>
      <c r="G3006" s="984"/>
    </row>
    <row r="3007" spans="1:7" ht="15.75" hidden="1" customHeight="1" thickBot="1">
      <c r="A3007" s="982"/>
      <c r="B3007" s="913"/>
      <c r="C3007" s="914"/>
      <c r="D3007" s="95"/>
      <c r="E3007" s="242"/>
      <c r="F3007" s="289"/>
      <c r="G3007" s="97"/>
    </row>
    <row r="3008" spans="1:7" ht="22.5" hidden="1" customHeight="1" thickBot="1">
      <c r="A3008" s="108"/>
      <c r="B3008" s="985"/>
      <c r="C3008" s="986"/>
      <c r="D3008" s="109"/>
      <c r="E3008" s="254"/>
      <c r="F3008" s="290"/>
      <c r="G3008" s="111"/>
    </row>
    <row r="3009" spans="1:7" ht="15.75" hidden="1" customHeight="1">
      <c r="A3009" s="108"/>
      <c r="B3009" s="985"/>
      <c r="C3009" s="986"/>
      <c r="D3009" s="109"/>
      <c r="E3009" s="254"/>
      <c r="F3009" s="290"/>
      <c r="G3009" s="111"/>
    </row>
    <row r="3010" spans="1:7" ht="15.75" hidden="1" customHeight="1" thickBot="1">
      <c r="A3010" s="987"/>
      <c r="B3010" s="988"/>
      <c r="C3010" s="989"/>
      <c r="D3010" s="990"/>
      <c r="E3010" s="990"/>
      <c r="F3010" s="990"/>
      <c r="G3010" s="14"/>
    </row>
    <row r="3011" spans="1:7" ht="15" hidden="1" customHeight="1" thickBot="1">
      <c r="A3011" s="991"/>
      <c r="B3011" s="991"/>
      <c r="C3011" s="991"/>
      <c r="D3011" s="992"/>
      <c r="E3011" s="993"/>
      <c r="F3011" s="993"/>
      <c r="G3011" s="112"/>
    </row>
    <row r="3012" spans="1:7" ht="16.5" hidden="1" customHeight="1">
      <c r="A3012" s="49"/>
      <c r="B3012" s="49"/>
      <c r="C3012" s="49"/>
      <c r="D3012" s="49"/>
      <c r="F3012" s="307"/>
      <c r="G3012" s="49"/>
    </row>
    <row r="3013" spans="1:7" ht="17.25" hidden="1" customHeight="1" thickBot="1">
      <c r="A3013" s="1036"/>
      <c r="B3013" s="1037"/>
      <c r="C3013" s="1037"/>
      <c r="D3013" s="1037"/>
      <c r="E3013" s="1037"/>
      <c r="F3013" s="1037"/>
      <c r="G3013" s="1038"/>
    </row>
    <row r="3014" spans="1:7" ht="15" hidden="1" customHeight="1" thickBot="1">
      <c r="A3014" s="1006"/>
      <c r="B3014" s="1007"/>
      <c r="C3014" s="1007"/>
      <c r="D3014" s="1007"/>
      <c r="E3014" s="1007"/>
      <c r="F3014" s="272"/>
      <c r="G3014" s="43"/>
    </row>
    <row r="3015" spans="1:7" ht="15" hidden="1" customHeight="1" thickBot="1">
      <c r="A3015" s="1018"/>
      <c r="B3015" s="1019"/>
      <c r="C3015" s="1019"/>
      <c r="D3015" s="1019"/>
      <c r="E3015" s="1020"/>
      <c r="F3015" s="273"/>
      <c r="G3015" s="45"/>
    </row>
    <row r="3016" spans="1:7" ht="15" hidden="1" thickBot="1">
      <c r="A3016" s="1021"/>
      <c r="B3016" s="1022"/>
      <c r="C3016" s="1022"/>
      <c r="D3016" s="1022"/>
      <c r="E3016" s="1023"/>
      <c r="F3016" s="273"/>
      <c r="G3016" s="46"/>
    </row>
    <row r="3017" spans="1:7" ht="15" hidden="1" thickBot="1">
      <c r="A3017" s="1024"/>
      <c r="B3017" s="1025"/>
      <c r="C3017" s="1025"/>
      <c r="D3017" s="1025"/>
      <c r="E3017" s="1026"/>
      <c r="F3017" s="274"/>
      <c r="G3017" s="48"/>
    </row>
    <row r="3018" spans="1:7" ht="15" hidden="1" thickBot="1">
      <c r="A3018" s="1008"/>
      <c r="B3018" s="1009"/>
      <c r="C3018" s="1009"/>
      <c r="D3018" s="1009"/>
      <c r="E3018" s="1009"/>
      <c r="F3018" s="1009"/>
      <c r="G3018" s="1010"/>
    </row>
    <row r="3019" spans="1:7" ht="15" hidden="1" thickBot="1">
      <c r="A3019" s="982"/>
      <c r="B3019" s="913"/>
      <c r="C3019" s="914"/>
      <c r="D3019" s="95"/>
      <c r="E3019" s="242"/>
      <c r="F3019" s="286"/>
      <c r="G3019" s="97"/>
    </row>
    <row r="3020" spans="1:7" hidden="1">
      <c r="A3020" s="87"/>
      <c r="B3020" s="930"/>
      <c r="C3020" s="931"/>
      <c r="D3020" s="88"/>
      <c r="E3020" s="251"/>
      <c r="F3020" s="284"/>
      <c r="G3020" s="90"/>
    </row>
    <row r="3021" spans="1:7" hidden="1">
      <c r="A3021" s="91"/>
      <c r="B3021" s="968"/>
      <c r="C3021" s="969"/>
      <c r="D3021" s="92"/>
      <c r="E3021" s="252"/>
      <c r="F3021" s="285"/>
      <c r="G3021" s="94"/>
    </row>
    <row r="3022" spans="1:7" ht="15" hidden="1" thickBot="1">
      <c r="A3022" s="994"/>
      <c r="B3022" s="995"/>
      <c r="C3022" s="995"/>
      <c r="D3022" s="981"/>
      <c r="E3022" s="981"/>
      <c r="F3022" s="981"/>
      <c r="G3022" s="13"/>
    </row>
    <row r="3023" spans="1:7" ht="15" hidden="1" thickBot="1">
      <c r="A3023" s="982"/>
      <c r="B3023" s="983"/>
      <c r="C3023" s="983"/>
      <c r="D3023" s="983"/>
      <c r="E3023" s="983"/>
      <c r="F3023" s="983"/>
      <c r="G3023" s="984"/>
    </row>
    <row r="3024" spans="1:7" ht="18.75" hidden="1" customHeight="1" thickBot="1">
      <c r="A3024" s="982"/>
      <c r="B3024" s="913"/>
      <c r="C3024" s="914"/>
      <c r="D3024" s="95"/>
      <c r="E3024" s="242"/>
      <c r="F3024" s="286"/>
      <c r="G3024" s="97"/>
    </row>
    <row r="3025" spans="1:7" ht="18.75" hidden="1" customHeight="1" thickBot="1">
      <c r="A3025" s="108"/>
      <c r="B3025" s="985"/>
      <c r="C3025" s="986"/>
      <c r="D3025" s="109"/>
      <c r="E3025" s="254"/>
      <c r="F3025" s="304"/>
      <c r="G3025" s="111"/>
    </row>
    <row r="3026" spans="1:7" s="7" customFormat="1" ht="12.75" hidden="1">
      <c r="A3026" s="98"/>
      <c r="B3026" s="928"/>
      <c r="C3026" s="929"/>
      <c r="D3026" s="109"/>
      <c r="E3026" s="252"/>
      <c r="F3026" s="304"/>
      <c r="G3026" s="102"/>
    </row>
    <row r="3027" spans="1:7" hidden="1">
      <c r="A3027" s="98"/>
      <c r="B3027" s="928"/>
      <c r="C3027" s="929"/>
      <c r="D3027" s="99"/>
      <c r="E3027" s="253"/>
      <c r="F3027" s="287"/>
      <c r="G3027" s="102"/>
    </row>
    <row r="3028" spans="1:7" ht="15" hidden="1" thickBot="1">
      <c r="A3028" s="996"/>
      <c r="B3028" s="997"/>
      <c r="C3028" s="998"/>
      <c r="D3028" s="981"/>
      <c r="E3028" s="981"/>
      <c r="F3028" s="981"/>
      <c r="G3028" s="13"/>
    </row>
    <row r="3029" spans="1:7" ht="15" hidden="1" customHeight="1" thickBot="1">
      <c r="A3029" s="982"/>
      <c r="B3029" s="983"/>
      <c r="C3029" s="983"/>
      <c r="D3029" s="983"/>
      <c r="E3029" s="983"/>
      <c r="F3029" s="983"/>
      <c r="G3029" s="984"/>
    </row>
    <row r="3030" spans="1:7" ht="15" hidden="1" thickBot="1">
      <c r="A3030" s="982"/>
      <c r="B3030" s="913"/>
      <c r="C3030" s="914"/>
      <c r="D3030" s="95"/>
      <c r="E3030" s="242"/>
      <c r="F3030" s="286"/>
      <c r="G3030" s="97"/>
    </row>
    <row r="3031" spans="1:7" ht="15" hidden="1" collapsed="1" thickBot="1">
      <c r="A3031" s="103"/>
      <c r="B3031" s="942"/>
      <c r="C3031" s="943"/>
      <c r="D3031" s="104"/>
      <c r="E3031" s="247"/>
      <c r="F3031" s="288"/>
      <c r="G3031" s="106"/>
    </row>
    <row r="3032" spans="1:7" ht="15" hidden="1" thickBot="1">
      <c r="A3032" s="978"/>
      <c r="B3032" s="979"/>
      <c r="C3032" s="980"/>
      <c r="D3032" s="981"/>
      <c r="E3032" s="981"/>
      <c r="F3032" s="981"/>
      <c r="G3032" s="13"/>
    </row>
    <row r="3033" spans="1:7" ht="15" hidden="1" thickBot="1">
      <c r="A3033" s="982"/>
      <c r="B3033" s="983"/>
      <c r="C3033" s="983"/>
      <c r="D3033" s="983"/>
      <c r="E3033" s="983"/>
      <c r="F3033" s="983"/>
      <c r="G3033" s="984"/>
    </row>
    <row r="3034" spans="1:7" ht="15" hidden="1" thickBot="1">
      <c r="A3034" s="982"/>
      <c r="B3034" s="913"/>
      <c r="C3034" s="914"/>
      <c r="D3034" s="95"/>
      <c r="E3034" s="242"/>
      <c r="F3034" s="289"/>
      <c r="G3034" s="97"/>
    </row>
    <row r="3035" spans="1:7" hidden="1">
      <c r="A3035" s="108"/>
      <c r="B3035" s="985"/>
      <c r="C3035" s="986"/>
      <c r="D3035" s="109"/>
      <c r="E3035" s="254"/>
      <c r="F3035" s="290"/>
      <c r="G3035" s="111"/>
    </row>
    <row r="3036" spans="1:7" ht="15" hidden="1" thickBot="1">
      <c r="A3036" s="987"/>
      <c r="B3036" s="988"/>
      <c r="C3036" s="989"/>
      <c r="D3036" s="990"/>
      <c r="E3036" s="990"/>
      <c r="F3036" s="990"/>
      <c r="G3036" s="14"/>
    </row>
    <row r="3037" spans="1:7" ht="15" hidden="1" thickBot="1">
      <c r="A3037" s="991"/>
      <c r="B3037" s="991"/>
      <c r="C3037" s="991"/>
      <c r="D3037" s="992"/>
      <c r="E3037" s="993"/>
      <c r="F3037" s="993"/>
      <c r="G3037" s="112"/>
    </row>
    <row r="3038" spans="1:7" ht="16.5" hidden="1" customHeight="1">
      <c r="A3038" s="49"/>
      <c r="B3038" s="49"/>
      <c r="C3038" s="49"/>
      <c r="D3038" s="49"/>
      <c r="F3038" s="307"/>
      <c r="G3038" s="49"/>
    </row>
    <row r="3039" spans="1:7" ht="17.25" hidden="1" customHeight="1" thickBot="1">
      <c r="A3039" s="1036"/>
      <c r="B3039" s="1037"/>
      <c r="C3039" s="1037"/>
      <c r="D3039" s="1037"/>
      <c r="E3039" s="1037"/>
      <c r="F3039" s="1037"/>
      <c r="G3039" s="1038"/>
    </row>
    <row r="3040" spans="1:7" ht="15" hidden="1" customHeight="1" thickBot="1">
      <c r="A3040" s="1006"/>
      <c r="B3040" s="1007"/>
      <c r="C3040" s="1007"/>
      <c r="D3040" s="1007"/>
      <c r="E3040" s="1007"/>
      <c r="F3040" s="272"/>
      <c r="G3040" s="43"/>
    </row>
    <row r="3041" spans="1:7" ht="15" hidden="1" customHeight="1" thickBot="1">
      <c r="A3041" s="1018"/>
      <c r="B3041" s="1019"/>
      <c r="C3041" s="1019"/>
      <c r="D3041" s="1019"/>
      <c r="E3041" s="1020"/>
      <c r="F3041" s="273"/>
      <c r="G3041" s="45"/>
    </row>
    <row r="3042" spans="1:7" ht="15" hidden="1" thickBot="1">
      <c r="A3042" s="1021"/>
      <c r="B3042" s="1022"/>
      <c r="C3042" s="1022"/>
      <c r="D3042" s="1022"/>
      <c r="E3042" s="1023"/>
      <c r="F3042" s="273"/>
      <c r="G3042" s="46"/>
    </row>
    <row r="3043" spans="1:7" ht="15" hidden="1" thickBot="1">
      <c r="A3043" s="1024"/>
      <c r="B3043" s="1025"/>
      <c r="C3043" s="1025"/>
      <c r="D3043" s="1025"/>
      <c r="E3043" s="1026"/>
      <c r="F3043" s="274"/>
      <c r="G3043" s="48"/>
    </row>
    <row r="3044" spans="1:7" ht="15" hidden="1" thickBot="1">
      <c r="A3044" s="1008"/>
      <c r="B3044" s="1009"/>
      <c r="C3044" s="1009"/>
      <c r="D3044" s="1009"/>
      <c r="E3044" s="1009"/>
      <c r="F3044" s="1009"/>
      <c r="G3044" s="1010"/>
    </row>
    <row r="3045" spans="1:7" ht="15" hidden="1" thickBot="1">
      <c r="A3045" s="982"/>
      <c r="B3045" s="913"/>
      <c r="C3045" s="914"/>
      <c r="D3045" s="95"/>
      <c r="E3045" s="242"/>
      <c r="F3045" s="286"/>
      <c r="G3045" s="97"/>
    </row>
    <row r="3046" spans="1:7" hidden="1">
      <c r="A3046" s="87"/>
      <c r="B3046" s="930"/>
      <c r="C3046" s="931"/>
      <c r="D3046" s="88"/>
      <c r="E3046" s="251"/>
      <c r="F3046" s="284"/>
      <c r="G3046" s="90"/>
    </row>
    <row r="3047" spans="1:7" hidden="1">
      <c r="A3047" s="91"/>
      <c r="B3047" s="968"/>
      <c r="C3047" s="969"/>
      <c r="D3047" s="92"/>
      <c r="E3047" s="252"/>
      <c r="F3047" s="285"/>
      <c r="G3047" s="94"/>
    </row>
    <row r="3048" spans="1:7" ht="15" hidden="1" thickBot="1">
      <c r="A3048" s="994"/>
      <c r="B3048" s="995"/>
      <c r="C3048" s="995"/>
      <c r="D3048" s="981"/>
      <c r="E3048" s="981"/>
      <c r="F3048" s="981"/>
      <c r="G3048" s="13"/>
    </row>
    <row r="3049" spans="1:7" ht="15" hidden="1" thickBot="1">
      <c r="A3049" s="982"/>
      <c r="B3049" s="983"/>
      <c r="C3049" s="983"/>
      <c r="D3049" s="983"/>
      <c r="E3049" s="983"/>
      <c r="F3049" s="983"/>
      <c r="G3049" s="984"/>
    </row>
    <row r="3050" spans="1:7" ht="18.75" hidden="1" customHeight="1" thickBot="1">
      <c r="A3050" s="982"/>
      <c r="B3050" s="913"/>
      <c r="C3050" s="914"/>
      <c r="D3050" s="95"/>
      <c r="E3050" s="242"/>
      <c r="F3050" s="286"/>
      <c r="G3050" s="97"/>
    </row>
    <row r="3051" spans="1:7" ht="15" hidden="1" thickBot="1">
      <c r="A3051" s="108"/>
      <c r="B3051" s="985"/>
      <c r="C3051" s="986"/>
      <c r="D3051" s="109"/>
      <c r="E3051" s="254"/>
      <c r="F3051" s="304"/>
      <c r="G3051" s="111"/>
    </row>
    <row r="3052" spans="1:7" s="7" customFormat="1" ht="12.75" hidden="1">
      <c r="A3052" s="98"/>
      <c r="B3052" s="928"/>
      <c r="C3052" s="929"/>
      <c r="D3052" s="109"/>
      <c r="E3052" s="252"/>
      <c r="F3052" s="304"/>
      <c r="G3052" s="102"/>
    </row>
    <row r="3053" spans="1:7" hidden="1">
      <c r="A3053" s="98"/>
      <c r="B3053" s="928"/>
      <c r="C3053" s="929"/>
      <c r="D3053" s="99"/>
      <c r="E3053" s="253"/>
      <c r="F3053" s="287"/>
      <c r="G3053" s="102"/>
    </row>
    <row r="3054" spans="1:7" ht="15" hidden="1" thickBot="1">
      <c r="A3054" s="996"/>
      <c r="B3054" s="997"/>
      <c r="C3054" s="998"/>
      <c r="D3054" s="981"/>
      <c r="E3054" s="981"/>
      <c r="F3054" s="981"/>
      <c r="G3054" s="13"/>
    </row>
    <row r="3055" spans="1:7" ht="15" hidden="1" customHeight="1" thickBot="1">
      <c r="A3055" s="982"/>
      <c r="B3055" s="983"/>
      <c r="C3055" s="983"/>
      <c r="D3055" s="983"/>
      <c r="E3055" s="983"/>
      <c r="F3055" s="983"/>
      <c r="G3055" s="984"/>
    </row>
    <row r="3056" spans="1:7" ht="15" hidden="1" thickBot="1">
      <c r="A3056" s="982"/>
      <c r="B3056" s="913"/>
      <c r="C3056" s="914"/>
      <c r="D3056" s="95"/>
      <c r="E3056" s="242"/>
      <c r="F3056" s="286"/>
      <c r="G3056" s="97"/>
    </row>
    <row r="3057" spans="1:7" ht="15" hidden="1" collapsed="1" thickBot="1">
      <c r="A3057" s="103"/>
      <c r="B3057" s="940"/>
      <c r="C3057" s="941"/>
      <c r="D3057" s="157"/>
      <c r="E3057" s="259"/>
      <c r="F3057" s="288"/>
      <c r="G3057" s="106"/>
    </row>
    <row r="3058" spans="1:7" ht="15" hidden="1" thickBot="1">
      <c r="A3058" s="978"/>
      <c r="B3058" s="979"/>
      <c r="C3058" s="980"/>
      <c r="D3058" s="981"/>
      <c r="E3058" s="981"/>
      <c r="F3058" s="981"/>
      <c r="G3058" s="13"/>
    </row>
    <row r="3059" spans="1:7" ht="15" hidden="1" thickBot="1">
      <c r="A3059" s="982"/>
      <c r="B3059" s="983"/>
      <c r="C3059" s="983"/>
      <c r="D3059" s="983"/>
      <c r="E3059" s="983"/>
      <c r="F3059" s="983"/>
      <c r="G3059" s="984"/>
    </row>
    <row r="3060" spans="1:7" ht="15" hidden="1" thickBot="1">
      <c r="A3060" s="982"/>
      <c r="B3060" s="913"/>
      <c r="C3060" s="914"/>
      <c r="D3060" s="95"/>
      <c r="E3060" s="242"/>
      <c r="F3060" s="289"/>
      <c r="G3060" s="97"/>
    </row>
    <row r="3061" spans="1:7" hidden="1">
      <c r="A3061" s="108"/>
      <c r="B3061" s="985"/>
      <c r="C3061" s="986"/>
      <c r="D3061" s="109"/>
      <c r="E3061" s="254"/>
      <c r="F3061" s="290"/>
      <c r="G3061" s="111"/>
    </row>
    <row r="3062" spans="1:7" ht="15" hidden="1" thickBot="1">
      <c r="A3062" s="987"/>
      <c r="B3062" s="988"/>
      <c r="C3062" s="989"/>
      <c r="D3062" s="990"/>
      <c r="E3062" s="990"/>
      <c r="F3062" s="990"/>
      <c r="G3062" s="14"/>
    </row>
    <row r="3063" spans="1:7" ht="15" hidden="1" thickBot="1">
      <c r="A3063" s="991"/>
      <c r="B3063" s="991"/>
      <c r="C3063" s="991"/>
      <c r="D3063" s="992"/>
      <c r="E3063" s="993"/>
      <c r="F3063" s="993"/>
      <c r="G3063" s="112"/>
    </row>
    <row r="3064" spans="1:7" hidden="1">
      <c r="A3064" s="49"/>
      <c r="B3064" s="49"/>
      <c r="C3064" s="49"/>
      <c r="D3064" s="49"/>
      <c r="F3064" s="307"/>
      <c r="G3064" s="49"/>
    </row>
    <row r="3065" spans="1:7" hidden="1">
      <c r="A3065" s="49"/>
      <c r="B3065" s="49"/>
      <c r="C3065" s="49"/>
      <c r="D3065" s="49"/>
      <c r="F3065" s="307"/>
      <c r="G3065" s="49"/>
    </row>
    <row r="3066" spans="1:7" ht="15" hidden="1" thickBot="1">
      <c r="A3066" s="1036"/>
      <c r="B3066" s="1037"/>
      <c r="C3066" s="1037"/>
      <c r="D3066" s="1037"/>
      <c r="E3066" s="1037"/>
      <c r="F3066" s="1037"/>
      <c r="G3066" s="1038"/>
    </row>
    <row r="3067" spans="1:7" ht="22.5" hidden="1" customHeight="1" thickBot="1">
      <c r="A3067" s="1006"/>
      <c r="B3067" s="1007"/>
      <c r="C3067" s="1007"/>
      <c r="D3067" s="1007"/>
      <c r="E3067" s="1007"/>
      <c r="F3067" s="272"/>
      <c r="G3067" s="43"/>
    </row>
    <row r="3068" spans="1:7" ht="15" hidden="1" customHeight="1" thickBot="1">
      <c r="A3068" s="1018"/>
      <c r="B3068" s="1019"/>
      <c r="C3068" s="1019"/>
      <c r="D3068" s="1019"/>
      <c r="E3068" s="1020"/>
      <c r="F3068" s="273"/>
      <c r="G3068" s="45"/>
    </row>
    <row r="3069" spans="1:7" ht="15" hidden="1" thickBot="1">
      <c r="A3069" s="1021"/>
      <c r="B3069" s="1022"/>
      <c r="C3069" s="1022"/>
      <c r="D3069" s="1022"/>
      <c r="E3069" s="1023"/>
      <c r="F3069" s="273"/>
      <c r="G3069" s="46"/>
    </row>
    <row r="3070" spans="1:7" ht="22.5" hidden="1" customHeight="1" thickBot="1">
      <c r="A3070" s="1024"/>
      <c r="B3070" s="1025"/>
      <c r="C3070" s="1025"/>
      <c r="D3070" s="1025"/>
      <c r="E3070" s="1026"/>
      <c r="F3070" s="274"/>
      <c r="G3070" s="48"/>
    </row>
    <row r="3071" spans="1:7" ht="15" hidden="1" thickBot="1">
      <c r="A3071" s="1008"/>
      <c r="B3071" s="1009"/>
      <c r="C3071" s="1009"/>
      <c r="D3071" s="1009"/>
      <c r="E3071" s="1009"/>
      <c r="F3071" s="1009"/>
      <c r="G3071" s="1010"/>
    </row>
    <row r="3072" spans="1:7" ht="22.5" hidden="1" customHeight="1" thickBot="1">
      <c r="A3072" s="982"/>
      <c r="B3072" s="913"/>
      <c r="C3072" s="914"/>
      <c r="D3072" s="95"/>
      <c r="E3072" s="242"/>
      <c r="F3072" s="286"/>
      <c r="G3072" s="97"/>
    </row>
    <row r="3073" spans="1:7" hidden="1">
      <c r="A3073" s="87"/>
      <c r="B3073" s="930"/>
      <c r="C3073" s="931"/>
      <c r="D3073" s="88"/>
      <c r="E3073" s="251"/>
      <c r="F3073" s="284"/>
      <c r="G3073" s="90"/>
    </row>
    <row r="3074" spans="1:7" hidden="1">
      <c r="A3074" s="91"/>
      <c r="B3074" s="968"/>
      <c r="C3074" s="969"/>
      <c r="D3074" s="92"/>
      <c r="E3074" s="252"/>
      <c r="F3074" s="285"/>
      <c r="G3074" s="94"/>
    </row>
    <row r="3075" spans="1:7" ht="22.5" hidden="1" customHeight="1" thickBot="1">
      <c r="A3075" s="994"/>
      <c r="B3075" s="995"/>
      <c r="C3075" s="995"/>
      <c r="D3075" s="981"/>
      <c r="E3075" s="981"/>
      <c r="F3075" s="981"/>
      <c r="G3075" s="13"/>
    </row>
    <row r="3076" spans="1:7" ht="15" hidden="1" thickBot="1">
      <c r="A3076" s="982"/>
      <c r="B3076" s="983"/>
      <c r="C3076" s="983"/>
      <c r="D3076" s="983"/>
      <c r="E3076" s="983"/>
      <c r="F3076" s="983"/>
      <c r="G3076" s="984"/>
    </row>
    <row r="3077" spans="1:7" ht="15" hidden="1" thickBot="1">
      <c r="A3077" s="982"/>
      <c r="B3077" s="913"/>
      <c r="C3077" s="914"/>
      <c r="D3077" s="95"/>
      <c r="E3077" s="242"/>
      <c r="F3077" s="286"/>
      <c r="G3077" s="97"/>
    </row>
    <row r="3078" spans="1:7" hidden="1">
      <c r="A3078" s="108"/>
      <c r="B3078" s="985"/>
      <c r="C3078" s="986"/>
      <c r="D3078" s="109"/>
      <c r="E3078" s="254"/>
      <c r="F3078" s="304"/>
      <c r="G3078" s="111"/>
    </row>
    <row r="3079" spans="1:7" ht="15" hidden="1" thickBot="1">
      <c r="A3079" s="98"/>
      <c r="B3079" s="928"/>
      <c r="C3079" s="929"/>
      <c r="D3079" s="99"/>
      <c r="E3079" s="253"/>
      <c r="F3079" s="287"/>
      <c r="G3079" s="102"/>
    </row>
    <row r="3080" spans="1:7" hidden="1">
      <c r="A3080" s="98"/>
      <c r="B3080" s="928"/>
      <c r="C3080" s="929"/>
      <c r="D3080" s="109"/>
      <c r="E3080" s="252"/>
      <c r="F3080" s="304"/>
      <c r="G3080" s="102"/>
    </row>
    <row r="3081" spans="1:7" hidden="1">
      <c r="A3081" s="98"/>
      <c r="B3081" s="928"/>
      <c r="C3081" s="929"/>
      <c r="D3081" s="99"/>
      <c r="E3081" s="253"/>
      <c r="F3081" s="287"/>
      <c r="G3081" s="102"/>
    </row>
    <row r="3082" spans="1:7" ht="15" hidden="1" thickBot="1">
      <c r="A3082" s="996"/>
      <c r="B3082" s="997"/>
      <c r="C3082" s="998"/>
      <c r="D3082" s="981"/>
      <c r="E3082" s="981"/>
      <c r="F3082" s="981"/>
      <c r="G3082" s="13"/>
    </row>
    <row r="3083" spans="1:7" ht="15" hidden="1" thickBot="1">
      <c r="A3083" s="982"/>
      <c r="B3083" s="983"/>
      <c r="C3083" s="983"/>
      <c r="D3083" s="983"/>
      <c r="E3083" s="983"/>
      <c r="F3083" s="983"/>
      <c r="G3083" s="984"/>
    </row>
    <row r="3084" spans="1:7" ht="15" hidden="1" thickBot="1">
      <c r="A3084" s="982"/>
      <c r="B3084" s="913"/>
      <c r="C3084" s="914"/>
      <c r="D3084" s="95"/>
      <c r="E3084" s="242"/>
      <c r="F3084" s="286"/>
      <c r="G3084" s="97"/>
    </row>
    <row r="3085" spans="1:7" ht="15" hidden="1" thickBot="1">
      <c r="A3085" s="103"/>
      <c r="B3085" s="942"/>
      <c r="C3085" s="943"/>
      <c r="D3085" s="104"/>
      <c r="E3085" s="247"/>
      <c r="F3085" s="288"/>
      <c r="G3085" s="106"/>
    </row>
    <row r="3086" spans="1:7" ht="15" hidden="1" thickBot="1">
      <c r="A3086" s="978"/>
      <c r="B3086" s="979"/>
      <c r="C3086" s="980"/>
      <c r="D3086" s="981"/>
      <c r="E3086" s="981"/>
      <c r="F3086" s="981"/>
      <c r="G3086" s="13"/>
    </row>
    <row r="3087" spans="1:7" ht="15" hidden="1" thickBot="1">
      <c r="A3087" s="982"/>
      <c r="B3087" s="983"/>
      <c r="C3087" s="983"/>
      <c r="D3087" s="983"/>
      <c r="E3087" s="983"/>
      <c r="F3087" s="983"/>
      <c r="G3087" s="984"/>
    </row>
    <row r="3088" spans="1:7" ht="15" hidden="1" thickBot="1">
      <c r="A3088" s="982"/>
      <c r="B3088" s="913"/>
      <c r="C3088" s="914"/>
      <c r="D3088" s="95"/>
      <c r="E3088" s="242"/>
      <c r="F3088" s="289"/>
      <c r="G3088" s="97"/>
    </row>
    <row r="3089" spans="1:7" hidden="1">
      <c r="A3089" s="108"/>
      <c r="B3089" s="985"/>
      <c r="C3089" s="986"/>
      <c r="D3089" s="109"/>
      <c r="E3089" s="254"/>
      <c r="F3089" s="290"/>
      <c r="G3089" s="111"/>
    </row>
    <row r="3090" spans="1:7" ht="15" hidden="1" thickBot="1">
      <c r="A3090" s="987"/>
      <c r="B3090" s="988"/>
      <c r="C3090" s="989"/>
      <c r="D3090" s="990"/>
      <c r="E3090" s="990"/>
      <c r="F3090" s="990"/>
      <c r="G3090" s="14"/>
    </row>
    <row r="3091" spans="1:7" ht="18.75" hidden="1" customHeight="1" thickBot="1">
      <c r="A3091" s="991"/>
      <c r="B3091" s="991"/>
      <c r="C3091" s="991"/>
      <c r="D3091" s="992"/>
      <c r="E3091" s="993"/>
      <c r="F3091" s="993"/>
      <c r="G3091" s="112"/>
    </row>
    <row r="3092" spans="1:7" ht="18.75" hidden="1" customHeight="1">
      <c r="A3092" s="49"/>
      <c r="B3092" s="49"/>
      <c r="C3092" s="49"/>
      <c r="D3092" s="49"/>
      <c r="F3092" s="307"/>
      <c r="G3092" s="49"/>
    </row>
    <row r="3093" spans="1:7" hidden="1">
      <c r="A3093" s="49"/>
      <c r="B3093" s="49"/>
      <c r="C3093" s="49"/>
      <c r="D3093" s="49"/>
      <c r="F3093" s="307"/>
      <c r="G3093" s="49"/>
    </row>
    <row r="3094" spans="1:7" ht="15" hidden="1" thickBot="1">
      <c r="A3094" s="1036"/>
      <c r="B3094" s="1037"/>
      <c r="C3094" s="1037"/>
      <c r="D3094" s="1037"/>
      <c r="E3094" s="1037"/>
      <c r="F3094" s="1037"/>
      <c r="G3094" s="1038"/>
    </row>
    <row r="3095" spans="1:7" ht="15" hidden="1" thickBot="1">
      <c r="A3095" s="1006"/>
      <c r="B3095" s="1007"/>
      <c r="C3095" s="1007"/>
      <c r="D3095" s="1007"/>
      <c r="E3095" s="1007"/>
      <c r="F3095" s="272"/>
      <c r="G3095" s="43"/>
    </row>
    <row r="3096" spans="1:7" ht="15" hidden="1" customHeight="1" thickBot="1">
      <c r="A3096" s="1018"/>
      <c r="B3096" s="1019"/>
      <c r="C3096" s="1019"/>
      <c r="D3096" s="1019"/>
      <c r="E3096" s="1020"/>
      <c r="F3096" s="273"/>
      <c r="G3096" s="45"/>
    </row>
    <row r="3097" spans="1:7" ht="15" hidden="1" thickBot="1">
      <c r="A3097" s="1021"/>
      <c r="B3097" s="1022"/>
      <c r="C3097" s="1022"/>
      <c r="D3097" s="1022"/>
      <c r="E3097" s="1023"/>
      <c r="F3097" s="273"/>
      <c r="G3097" s="46"/>
    </row>
    <row r="3098" spans="1:7" ht="15" hidden="1" thickBot="1">
      <c r="A3098" s="1024"/>
      <c r="B3098" s="1025"/>
      <c r="C3098" s="1025"/>
      <c r="D3098" s="1025"/>
      <c r="E3098" s="1026"/>
      <c r="F3098" s="274"/>
      <c r="G3098" s="48"/>
    </row>
    <row r="3099" spans="1:7" ht="15" hidden="1" thickBot="1">
      <c r="A3099" s="1008"/>
      <c r="B3099" s="1009"/>
      <c r="C3099" s="1009"/>
      <c r="D3099" s="1009"/>
      <c r="E3099" s="1009"/>
      <c r="F3099" s="1009"/>
      <c r="G3099" s="1010"/>
    </row>
    <row r="3100" spans="1:7" ht="15" hidden="1" thickBot="1">
      <c r="A3100" s="982"/>
      <c r="B3100" s="913"/>
      <c r="C3100" s="914"/>
      <c r="D3100" s="95"/>
      <c r="E3100" s="242"/>
      <c r="F3100" s="286"/>
      <c r="G3100" s="97"/>
    </row>
    <row r="3101" spans="1:7" hidden="1">
      <c r="A3101" s="87"/>
      <c r="B3101" s="930"/>
      <c r="C3101" s="931"/>
      <c r="D3101" s="88"/>
      <c r="E3101" s="251"/>
      <c r="F3101" s="284"/>
      <c r="G3101" s="90"/>
    </row>
    <row r="3102" spans="1:7" hidden="1">
      <c r="A3102" s="91"/>
      <c r="B3102" s="968"/>
      <c r="C3102" s="969"/>
      <c r="D3102" s="92"/>
      <c r="E3102" s="252"/>
      <c r="F3102" s="285"/>
      <c r="G3102" s="94"/>
    </row>
    <row r="3103" spans="1:7" hidden="1">
      <c r="A3103" s="91"/>
      <c r="B3103" s="968"/>
      <c r="C3103" s="969"/>
      <c r="D3103" s="92"/>
      <c r="E3103" s="252"/>
      <c r="F3103" s="285"/>
      <c r="G3103" s="94"/>
    </row>
    <row r="3104" spans="1:7" ht="15" hidden="1" thickBot="1">
      <c r="A3104" s="994"/>
      <c r="B3104" s="995"/>
      <c r="C3104" s="995"/>
      <c r="D3104" s="981"/>
      <c r="E3104" s="981"/>
      <c r="F3104" s="981"/>
      <c r="G3104" s="13"/>
    </row>
    <row r="3105" spans="1:7" ht="15" hidden="1" thickBot="1">
      <c r="A3105" s="982"/>
      <c r="B3105" s="983"/>
      <c r="C3105" s="983"/>
      <c r="D3105" s="983"/>
      <c r="E3105" s="983"/>
      <c r="F3105" s="983"/>
      <c r="G3105" s="984"/>
    </row>
    <row r="3106" spans="1:7" ht="15" hidden="1" thickBot="1">
      <c r="A3106" s="982"/>
      <c r="B3106" s="913"/>
      <c r="C3106" s="914"/>
      <c r="D3106" s="95"/>
      <c r="E3106" s="242"/>
      <c r="F3106" s="286"/>
      <c r="G3106" s="97"/>
    </row>
    <row r="3107" spans="1:7" hidden="1">
      <c r="A3107" s="108"/>
      <c r="B3107" s="985"/>
      <c r="C3107" s="986"/>
      <c r="D3107" s="109"/>
      <c r="E3107" s="254"/>
      <c r="F3107" s="304"/>
      <c r="G3107" s="111"/>
    </row>
    <row r="3108" spans="1:7" ht="15" hidden="1" thickBot="1">
      <c r="A3108" s="98"/>
      <c r="B3108" s="928"/>
      <c r="C3108" s="929"/>
      <c r="D3108" s="92"/>
      <c r="E3108" s="252"/>
      <c r="F3108" s="287"/>
      <c r="G3108" s="102"/>
    </row>
    <row r="3109" spans="1:7" hidden="1">
      <c r="A3109" s="98"/>
      <c r="B3109" s="985"/>
      <c r="C3109" s="986"/>
      <c r="D3109" s="109"/>
      <c r="E3109" s="254"/>
      <c r="F3109" s="304"/>
      <c r="G3109" s="102"/>
    </row>
    <row r="3110" spans="1:7" ht="15" hidden="1" thickBot="1">
      <c r="A3110" s="996"/>
      <c r="B3110" s="997"/>
      <c r="C3110" s="998"/>
      <c r="D3110" s="981"/>
      <c r="E3110" s="981"/>
      <c r="F3110" s="981"/>
      <c r="G3110" s="13"/>
    </row>
    <row r="3111" spans="1:7" ht="15" hidden="1" thickBot="1">
      <c r="A3111" s="982"/>
      <c r="B3111" s="983"/>
      <c r="C3111" s="983"/>
      <c r="D3111" s="983"/>
      <c r="E3111" s="983"/>
      <c r="F3111" s="983"/>
      <c r="G3111" s="984"/>
    </row>
    <row r="3112" spans="1:7" ht="15" hidden="1" thickBot="1">
      <c r="A3112" s="982"/>
      <c r="B3112" s="913"/>
      <c r="C3112" s="914"/>
      <c r="D3112" s="95"/>
      <c r="E3112" s="242"/>
      <c r="F3112" s="286"/>
      <c r="G3112" s="97"/>
    </row>
    <row r="3113" spans="1:7" ht="15" hidden="1" thickBot="1">
      <c r="A3113" s="103"/>
      <c r="B3113" s="942"/>
      <c r="C3113" s="943"/>
      <c r="D3113" s="104"/>
      <c r="E3113" s="247"/>
      <c r="F3113" s="288"/>
      <c r="G3113" s="106"/>
    </row>
    <row r="3114" spans="1:7" ht="15" hidden="1" thickBot="1">
      <c r="A3114" s="978"/>
      <c r="B3114" s="979"/>
      <c r="C3114" s="980"/>
      <c r="D3114" s="981"/>
      <c r="E3114" s="981"/>
      <c r="F3114" s="981"/>
      <c r="G3114" s="13"/>
    </row>
    <row r="3115" spans="1:7" ht="15" hidden="1" thickBot="1">
      <c r="A3115" s="982"/>
      <c r="B3115" s="983"/>
      <c r="C3115" s="983"/>
      <c r="D3115" s="983"/>
      <c r="E3115" s="983"/>
      <c r="F3115" s="983"/>
      <c r="G3115" s="984"/>
    </row>
    <row r="3116" spans="1:7" ht="15" hidden="1" thickBot="1">
      <c r="A3116" s="982"/>
      <c r="B3116" s="913"/>
      <c r="C3116" s="914"/>
      <c r="D3116" s="95"/>
      <c r="E3116" s="242"/>
      <c r="F3116" s="289"/>
      <c r="G3116" s="97"/>
    </row>
    <row r="3117" spans="1:7" hidden="1">
      <c r="A3117" s="108"/>
      <c r="B3117" s="985"/>
      <c r="C3117" s="986"/>
      <c r="D3117" s="109"/>
      <c r="E3117" s="254"/>
      <c r="F3117" s="290"/>
      <c r="G3117" s="111"/>
    </row>
    <row r="3118" spans="1:7" ht="15" hidden="1" thickBot="1">
      <c r="A3118" s="987"/>
      <c r="B3118" s="988"/>
      <c r="C3118" s="989"/>
      <c r="D3118" s="990"/>
      <c r="E3118" s="990"/>
      <c r="F3118" s="990"/>
      <c r="G3118" s="14"/>
    </row>
    <row r="3119" spans="1:7" ht="15" hidden="1" thickBot="1">
      <c r="A3119" s="991"/>
      <c r="B3119" s="991"/>
      <c r="C3119" s="991"/>
      <c r="D3119" s="992"/>
      <c r="E3119" s="993"/>
      <c r="F3119" s="993"/>
      <c r="G3119" s="112"/>
    </row>
    <row r="3120" spans="1:7" ht="15" hidden="1" thickBot="1">
      <c r="A3120" s="49"/>
      <c r="B3120" s="49"/>
      <c r="C3120" s="49"/>
      <c r="D3120" s="49"/>
      <c r="F3120" s="307"/>
      <c r="G3120" s="49"/>
    </row>
    <row r="3121" spans="1:7" ht="18.75" hidden="1" customHeight="1" thickBot="1">
      <c r="A3121" s="1027"/>
      <c r="B3121" s="1028"/>
      <c r="C3121" s="1028"/>
      <c r="D3121" s="1028"/>
      <c r="E3121" s="1028"/>
      <c r="F3121" s="1028"/>
      <c r="G3121" s="1029"/>
    </row>
    <row r="3122" spans="1:7" s="7" customFormat="1" ht="13.5" hidden="1" thickBot="1">
      <c r="A3122" s="950"/>
      <c r="B3122" s="951"/>
      <c r="C3122" s="951"/>
      <c r="D3122" s="951"/>
      <c r="E3122" s="952"/>
      <c r="F3122" s="272"/>
      <c r="G3122" s="43"/>
    </row>
    <row r="3123" spans="1:7" ht="15.75" hidden="1" customHeight="1" thickBot="1">
      <c r="A3123" s="1018"/>
      <c r="B3123" s="1019"/>
      <c r="C3123" s="1019"/>
      <c r="D3123" s="1019"/>
      <c r="E3123" s="1020"/>
      <c r="F3123" s="273"/>
      <c r="G3123" s="45"/>
    </row>
    <row r="3124" spans="1:7" ht="15.75" hidden="1" customHeight="1" thickBot="1">
      <c r="A3124" s="1021"/>
      <c r="B3124" s="1022"/>
      <c r="C3124" s="1022"/>
      <c r="D3124" s="1022"/>
      <c r="E3124" s="1023"/>
      <c r="F3124" s="273"/>
      <c r="G3124" s="46"/>
    </row>
    <row r="3125" spans="1:7" ht="15" hidden="1" customHeight="1" thickBot="1">
      <c r="A3125" s="1024"/>
      <c r="B3125" s="1025"/>
      <c r="C3125" s="1025"/>
      <c r="D3125" s="1025"/>
      <c r="E3125" s="1026"/>
      <c r="F3125" s="274"/>
      <c r="G3125" s="48"/>
    </row>
    <row r="3126" spans="1:7" ht="15.75" hidden="1" customHeight="1" thickBot="1">
      <c r="A3126" s="962"/>
      <c r="B3126" s="963"/>
      <c r="C3126" s="964"/>
      <c r="D3126" s="964"/>
      <c r="E3126" s="964"/>
      <c r="F3126" s="964"/>
      <c r="G3126" s="965"/>
    </row>
    <row r="3127" spans="1:7" ht="15.75" hidden="1" customHeight="1" collapsed="1" thickBot="1">
      <c r="A3127" s="909"/>
      <c r="B3127" s="913"/>
      <c r="C3127" s="914"/>
      <c r="D3127" s="95"/>
      <c r="E3127" s="242"/>
      <c r="F3127" s="286"/>
      <c r="G3127" s="113"/>
    </row>
    <row r="3128" spans="1:7" ht="17.25" hidden="1" customHeight="1" thickBot="1">
      <c r="A3128" s="114"/>
      <c r="B3128" s="966"/>
      <c r="C3128" s="967"/>
      <c r="D3128" s="88"/>
      <c r="E3128" s="251"/>
      <c r="F3128" s="284"/>
      <c r="G3128" s="117"/>
    </row>
    <row r="3129" spans="1:7" ht="16.5" hidden="1" customHeight="1">
      <c r="A3129" s="154"/>
      <c r="B3129" s="968"/>
      <c r="C3129" s="969"/>
      <c r="D3129" s="171"/>
      <c r="E3129" s="260"/>
      <c r="F3129" s="285"/>
      <c r="G3129" s="149"/>
    </row>
    <row r="3130" spans="1:7" ht="15.75" hidden="1" customHeight="1" thickBot="1">
      <c r="A3130" s="970"/>
      <c r="B3130" s="971"/>
      <c r="C3130" s="972"/>
      <c r="D3130" s="973"/>
      <c r="E3130" s="974"/>
      <c r="F3130" s="975"/>
      <c r="G3130" s="11"/>
    </row>
    <row r="3131" spans="1:7" ht="15.75" hidden="1" customHeight="1" thickBot="1">
      <c r="A3131" s="908"/>
      <c r="B3131" s="910"/>
      <c r="C3131" s="911"/>
      <c r="D3131" s="911"/>
      <c r="E3131" s="911"/>
      <c r="F3131" s="911"/>
      <c r="G3131" s="912"/>
    </row>
    <row r="3132" spans="1:7" ht="15.75" hidden="1" customHeight="1" thickBot="1">
      <c r="A3132" s="909"/>
      <c r="B3132" s="913"/>
      <c r="C3132" s="914"/>
      <c r="D3132" s="95"/>
      <c r="E3132" s="242"/>
      <c r="F3132" s="286"/>
      <c r="G3132" s="113"/>
    </row>
    <row r="3133" spans="1:7" ht="15" hidden="1" customHeight="1" thickBot="1">
      <c r="A3133" s="122"/>
      <c r="B3133" s="976"/>
      <c r="C3133" s="977"/>
      <c r="D3133" s="88"/>
      <c r="E3133" s="251"/>
      <c r="F3133" s="284"/>
      <c r="G3133" s="149"/>
    </row>
    <row r="3134" spans="1:7" ht="15" hidden="1" customHeight="1" thickBot="1">
      <c r="A3134" s="155"/>
      <c r="B3134" s="930"/>
      <c r="C3134" s="931"/>
      <c r="D3134" s="88"/>
      <c r="E3134" s="251"/>
      <c r="F3134" s="284"/>
      <c r="G3134" s="149"/>
    </row>
    <row r="3135" spans="1:7" ht="16.5" hidden="1" customHeight="1" thickBot="1">
      <c r="A3135" s="178"/>
      <c r="B3135" s="926"/>
      <c r="C3135" s="927"/>
      <c r="D3135" s="88"/>
      <c r="E3135" s="261"/>
      <c r="F3135" s="305"/>
      <c r="G3135" s="181"/>
    </row>
    <row r="3136" spans="1:7" ht="17.25" hidden="1" customHeight="1" thickBot="1">
      <c r="A3136" s="122"/>
      <c r="B3136" s="930"/>
      <c r="C3136" s="931"/>
      <c r="D3136" s="88"/>
      <c r="E3136" s="251"/>
      <c r="F3136" s="284"/>
      <c r="G3136" s="149"/>
    </row>
    <row r="3137" spans="1:7" ht="15" hidden="1" thickBot="1">
      <c r="A3137" s="155"/>
      <c r="B3137" s="930"/>
      <c r="C3137" s="931"/>
      <c r="D3137" s="88"/>
      <c r="E3137" s="251"/>
      <c r="F3137" s="284"/>
      <c r="G3137" s="149"/>
    </row>
    <row r="3138" spans="1:7" ht="15" hidden="1" thickBot="1">
      <c r="A3138" s="178"/>
      <c r="B3138" s="930"/>
      <c r="C3138" s="931"/>
      <c r="D3138" s="88"/>
      <c r="E3138" s="251"/>
      <c r="F3138" s="284"/>
      <c r="G3138" s="149"/>
    </row>
    <row r="3139" spans="1:7" ht="15.75" hidden="1" customHeight="1" thickBot="1">
      <c r="A3139" s="178"/>
      <c r="B3139" s="976"/>
      <c r="C3139" s="977"/>
      <c r="D3139" s="88"/>
      <c r="E3139" s="251"/>
      <c r="F3139" s="305"/>
      <c r="G3139" s="181"/>
    </row>
    <row r="3140" spans="1:7" ht="15.75" hidden="1" customHeight="1" thickBot="1">
      <c r="A3140" s="932"/>
      <c r="B3140" s="933"/>
      <c r="C3140" s="934"/>
      <c r="D3140" s="935"/>
      <c r="E3140" s="936"/>
      <c r="F3140" s="937"/>
      <c r="G3140" s="18"/>
    </row>
    <row r="3141" spans="1:7" ht="22.5" hidden="1" customHeight="1" thickBot="1">
      <c r="A3141" s="908"/>
      <c r="B3141" s="910"/>
      <c r="C3141" s="911"/>
      <c r="D3141" s="911"/>
      <c r="E3141" s="911"/>
      <c r="F3141" s="911"/>
      <c r="G3141" s="912"/>
    </row>
    <row r="3142" spans="1:7" ht="15.75" hidden="1" customHeight="1" thickBot="1">
      <c r="A3142" s="909"/>
      <c r="B3142" s="913"/>
      <c r="C3142" s="914"/>
      <c r="D3142" s="95"/>
      <c r="E3142" s="242"/>
      <c r="F3142" s="286"/>
      <c r="G3142" s="113"/>
    </row>
    <row r="3143" spans="1:7" ht="15.75" hidden="1" customHeight="1" thickBot="1">
      <c r="A3143" s="130"/>
      <c r="B3143" s="942"/>
      <c r="C3143" s="943"/>
      <c r="D3143" s="104"/>
      <c r="E3143" s="247"/>
      <c r="F3143" s="284"/>
      <c r="G3143" s="131"/>
    </row>
    <row r="3144" spans="1:7" ht="15" hidden="1" customHeight="1" thickBot="1">
      <c r="A3144" s="130"/>
      <c r="B3144" s="940"/>
      <c r="C3144" s="941"/>
      <c r="D3144" s="157"/>
      <c r="E3144" s="259"/>
      <c r="F3144" s="288"/>
      <c r="G3144" s="131"/>
    </row>
    <row r="3145" spans="1:7" ht="16.5" hidden="1" customHeight="1" thickBot="1">
      <c r="A3145" s="944"/>
      <c r="B3145" s="945"/>
      <c r="C3145" s="946"/>
      <c r="D3145" s="947"/>
      <c r="E3145" s="948"/>
      <c r="F3145" s="949"/>
      <c r="G3145" s="11"/>
    </row>
    <row r="3146" spans="1:7" ht="17.25" hidden="1" customHeight="1" thickBot="1">
      <c r="A3146" s="908"/>
      <c r="B3146" s="910"/>
      <c r="C3146" s="911"/>
      <c r="D3146" s="911"/>
      <c r="E3146" s="911"/>
      <c r="F3146" s="911"/>
      <c r="G3146" s="912"/>
    </row>
    <row r="3147" spans="1:7" ht="15" hidden="1" customHeight="1" thickBot="1">
      <c r="A3147" s="909"/>
      <c r="B3147" s="913"/>
      <c r="C3147" s="914"/>
      <c r="D3147" s="95"/>
      <c r="E3147" s="242"/>
      <c r="F3147" s="286"/>
      <c r="G3147" s="113"/>
    </row>
    <row r="3148" spans="1:7" ht="15" hidden="1" thickBot="1">
      <c r="A3148" s="122"/>
      <c r="B3148" s="160"/>
      <c r="C3148" s="161"/>
      <c r="D3148" s="109"/>
      <c r="E3148" s="254"/>
      <c r="F3148" s="304"/>
      <c r="G3148" s="129"/>
    </row>
    <row r="3149" spans="1:7" ht="15" hidden="1" thickBot="1">
      <c r="A3149" s="915"/>
      <c r="B3149" s="916"/>
      <c r="C3149" s="917"/>
      <c r="D3149" s="918"/>
      <c r="E3149" s="919"/>
      <c r="F3149" s="920"/>
      <c r="G3149" s="12"/>
    </row>
    <row r="3150" spans="1:7" ht="15" hidden="1" thickBot="1">
      <c r="A3150" s="921"/>
      <c r="B3150" s="922"/>
      <c r="C3150" s="922"/>
      <c r="D3150" s="923"/>
      <c r="E3150" s="924"/>
      <c r="F3150" s="925"/>
      <c r="G3150" s="112"/>
    </row>
    <row r="3151" spans="1:7" hidden="1">
      <c r="A3151" s="40"/>
      <c r="B3151" s="40"/>
      <c r="C3151" s="40"/>
      <c r="D3151" s="146"/>
      <c r="E3151" s="250"/>
      <c r="F3151" s="298"/>
      <c r="G3151" s="147"/>
    </row>
    <row r="3152" spans="1:7" hidden="1">
      <c r="A3152" s="49"/>
      <c r="B3152" s="49"/>
      <c r="C3152" s="49"/>
      <c r="D3152" s="49"/>
      <c r="F3152" s="307"/>
      <c r="G3152" s="49"/>
    </row>
    <row r="3153" spans="1:7" ht="15" hidden="1" thickBot="1">
      <c r="A3153" s="1036"/>
      <c r="B3153" s="1037"/>
      <c r="C3153" s="1037"/>
      <c r="D3153" s="1037"/>
      <c r="E3153" s="1037"/>
      <c r="F3153" s="1037"/>
      <c r="G3153" s="1038"/>
    </row>
    <row r="3154" spans="1:7" ht="15" hidden="1" thickBot="1">
      <c r="A3154" s="1006"/>
      <c r="B3154" s="1007"/>
      <c r="C3154" s="1007"/>
      <c r="D3154" s="1007"/>
      <c r="E3154" s="1007"/>
      <c r="F3154" s="272"/>
      <c r="G3154" s="43"/>
    </row>
    <row r="3155" spans="1:7" ht="15" hidden="1" customHeight="1" thickBot="1">
      <c r="A3155" s="1018"/>
      <c r="B3155" s="1019"/>
      <c r="C3155" s="1019"/>
      <c r="D3155" s="1019"/>
      <c r="E3155" s="1020"/>
      <c r="F3155" s="273"/>
      <c r="G3155" s="45"/>
    </row>
    <row r="3156" spans="1:7" ht="15" hidden="1" thickBot="1">
      <c r="A3156" s="1021"/>
      <c r="B3156" s="1022"/>
      <c r="C3156" s="1022"/>
      <c r="D3156" s="1022"/>
      <c r="E3156" s="1023"/>
      <c r="F3156" s="273"/>
      <c r="G3156" s="46"/>
    </row>
    <row r="3157" spans="1:7" ht="18.75" hidden="1" customHeight="1" thickBot="1">
      <c r="A3157" s="1024"/>
      <c r="B3157" s="1025"/>
      <c r="C3157" s="1025"/>
      <c r="D3157" s="1025"/>
      <c r="E3157" s="1026"/>
      <c r="F3157" s="274"/>
      <c r="G3157" s="48"/>
    </row>
    <row r="3158" spans="1:7" ht="18.75" hidden="1" customHeight="1" thickBot="1">
      <c r="A3158" s="1008"/>
      <c r="B3158" s="1009"/>
      <c r="C3158" s="1009"/>
      <c r="D3158" s="1009"/>
      <c r="E3158" s="1009"/>
      <c r="F3158" s="1009"/>
      <c r="G3158" s="1010"/>
    </row>
    <row r="3159" spans="1:7" s="7" customFormat="1" ht="13.5" hidden="1" thickBot="1">
      <c r="A3159" s="982"/>
      <c r="B3159" s="913"/>
      <c r="C3159" s="914"/>
      <c r="D3159" s="95"/>
      <c r="E3159" s="242"/>
      <c r="F3159" s="286"/>
      <c r="G3159" s="97"/>
    </row>
    <row r="3160" spans="1:7" hidden="1">
      <c r="A3160" s="87"/>
      <c r="B3160" s="930"/>
      <c r="C3160" s="931"/>
      <c r="D3160" s="88"/>
      <c r="E3160" s="251"/>
      <c r="F3160" s="284"/>
      <c r="G3160" s="90"/>
    </row>
    <row r="3161" spans="1:7" hidden="1">
      <c r="A3161" s="91"/>
      <c r="B3161" s="968"/>
      <c r="C3161" s="969"/>
      <c r="D3161" s="92"/>
      <c r="E3161" s="252"/>
      <c r="F3161" s="285"/>
      <c r="G3161" s="94"/>
    </row>
    <row r="3162" spans="1:7" ht="15" hidden="1" customHeight="1" thickBot="1">
      <c r="A3162" s="994"/>
      <c r="B3162" s="995"/>
      <c r="C3162" s="995"/>
      <c r="D3162" s="981"/>
      <c r="E3162" s="981"/>
      <c r="F3162" s="981"/>
      <c r="G3162" s="13"/>
    </row>
    <row r="3163" spans="1:7" ht="15" hidden="1" thickBot="1">
      <c r="A3163" s="982"/>
      <c r="B3163" s="983"/>
      <c r="C3163" s="983"/>
      <c r="D3163" s="983"/>
      <c r="E3163" s="983"/>
      <c r="F3163" s="983"/>
      <c r="G3163" s="984"/>
    </row>
    <row r="3164" spans="1:7" ht="15" hidden="1" thickBot="1">
      <c r="A3164" s="982"/>
      <c r="B3164" s="913"/>
      <c r="C3164" s="914"/>
      <c r="D3164" s="95"/>
      <c r="E3164" s="242"/>
      <c r="F3164" s="286"/>
      <c r="G3164" s="97"/>
    </row>
    <row r="3165" spans="1:7" hidden="1">
      <c r="A3165" s="108"/>
      <c r="B3165" s="985"/>
      <c r="C3165" s="986"/>
      <c r="D3165" s="109"/>
      <c r="E3165" s="254"/>
      <c r="F3165" s="304"/>
      <c r="G3165" s="111"/>
    </row>
    <row r="3166" spans="1:7" hidden="1">
      <c r="A3166" s="98"/>
      <c r="B3166" s="928"/>
      <c r="C3166" s="929"/>
      <c r="D3166" s="92"/>
      <c r="E3166" s="252"/>
      <c r="F3166" s="287"/>
      <c r="G3166" s="102"/>
    </row>
    <row r="3167" spans="1:7" ht="15" hidden="1" thickBot="1">
      <c r="A3167" s="98"/>
      <c r="B3167" s="928"/>
      <c r="C3167" s="929"/>
      <c r="D3167" s="99"/>
      <c r="E3167" s="253"/>
      <c r="F3167" s="287"/>
      <c r="G3167" s="102"/>
    </row>
    <row r="3168" spans="1:7" hidden="1">
      <c r="A3168" s="98"/>
      <c r="B3168" s="985"/>
      <c r="C3168" s="986"/>
      <c r="D3168" s="92"/>
      <c r="E3168" s="252"/>
      <c r="F3168" s="287"/>
      <c r="G3168" s="102"/>
    </row>
    <row r="3169" spans="1:7" hidden="1">
      <c r="A3169" s="98"/>
      <c r="B3169" s="928"/>
      <c r="C3169" s="929"/>
      <c r="D3169" s="92"/>
      <c r="E3169" s="252"/>
      <c r="F3169" s="287"/>
      <c r="G3169" s="102"/>
    </row>
    <row r="3170" spans="1:7" hidden="1">
      <c r="A3170" s="98"/>
      <c r="B3170" s="928"/>
      <c r="C3170" s="929"/>
      <c r="D3170" s="99"/>
      <c r="E3170" s="253"/>
      <c r="F3170" s="287"/>
      <c r="G3170" s="102"/>
    </row>
    <row r="3171" spans="1:7" hidden="1">
      <c r="A3171" s="98"/>
      <c r="B3171" s="928"/>
      <c r="C3171" s="929"/>
      <c r="D3171" s="92"/>
      <c r="E3171" s="252"/>
      <c r="F3171" s="287"/>
      <c r="G3171" s="102"/>
    </row>
    <row r="3172" spans="1:7" hidden="1">
      <c r="A3172" s="98"/>
      <c r="B3172" s="928"/>
      <c r="C3172" s="929"/>
      <c r="D3172" s="99"/>
      <c r="E3172" s="253"/>
      <c r="F3172" s="287"/>
      <c r="G3172" s="102"/>
    </row>
    <row r="3173" spans="1:7" ht="15" hidden="1" thickBot="1">
      <c r="A3173" s="996"/>
      <c r="B3173" s="997"/>
      <c r="C3173" s="998"/>
      <c r="D3173" s="981"/>
      <c r="E3173" s="981"/>
      <c r="F3173" s="981"/>
      <c r="G3173" s="13"/>
    </row>
    <row r="3174" spans="1:7" ht="22.5" hidden="1" customHeight="1" thickBot="1">
      <c r="A3174" s="982"/>
      <c r="B3174" s="983"/>
      <c r="C3174" s="983"/>
      <c r="D3174" s="983"/>
      <c r="E3174" s="983"/>
      <c r="F3174" s="983"/>
      <c r="G3174" s="984"/>
    </row>
    <row r="3175" spans="1:7" ht="15" hidden="1" thickBot="1">
      <c r="A3175" s="982"/>
      <c r="B3175" s="913"/>
      <c r="C3175" s="914"/>
      <c r="D3175" s="95"/>
      <c r="E3175" s="242"/>
      <c r="F3175" s="286"/>
      <c r="G3175" s="97"/>
    </row>
    <row r="3176" spans="1:7" ht="15" hidden="1" thickBot="1">
      <c r="A3176" s="103"/>
      <c r="B3176" s="942"/>
      <c r="C3176" s="943"/>
      <c r="D3176" s="104"/>
      <c r="E3176" s="247"/>
      <c r="F3176" s="284"/>
      <c r="G3176" s="131"/>
    </row>
    <row r="3177" spans="1:7" ht="15" hidden="1" thickBot="1">
      <c r="A3177" s="224"/>
      <c r="B3177" s="940"/>
      <c r="C3177" s="941"/>
      <c r="D3177" s="157"/>
      <c r="E3177" s="259"/>
      <c r="F3177" s="288"/>
      <c r="G3177" s="131"/>
    </row>
    <row r="3178" spans="1:7" ht="15" hidden="1" thickBot="1">
      <c r="A3178" s="978"/>
      <c r="B3178" s="979"/>
      <c r="C3178" s="980"/>
      <c r="D3178" s="981"/>
      <c r="E3178" s="981"/>
      <c r="F3178" s="981"/>
      <c r="G3178" s="13"/>
    </row>
    <row r="3179" spans="1:7" ht="15" hidden="1" thickBot="1">
      <c r="A3179" s="982"/>
      <c r="B3179" s="983"/>
      <c r="C3179" s="983"/>
      <c r="D3179" s="983"/>
      <c r="E3179" s="983"/>
      <c r="F3179" s="983"/>
      <c r="G3179" s="984"/>
    </row>
    <row r="3180" spans="1:7" ht="22.5" hidden="1" customHeight="1" thickBot="1">
      <c r="A3180" s="982"/>
      <c r="B3180" s="913"/>
      <c r="C3180" s="914"/>
      <c r="D3180" s="95"/>
      <c r="E3180" s="242"/>
      <c r="F3180" s="289"/>
      <c r="G3180" s="97"/>
    </row>
    <row r="3181" spans="1:7" hidden="1">
      <c r="A3181" s="108"/>
      <c r="B3181" s="985"/>
      <c r="C3181" s="986"/>
      <c r="D3181" s="109"/>
      <c r="E3181" s="254"/>
      <c r="F3181" s="290"/>
      <c r="G3181" s="111"/>
    </row>
    <row r="3182" spans="1:7" ht="15" hidden="1" thickBot="1">
      <c r="A3182" s="987"/>
      <c r="B3182" s="988"/>
      <c r="C3182" s="989"/>
      <c r="D3182" s="990"/>
      <c r="E3182" s="990"/>
      <c r="F3182" s="990"/>
      <c r="G3182" s="14"/>
    </row>
    <row r="3183" spans="1:7" ht="22.5" hidden="1" customHeight="1" thickBot="1">
      <c r="A3183" s="991"/>
      <c r="B3183" s="991"/>
      <c r="C3183" s="991"/>
      <c r="D3183" s="992"/>
      <c r="E3183" s="993"/>
      <c r="F3183" s="993"/>
      <c r="G3183" s="112"/>
    </row>
    <row r="3184" spans="1:7" hidden="1">
      <c r="A3184" s="49"/>
      <c r="B3184" s="49"/>
      <c r="C3184" s="49"/>
      <c r="D3184" s="49"/>
      <c r="F3184" s="307"/>
      <c r="G3184" s="49"/>
    </row>
    <row r="3185" spans="1:7" hidden="1">
      <c r="A3185" s="49"/>
      <c r="B3185" s="49"/>
      <c r="C3185" s="49"/>
      <c r="D3185" s="49"/>
      <c r="F3185" s="307"/>
      <c r="G3185" s="49"/>
    </row>
    <row r="3186" spans="1:7" ht="15" hidden="1" thickBot="1">
      <c r="A3186" s="1036"/>
      <c r="B3186" s="1037"/>
      <c r="C3186" s="1037"/>
      <c r="D3186" s="1037"/>
      <c r="E3186" s="1037"/>
      <c r="F3186" s="1037"/>
      <c r="G3186" s="1038"/>
    </row>
    <row r="3187" spans="1:7" ht="15" hidden="1" thickBot="1">
      <c r="A3187" s="1006"/>
      <c r="B3187" s="1007"/>
      <c r="C3187" s="1007"/>
      <c r="D3187" s="1007"/>
      <c r="E3187" s="1007"/>
      <c r="F3187" s="272"/>
      <c r="G3187" s="43"/>
    </row>
    <row r="3188" spans="1:7" ht="15" hidden="1" customHeight="1" thickBot="1">
      <c r="A3188" s="1018"/>
      <c r="B3188" s="1019"/>
      <c r="C3188" s="1019"/>
      <c r="D3188" s="1019"/>
      <c r="E3188" s="1020"/>
      <c r="F3188" s="273"/>
      <c r="G3188" s="45"/>
    </row>
    <row r="3189" spans="1:7" ht="15" hidden="1" thickBot="1">
      <c r="A3189" s="1021"/>
      <c r="B3189" s="1022"/>
      <c r="C3189" s="1022"/>
      <c r="D3189" s="1022"/>
      <c r="E3189" s="1023"/>
      <c r="F3189" s="273"/>
      <c r="G3189" s="46"/>
    </row>
    <row r="3190" spans="1:7" ht="18.75" hidden="1" customHeight="1" thickBot="1">
      <c r="A3190" s="1024"/>
      <c r="B3190" s="1025"/>
      <c r="C3190" s="1025"/>
      <c r="D3190" s="1025"/>
      <c r="E3190" s="1026"/>
      <c r="F3190" s="274"/>
      <c r="G3190" s="48"/>
    </row>
    <row r="3191" spans="1:7" ht="18.75" hidden="1" customHeight="1" thickBot="1">
      <c r="A3191" s="1008"/>
      <c r="B3191" s="1009"/>
      <c r="C3191" s="1009"/>
      <c r="D3191" s="1009"/>
      <c r="E3191" s="1009"/>
      <c r="F3191" s="1009"/>
      <c r="G3191" s="1010"/>
    </row>
    <row r="3192" spans="1:7" s="7" customFormat="1" ht="13.5" hidden="1" thickBot="1">
      <c r="A3192" s="982"/>
      <c r="B3192" s="913"/>
      <c r="C3192" s="914"/>
      <c r="D3192" s="95"/>
      <c r="E3192" s="242"/>
      <c r="F3192" s="286"/>
      <c r="G3192" s="97"/>
    </row>
    <row r="3193" spans="1:7" hidden="1">
      <c r="A3193" s="87"/>
      <c r="B3193" s="930"/>
      <c r="C3193" s="931"/>
      <c r="D3193" s="88"/>
      <c r="E3193" s="251"/>
      <c r="F3193" s="284"/>
      <c r="G3193" s="90"/>
    </row>
    <row r="3194" spans="1:7" hidden="1">
      <c r="A3194" s="91"/>
      <c r="B3194" s="968"/>
      <c r="C3194" s="969"/>
      <c r="D3194" s="92"/>
      <c r="E3194" s="252"/>
      <c r="F3194" s="285"/>
      <c r="G3194" s="94"/>
    </row>
    <row r="3195" spans="1:7" ht="15" hidden="1" customHeight="1" thickBot="1">
      <c r="A3195" s="994"/>
      <c r="B3195" s="995"/>
      <c r="C3195" s="995"/>
      <c r="D3195" s="981"/>
      <c r="E3195" s="981"/>
      <c r="F3195" s="981"/>
      <c r="G3195" s="13"/>
    </row>
    <row r="3196" spans="1:7" ht="15" hidden="1" thickBot="1">
      <c r="A3196" s="982"/>
      <c r="B3196" s="983"/>
      <c r="C3196" s="983"/>
      <c r="D3196" s="983"/>
      <c r="E3196" s="983"/>
      <c r="F3196" s="983"/>
      <c r="G3196" s="984"/>
    </row>
    <row r="3197" spans="1:7" ht="15" hidden="1" thickBot="1">
      <c r="A3197" s="982"/>
      <c r="B3197" s="913"/>
      <c r="C3197" s="914"/>
      <c r="D3197" s="95"/>
      <c r="E3197" s="242"/>
      <c r="F3197" s="286"/>
      <c r="G3197" s="97"/>
    </row>
    <row r="3198" spans="1:7" hidden="1">
      <c r="A3198" s="108"/>
      <c r="B3198" s="985"/>
      <c r="C3198" s="986"/>
      <c r="D3198" s="109"/>
      <c r="E3198" s="254"/>
      <c r="F3198" s="304"/>
      <c r="G3198" s="111"/>
    </row>
    <row r="3199" spans="1:7" hidden="1">
      <c r="A3199" s="98"/>
      <c r="B3199" s="928"/>
      <c r="C3199" s="929"/>
      <c r="D3199" s="92"/>
      <c r="E3199" s="252"/>
      <c r="F3199" s="287"/>
      <c r="G3199" s="102"/>
    </row>
    <row r="3200" spans="1:7" ht="15" hidden="1" thickBot="1">
      <c r="A3200" s="996"/>
      <c r="B3200" s="997"/>
      <c r="C3200" s="998"/>
      <c r="D3200" s="981"/>
      <c r="E3200" s="981"/>
      <c r="F3200" s="981"/>
      <c r="G3200" s="13"/>
    </row>
    <row r="3201" spans="1:7" ht="22.5" hidden="1" customHeight="1" thickBot="1">
      <c r="A3201" s="982"/>
      <c r="B3201" s="983"/>
      <c r="C3201" s="983"/>
      <c r="D3201" s="983"/>
      <c r="E3201" s="983"/>
      <c r="F3201" s="983"/>
      <c r="G3201" s="984"/>
    </row>
    <row r="3202" spans="1:7" ht="15" hidden="1" thickBot="1">
      <c r="A3202" s="982"/>
      <c r="B3202" s="913"/>
      <c r="C3202" s="914"/>
      <c r="D3202" s="95"/>
      <c r="E3202" s="242"/>
      <c r="F3202" s="286"/>
      <c r="G3202" s="97"/>
    </row>
    <row r="3203" spans="1:7" ht="15" hidden="1" thickBot="1">
      <c r="A3203" s="103"/>
      <c r="B3203" s="942"/>
      <c r="C3203" s="943"/>
      <c r="D3203" s="104"/>
      <c r="E3203" s="247"/>
      <c r="F3203" s="288"/>
      <c r="G3203" s="106"/>
    </row>
    <row r="3204" spans="1:7" ht="22.5" hidden="1" customHeight="1" thickBot="1">
      <c r="A3204" s="978"/>
      <c r="B3204" s="979"/>
      <c r="C3204" s="980"/>
      <c r="D3204" s="981"/>
      <c r="E3204" s="981"/>
      <c r="F3204" s="981"/>
      <c r="G3204" s="13"/>
    </row>
    <row r="3205" spans="1:7" ht="15" hidden="1" thickBot="1">
      <c r="A3205" s="982"/>
      <c r="B3205" s="983"/>
      <c r="C3205" s="983"/>
      <c r="D3205" s="983"/>
      <c r="E3205" s="983"/>
      <c r="F3205" s="983"/>
      <c r="G3205" s="984"/>
    </row>
    <row r="3206" spans="1:7" ht="22.5" hidden="1" customHeight="1" thickBot="1">
      <c r="A3206" s="982"/>
      <c r="B3206" s="913"/>
      <c r="C3206" s="914"/>
      <c r="D3206" s="95"/>
      <c r="E3206" s="242"/>
      <c r="F3206" s="289"/>
      <c r="G3206" s="97"/>
    </row>
    <row r="3207" spans="1:7" hidden="1">
      <c r="A3207" s="108"/>
      <c r="B3207" s="985"/>
      <c r="C3207" s="986"/>
      <c r="D3207" s="109"/>
      <c r="E3207" s="254"/>
      <c r="F3207" s="290"/>
      <c r="G3207" s="111"/>
    </row>
    <row r="3208" spans="1:7" ht="15" hidden="1" thickBot="1">
      <c r="A3208" s="987"/>
      <c r="B3208" s="988"/>
      <c r="C3208" s="989"/>
      <c r="D3208" s="990"/>
      <c r="E3208" s="990"/>
      <c r="F3208" s="990"/>
      <c r="G3208" s="14"/>
    </row>
    <row r="3209" spans="1:7" ht="22.5" hidden="1" customHeight="1" thickBot="1">
      <c r="A3209" s="991"/>
      <c r="B3209" s="991"/>
      <c r="C3209" s="991"/>
      <c r="D3209" s="992"/>
      <c r="E3209" s="993"/>
      <c r="F3209" s="993"/>
      <c r="G3209" s="112"/>
    </row>
    <row r="3210" spans="1:7" hidden="1">
      <c r="A3210" s="49"/>
      <c r="B3210" s="49"/>
      <c r="C3210" s="49"/>
      <c r="D3210" s="49"/>
      <c r="F3210" s="307"/>
      <c r="G3210" s="49"/>
    </row>
    <row r="3211" spans="1:7" hidden="1">
      <c r="A3211" s="49"/>
      <c r="B3211" s="49"/>
      <c r="C3211" s="49"/>
      <c r="D3211" s="49"/>
      <c r="F3211" s="307"/>
      <c r="G3211" s="49"/>
    </row>
    <row r="3212" spans="1:7" ht="15" hidden="1" thickBot="1">
      <c r="A3212" s="1036"/>
      <c r="B3212" s="1037"/>
      <c r="C3212" s="1037"/>
      <c r="D3212" s="1037"/>
      <c r="E3212" s="1037"/>
      <c r="F3212" s="1037"/>
      <c r="G3212" s="1038"/>
    </row>
    <row r="3213" spans="1:7" ht="15" hidden="1" thickBot="1">
      <c r="A3213" s="1006"/>
      <c r="B3213" s="1007"/>
      <c r="C3213" s="1007"/>
      <c r="D3213" s="1007"/>
      <c r="E3213" s="1007"/>
      <c r="F3213" s="272"/>
      <c r="G3213" s="43"/>
    </row>
    <row r="3214" spans="1:7" ht="15" hidden="1" customHeight="1" thickBot="1">
      <c r="A3214" s="1018"/>
      <c r="B3214" s="1019"/>
      <c r="C3214" s="1019"/>
      <c r="D3214" s="1019"/>
      <c r="E3214" s="1020"/>
      <c r="F3214" s="273"/>
      <c r="G3214" s="45"/>
    </row>
    <row r="3215" spans="1:7" ht="15" hidden="1" thickBot="1">
      <c r="A3215" s="1021"/>
      <c r="B3215" s="1022"/>
      <c r="C3215" s="1022"/>
      <c r="D3215" s="1022"/>
      <c r="E3215" s="1023"/>
      <c r="F3215" s="273"/>
      <c r="G3215" s="46"/>
    </row>
    <row r="3216" spans="1:7" ht="18.75" hidden="1" customHeight="1" thickBot="1">
      <c r="A3216" s="1024"/>
      <c r="B3216" s="1025"/>
      <c r="C3216" s="1025"/>
      <c r="D3216" s="1025"/>
      <c r="E3216" s="1026"/>
      <c r="F3216" s="274"/>
      <c r="G3216" s="48"/>
    </row>
    <row r="3217" spans="1:7" ht="18.75" hidden="1" customHeight="1" thickBot="1">
      <c r="A3217" s="1008"/>
      <c r="B3217" s="1009"/>
      <c r="C3217" s="1009"/>
      <c r="D3217" s="1009"/>
      <c r="E3217" s="1009"/>
      <c r="F3217" s="1009"/>
      <c r="G3217" s="1010"/>
    </row>
    <row r="3218" spans="1:7" s="7" customFormat="1" ht="13.5" hidden="1" thickBot="1">
      <c r="A3218" s="982"/>
      <c r="B3218" s="913"/>
      <c r="C3218" s="914"/>
      <c r="D3218" s="95"/>
      <c r="E3218" s="242"/>
      <c r="F3218" s="286"/>
      <c r="G3218" s="97"/>
    </row>
    <row r="3219" spans="1:7" hidden="1">
      <c r="A3219" s="87"/>
      <c r="B3219" s="930"/>
      <c r="C3219" s="931"/>
      <c r="D3219" s="88"/>
      <c r="E3219" s="251"/>
      <c r="F3219" s="284"/>
      <c r="G3219" s="90"/>
    </row>
    <row r="3220" spans="1:7" hidden="1">
      <c r="A3220" s="91"/>
      <c r="B3220" s="968"/>
      <c r="C3220" s="969"/>
      <c r="D3220" s="92"/>
      <c r="E3220" s="252"/>
      <c r="F3220" s="285"/>
      <c r="G3220" s="94"/>
    </row>
    <row r="3221" spans="1:7" ht="15" hidden="1" customHeight="1" thickBot="1">
      <c r="A3221" s="994"/>
      <c r="B3221" s="995"/>
      <c r="C3221" s="995"/>
      <c r="D3221" s="981"/>
      <c r="E3221" s="981"/>
      <c r="F3221" s="981"/>
      <c r="G3221" s="13"/>
    </row>
    <row r="3222" spans="1:7" ht="15" hidden="1" thickBot="1">
      <c r="A3222" s="982"/>
      <c r="B3222" s="983"/>
      <c r="C3222" s="983"/>
      <c r="D3222" s="983"/>
      <c r="E3222" s="983"/>
      <c r="F3222" s="983"/>
      <c r="G3222" s="984"/>
    </row>
    <row r="3223" spans="1:7" ht="15" hidden="1" thickBot="1">
      <c r="A3223" s="982"/>
      <c r="B3223" s="913"/>
      <c r="C3223" s="914"/>
      <c r="D3223" s="95"/>
      <c r="E3223" s="242"/>
      <c r="F3223" s="286"/>
      <c r="G3223" s="97"/>
    </row>
    <row r="3224" spans="1:7" ht="113.45" hidden="1" customHeight="1">
      <c r="A3224" s="98"/>
      <c r="B3224" s="1093"/>
      <c r="C3224" s="1094"/>
      <c r="D3224" s="229"/>
      <c r="E3224" s="265"/>
      <c r="F3224" s="308"/>
      <c r="G3224" s="230"/>
    </row>
    <row r="3225" spans="1:7" hidden="1">
      <c r="A3225" s="98"/>
      <c r="B3225" s="928"/>
      <c r="C3225" s="929"/>
      <c r="D3225" s="99"/>
      <c r="E3225" s="253"/>
      <c r="F3225" s="287"/>
      <c r="G3225" s="102"/>
    </row>
    <row r="3226" spans="1:7" hidden="1">
      <c r="A3226" s="98"/>
      <c r="B3226" s="928"/>
      <c r="C3226" s="929"/>
      <c r="D3226" s="99"/>
      <c r="E3226" s="253"/>
      <c r="F3226" s="287"/>
      <c r="G3226" s="102"/>
    </row>
    <row r="3227" spans="1:7" hidden="1">
      <c r="A3227" s="98"/>
      <c r="B3227" s="928"/>
      <c r="C3227" s="929"/>
      <c r="D3227" s="99"/>
      <c r="E3227" s="253"/>
      <c r="F3227" s="287"/>
      <c r="G3227" s="102"/>
    </row>
    <row r="3228" spans="1:7" hidden="1">
      <c r="A3228" s="98"/>
      <c r="B3228" s="928"/>
      <c r="C3228" s="929"/>
      <c r="D3228" s="99"/>
      <c r="E3228" s="253"/>
      <c r="F3228" s="287"/>
      <c r="G3228" s="102"/>
    </row>
    <row r="3229" spans="1:7" hidden="1">
      <c r="A3229" s="98"/>
      <c r="B3229" s="928"/>
      <c r="C3229" s="929"/>
      <c r="D3229" s="99"/>
      <c r="E3229" s="253"/>
      <c r="F3229" s="287"/>
      <c r="G3229" s="102"/>
    </row>
    <row r="3230" spans="1:7" ht="15" hidden="1" thickBot="1">
      <c r="A3230" s="996"/>
      <c r="B3230" s="997"/>
      <c r="C3230" s="998"/>
      <c r="D3230" s="981"/>
      <c r="E3230" s="981"/>
      <c r="F3230" s="981"/>
      <c r="G3230" s="13"/>
    </row>
    <row r="3231" spans="1:7" ht="15" hidden="1" thickBot="1">
      <c r="A3231" s="982"/>
      <c r="B3231" s="983"/>
      <c r="C3231" s="983"/>
      <c r="D3231" s="983"/>
      <c r="E3231" s="983"/>
      <c r="F3231" s="983"/>
      <c r="G3231" s="984"/>
    </row>
    <row r="3232" spans="1:7" ht="15" hidden="1" thickBot="1">
      <c r="A3232" s="982"/>
      <c r="B3232" s="913"/>
      <c r="C3232" s="914"/>
      <c r="D3232" s="95"/>
      <c r="E3232" s="242"/>
      <c r="F3232" s="286"/>
      <c r="G3232" s="97"/>
    </row>
    <row r="3233" spans="1:7" ht="15" hidden="1" thickBot="1">
      <c r="A3233" s="103"/>
      <c r="B3233" s="942"/>
      <c r="C3233" s="943"/>
      <c r="D3233" s="104"/>
      <c r="E3233" s="247"/>
      <c r="F3233" s="284"/>
      <c r="G3233" s="131"/>
    </row>
    <row r="3234" spans="1:7" ht="15" hidden="1" thickBot="1">
      <c r="A3234" s="224"/>
      <c r="B3234" s="940"/>
      <c r="C3234" s="941"/>
      <c r="D3234" s="157"/>
      <c r="E3234" s="259"/>
      <c r="F3234" s="288"/>
      <c r="G3234" s="131"/>
    </row>
    <row r="3235" spans="1:7" ht="15" hidden="1" thickBot="1">
      <c r="A3235" s="978"/>
      <c r="B3235" s="979"/>
      <c r="C3235" s="980"/>
      <c r="D3235" s="981"/>
      <c r="E3235" s="981"/>
      <c r="F3235" s="981"/>
      <c r="G3235" s="13"/>
    </row>
    <row r="3236" spans="1:7" ht="15" hidden="1" thickBot="1">
      <c r="A3236" s="982"/>
      <c r="B3236" s="983"/>
      <c r="C3236" s="983"/>
      <c r="D3236" s="983"/>
      <c r="E3236" s="983"/>
      <c r="F3236" s="983"/>
      <c r="G3236" s="984"/>
    </row>
    <row r="3237" spans="1:7" ht="15" hidden="1" thickBot="1">
      <c r="A3237" s="982"/>
      <c r="B3237" s="913"/>
      <c r="C3237" s="914"/>
      <c r="D3237" s="95"/>
      <c r="E3237" s="242"/>
      <c r="F3237" s="289"/>
      <c r="G3237" s="97"/>
    </row>
    <row r="3238" spans="1:7" hidden="1">
      <c r="A3238" s="108"/>
      <c r="B3238" s="985"/>
      <c r="C3238" s="986"/>
      <c r="D3238" s="109"/>
      <c r="E3238" s="254"/>
      <c r="F3238" s="290"/>
      <c r="G3238" s="111"/>
    </row>
    <row r="3239" spans="1:7" ht="15" hidden="1" thickBot="1">
      <c r="A3239" s="987"/>
      <c r="B3239" s="988"/>
      <c r="C3239" s="989"/>
      <c r="D3239" s="990"/>
      <c r="E3239" s="990"/>
      <c r="F3239" s="990"/>
      <c r="G3239" s="14"/>
    </row>
    <row r="3240" spans="1:7" ht="15" hidden="1" thickBot="1">
      <c r="A3240" s="991"/>
      <c r="B3240" s="991"/>
      <c r="C3240" s="991"/>
      <c r="D3240" s="992"/>
      <c r="E3240" s="993"/>
      <c r="F3240" s="993"/>
      <c r="G3240" s="112"/>
    </row>
    <row r="3241" spans="1:7" ht="15.75" hidden="1" thickBot="1">
      <c r="A3241" s="162"/>
      <c r="B3241" s="162"/>
      <c r="C3241" s="162"/>
      <c r="D3241" s="162"/>
      <c r="E3241" s="258"/>
      <c r="F3241" s="301"/>
      <c r="G3241" s="162"/>
    </row>
    <row r="3242" spans="1:7" ht="15" hidden="1" thickBot="1">
      <c r="A3242" s="1027"/>
      <c r="B3242" s="1028"/>
      <c r="C3242" s="1028"/>
      <c r="D3242" s="1028"/>
      <c r="E3242" s="1028"/>
      <c r="F3242" s="1028"/>
      <c r="G3242" s="1029"/>
    </row>
    <row r="3243" spans="1:7" ht="15" hidden="1" customHeight="1" thickBot="1">
      <c r="A3243" s="950"/>
      <c r="B3243" s="951"/>
      <c r="C3243" s="951"/>
      <c r="D3243" s="951"/>
      <c r="E3243" s="952"/>
      <c r="F3243" s="272"/>
      <c r="G3243" s="43"/>
    </row>
    <row r="3244" spans="1:7" ht="15" hidden="1" customHeight="1" thickBot="1">
      <c r="A3244" s="1018"/>
      <c r="B3244" s="1019"/>
      <c r="C3244" s="1019"/>
      <c r="D3244" s="1019"/>
      <c r="E3244" s="1020"/>
      <c r="F3244" s="273"/>
      <c r="G3244" s="45"/>
    </row>
    <row r="3245" spans="1:7" ht="15" hidden="1" collapsed="1" thickBot="1">
      <c r="A3245" s="1021"/>
      <c r="B3245" s="1022"/>
      <c r="C3245" s="1022"/>
      <c r="D3245" s="1022"/>
      <c r="E3245" s="1023"/>
      <c r="F3245" s="273"/>
      <c r="G3245" s="46"/>
    </row>
    <row r="3246" spans="1:7" ht="15" hidden="1" thickBot="1">
      <c r="A3246" s="1024"/>
      <c r="B3246" s="1025"/>
      <c r="C3246" s="1025"/>
      <c r="D3246" s="1025"/>
      <c r="E3246" s="1026"/>
      <c r="F3246" s="274"/>
      <c r="G3246" s="48"/>
    </row>
    <row r="3247" spans="1:7" ht="15" hidden="1" thickBot="1">
      <c r="A3247" s="1032"/>
      <c r="B3247" s="1033"/>
      <c r="C3247" s="1034"/>
      <c r="D3247" s="1034"/>
      <c r="E3247" s="1034"/>
      <c r="F3247" s="1034"/>
      <c r="G3247" s="1035"/>
    </row>
    <row r="3248" spans="1:7" ht="15" hidden="1" thickBot="1">
      <c r="A3248" s="909"/>
      <c r="B3248" s="913"/>
      <c r="C3248" s="914"/>
      <c r="D3248" s="95"/>
      <c r="E3248" s="242"/>
      <c r="F3248" s="286"/>
      <c r="G3248" s="113"/>
    </row>
    <row r="3249" spans="1:7" ht="15" hidden="1" thickBot="1">
      <c r="A3249" s="114"/>
      <c r="B3249" s="966"/>
      <c r="C3249" s="967"/>
      <c r="D3249" s="88"/>
      <c r="E3249" s="251"/>
      <c r="F3249" s="284"/>
      <c r="G3249" s="117"/>
    </row>
    <row r="3250" spans="1:7" ht="15" hidden="1" thickBot="1">
      <c r="A3250" s="114"/>
      <c r="B3250" s="966"/>
      <c r="C3250" s="967"/>
      <c r="D3250" s="88"/>
      <c r="E3250" s="251"/>
      <c r="F3250" s="284"/>
      <c r="G3250" s="117"/>
    </row>
    <row r="3251" spans="1:7" hidden="1">
      <c r="A3251" s="154"/>
      <c r="B3251" s="930"/>
      <c r="C3251" s="931"/>
      <c r="D3251" s="171"/>
      <c r="E3251" s="260"/>
      <c r="F3251" s="285"/>
      <c r="G3251" s="149"/>
    </row>
    <row r="3252" spans="1:7" ht="15" hidden="1" thickBot="1">
      <c r="A3252" s="970"/>
      <c r="B3252" s="971"/>
      <c r="C3252" s="972"/>
      <c r="D3252" s="973"/>
      <c r="E3252" s="974"/>
      <c r="F3252" s="975"/>
      <c r="G3252" s="11"/>
    </row>
    <row r="3253" spans="1:7" ht="15" hidden="1" thickBot="1">
      <c r="A3253" s="908"/>
      <c r="B3253" s="910"/>
      <c r="C3253" s="911"/>
      <c r="D3253" s="911"/>
      <c r="E3253" s="911"/>
      <c r="F3253" s="911"/>
      <c r="G3253" s="912"/>
    </row>
    <row r="3254" spans="1:7" ht="31.5" hidden="1" customHeight="1" thickBot="1">
      <c r="A3254" s="909"/>
      <c r="B3254" s="913"/>
      <c r="C3254" s="914"/>
      <c r="D3254" s="95"/>
      <c r="E3254" s="242"/>
      <c r="F3254" s="286"/>
      <c r="G3254" s="113"/>
    </row>
    <row r="3255" spans="1:7" ht="15" hidden="1" thickBot="1">
      <c r="A3255" s="122"/>
      <c r="B3255" s="1030"/>
      <c r="C3255" s="1031"/>
      <c r="D3255" s="88"/>
      <c r="E3255" s="251"/>
      <c r="F3255" s="284"/>
      <c r="G3255" s="149"/>
    </row>
    <row r="3256" spans="1:7" ht="15" hidden="1" thickBot="1">
      <c r="A3256" s="122"/>
      <c r="B3256" s="976"/>
      <c r="C3256" s="977"/>
      <c r="D3256" s="88"/>
      <c r="E3256" s="251"/>
      <c r="F3256" s="284"/>
      <c r="G3256" s="149"/>
    </row>
    <row r="3257" spans="1:7" ht="22.5" hidden="1" customHeight="1" thickBot="1">
      <c r="A3257" s="122"/>
      <c r="B3257" s="976"/>
      <c r="C3257" s="977"/>
      <c r="D3257" s="88"/>
      <c r="E3257" s="251"/>
      <c r="F3257" s="284"/>
      <c r="G3257" s="149"/>
    </row>
    <row r="3258" spans="1:7" ht="15" hidden="1" thickBot="1">
      <c r="A3258" s="155"/>
      <c r="B3258" s="930"/>
      <c r="C3258" s="931"/>
      <c r="D3258" s="88"/>
      <c r="E3258" s="251"/>
      <c r="F3258" s="284"/>
      <c r="G3258" s="149"/>
    </row>
    <row r="3259" spans="1:7" ht="15" hidden="1" thickBot="1">
      <c r="A3259" s="155"/>
      <c r="B3259" s="930"/>
      <c r="C3259" s="931"/>
      <c r="D3259" s="88"/>
      <c r="E3259" s="251"/>
      <c r="F3259" s="284"/>
      <c r="G3259" s="149"/>
    </row>
    <row r="3260" spans="1:7" ht="15" hidden="1" thickBot="1">
      <c r="A3260" s="155"/>
      <c r="B3260" s="930"/>
      <c r="C3260" s="931"/>
      <c r="D3260" s="88"/>
      <c r="E3260" s="251"/>
      <c r="F3260" s="284"/>
      <c r="G3260" s="149"/>
    </row>
    <row r="3261" spans="1:7" ht="15" hidden="1" thickBot="1">
      <c r="A3261" s="178"/>
      <c r="B3261" s="926"/>
      <c r="C3261" s="927"/>
      <c r="D3261" s="179"/>
      <c r="E3261" s="261"/>
      <c r="F3261" s="284"/>
      <c r="G3261" s="181"/>
    </row>
    <row r="3262" spans="1:7" ht="15" hidden="1" thickBot="1">
      <c r="A3262" s="932"/>
      <c r="B3262" s="933"/>
      <c r="C3262" s="934"/>
      <c r="D3262" s="935"/>
      <c r="E3262" s="936"/>
      <c r="F3262" s="937"/>
      <c r="G3262" s="18"/>
    </row>
    <row r="3263" spans="1:7" ht="15" hidden="1" thickBot="1">
      <c r="A3263" s="908"/>
      <c r="B3263" s="910"/>
      <c r="C3263" s="911"/>
      <c r="D3263" s="911"/>
      <c r="E3263" s="911"/>
      <c r="F3263" s="911"/>
      <c r="G3263" s="912"/>
    </row>
    <row r="3264" spans="1:7" ht="15" hidden="1" thickBot="1">
      <c r="A3264" s="909"/>
      <c r="B3264" s="913"/>
      <c r="C3264" s="914"/>
      <c r="D3264" s="95"/>
      <c r="E3264" s="242"/>
      <c r="F3264" s="286"/>
      <c r="G3264" s="113"/>
    </row>
    <row r="3265" spans="1:7" ht="15" hidden="1" thickBot="1">
      <c r="A3265" s="127"/>
      <c r="B3265" s="942"/>
      <c r="C3265" s="943"/>
      <c r="D3265" s="104"/>
      <c r="E3265" s="247"/>
      <c r="F3265" s="284"/>
      <c r="G3265" s="159"/>
    </row>
    <row r="3266" spans="1:7" hidden="1">
      <c r="A3266" s="156"/>
      <c r="B3266" s="940"/>
      <c r="C3266" s="941"/>
      <c r="D3266" s="157"/>
      <c r="E3266" s="259"/>
      <c r="F3266" s="303"/>
      <c r="G3266" s="159"/>
    </row>
    <row r="3267" spans="1:7" ht="15" hidden="1" thickBot="1">
      <c r="A3267" s="130"/>
      <c r="B3267" s="942"/>
      <c r="C3267" s="943"/>
      <c r="D3267" s="104"/>
      <c r="E3267" s="247"/>
      <c r="F3267" s="288"/>
      <c r="G3267" s="131"/>
    </row>
    <row r="3268" spans="1:7" ht="15" hidden="1" thickBot="1">
      <c r="A3268" s="944"/>
      <c r="B3268" s="945"/>
      <c r="C3268" s="946"/>
      <c r="D3268" s="947"/>
      <c r="E3268" s="948"/>
      <c r="F3268" s="949"/>
      <c r="G3268" s="11"/>
    </row>
    <row r="3269" spans="1:7" ht="15" hidden="1" thickBot="1">
      <c r="A3269" s="908"/>
      <c r="B3269" s="910"/>
      <c r="C3269" s="911"/>
      <c r="D3269" s="911"/>
      <c r="E3269" s="911"/>
      <c r="F3269" s="911"/>
      <c r="G3269" s="912"/>
    </row>
    <row r="3270" spans="1:7" ht="18.75" hidden="1" customHeight="1" thickBot="1">
      <c r="A3270" s="909"/>
      <c r="B3270" s="913"/>
      <c r="C3270" s="914"/>
      <c r="D3270" s="95"/>
      <c r="E3270" s="242"/>
      <c r="F3270" s="286"/>
      <c r="G3270" s="113"/>
    </row>
    <row r="3271" spans="1:7" ht="18.75" hidden="1" customHeight="1" thickBot="1">
      <c r="A3271" s="122"/>
      <c r="B3271" s="985"/>
      <c r="C3271" s="986"/>
      <c r="D3271" s="109"/>
      <c r="E3271" s="254"/>
      <c r="F3271" s="304"/>
      <c r="G3271" s="129"/>
    </row>
    <row r="3272" spans="1:7" ht="18.75" hidden="1" customHeight="1" thickBot="1">
      <c r="A3272" s="155"/>
      <c r="B3272" s="985"/>
      <c r="C3272" s="986"/>
      <c r="D3272" s="92"/>
      <c r="E3272" s="252"/>
      <c r="F3272" s="287"/>
      <c r="G3272" s="129"/>
    </row>
    <row r="3273" spans="1:7" s="7" customFormat="1" ht="13.5" hidden="1" thickBot="1">
      <c r="A3273" s="165"/>
      <c r="B3273" s="985"/>
      <c r="C3273" s="986"/>
      <c r="D3273" s="168"/>
      <c r="E3273" s="262"/>
      <c r="F3273" s="306"/>
      <c r="G3273" s="170"/>
    </row>
    <row r="3274" spans="1:7" ht="15" hidden="1" thickBot="1">
      <c r="A3274" s="915"/>
      <c r="B3274" s="916"/>
      <c r="C3274" s="917"/>
      <c r="D3274" s="918"/>
      <c r="E3274" s="919"/>
      <c r="F3274" s="920"/>
      <c r="G3274" s="12"/>
    </row>
    <row r="3275" spans="1:7" ht="15" hidden="1" thickBot="1">
      <c r="A3275" s="921"/>
      <c r="B3275" s="922"/>
      <c r="C3275" s="922"/>
      <c r="D3275" s="923"/>
      <c r="E3275" s="924"/>
      <c r="F3275" s="925"/>
      <c r="G3275" s="153"/>
    </row>
    <row r="3276" spans="1:7" ht="15.75" hidden="1" collapsed="1" thickBot="1">
      <c r="A3276" s="162"/>
      <c r="B3276" s="162"/>
      <c r="C3276" s="162"/>
      <c r="D3276" s="162"/>
      <c r="E3276" s="258"/>
      <c r="F3276" s="301"/>
      <c r="G3276" s="162"/>
    </row>
    <row r="3277" spans="1:7" ht="15" hidden="1" thickBot="1">
      <c r="A3277" s="1027"/>
      <c r="B3277" s="1028"/>
      <c r="C3277" s="1028"/>
      <c r="D3277" s="1028"/>
      <c r="E3277" s="1028"/>
      <c r="F3277" s="1028"/>
      <c r="G3277" s="1029"/>
    </row>
    <row r="3278" spans="1:7" ht="15" hidden="1" thickBot="1">
      <c r="A3278" s="950"/>
      <c r="B3278" s="951"/>
      <c r="C3278" s="951"/>
      <c r="D3278" s="951"/>
      <c r="E3278" s="952"/>
      <c r="F3278" s="272"/>
      <c r="G3278" s="43"/>
    </row>
    <row r="3279" spans="1:7" ht="15" hidden="1" customHeight="1" thickBot="1">
      <c r="A3279" s="953"/>
      <c r="B3279" s="954"/>
      <c r="C3279" s="954"/>
      <c r="D3279" s="954"/>
      <c r="E3279" s="955"/>
      <c r="F3279" s="273"/>
      <c r="G3279" s="45"/>
    </row>
    <row r="3280" spans="1:7" ht="15" hidden="1" thickBot="1">
      <c r="A3280" s="956"/>
      <c r="B3280" s="957"/>
      <c r="C3280" s="957"/>
      <c r="D3280" s="957"/>
      <c r="E3280" s="958"/>
      <c r="F3280" s="273"/>
      <c r="G3280" s="46"/>
    </row>
    <row r="3281" spans="1:7" ht="15" hidden="1" thickBot="1">
      <c r="A3281" s="959"/>
      <c r="B3281" s="960"/>
      <c r="C3281" s="960"/>
      <c r="D3281" s="960"/>
      <c r="E3281" s="961"/>
      <c r="F3281" s="274"/>
      <c r="G3281" s="48"/>
    </row>
    <row r="3282" spans="1:7" ht="15" hidden="1" thickBot="1">
      <c r="A3282" s="962"/>
      <c r="B3282" s="963"/>
      <c r="C3282" s="964"/>
      <c r="D3282" s="964"/>
      <c r="E3282" s="964"/>
      <c r="F3282" s="964"/>
      <c r="G3282" s="965"/>
    </row>
    <row r="3283" spans="1:7" ht="15" hidden="1" thickBot="1">
      <c r="A3283" s="909"/>
      <c r="B3283" s="913"/>
      <c r="C3283" s="914"/>
      <c r="D3283" s="95"/>
      <c r="E3283" s="242"/>
      <c r="F3283" s="286"/>
      <c r="G3283" s="113"/>
    </row>
    <row r="3284" spans="1:7" ht="15" hidden="1" thickBot="1">
      <c r="A3284" s="114"/>
      <c r="B3284" s="966"/>
      <c r="C3284" s="967"/>
      <c r="D3284" s="88"/>
      <c r="E3284" s="251"/>
      <c r="F3284" s="284"/>
      <c r="G3284" s="117"/>
    </row>
    <row r="3285" spans="1:7" ht="15" hidden="1" thickBot="1">
      <c r="A3285" s="970"/>
      <c r="B3285" s="971"/>
      <c r="C3285" s="972"/>
      <c r="D3285" s="973"/>
      <c r="E3285" s="974"/>
      <c r="F3285" s="975"/>
      <c r="G3285" s="11"/>
    </row>
    <row r="3286" spans="1:7" ht="15" hidden="1" thickBot="1">
      <c r="A3286" s="908"/>
      <c r="B3286" s="910"/>
      <c r="C3286" s="911"/>
      <c r="D3286" s="911"/>
      <c r="E3286" s="911"/>
      <c r="F3286" s="911"/>
      <c r="G3286" s="912"/>
    </row>
    <row r="3287" spans="1:7" ht="15" hidden="1" thickBot="1">
      <c r="A3287" s="909"/>
      <c r="B3287" s="913"/>
      <c r="C3287" s="914"/>
      <c r="D3287" s="95"/>
      <c r="E3287" s="242"/>
      <c r="F3287" s="292"/>
      <c r="G3287" s="113"/>
    </row>
    <row r="3288" spans="1:7" ht="15" hidden="1" thickBot="1">
      <c r="A3288" s="114"/>
      <c r="B3288" s="966"/>
      <c r="C3288" s="967"/>
      <c r="D3288" s="88"/>
      <c r="E3288" s="251"/>
      <c r="F3288" s="284"/>
      <c r="G3288" s="117"/>
    </row>
    <row r="3289" spans="1:7" ht="15" hidden="1" thickBot="1">
      <c r="A3289" s="114"/>
      <c r="B3289" s="966"/>
      <c r="C3289" s="967"/>
      <c r="D3289" s="88"/>
      <c r="E3289" s="251"/>
      <c r="F3289" s="284"/>
      <c r="G3289" s="117"/>
    </row>
    <row r="3290" spans="1:7" ht="15" hidden="1" thickBot="1">
      <c r="A3290" s="114"/>
      <c r="B3290" s="966"/>
      <c r="C3290" s="967"/>
      <c r="D3290" s="88"/>
      <c r="E3290" s="251"/>
      <c r="F3290" s="284"/>
      <c r="G3290" s="117"/>
    </row>
    <row r="3291" spans="1:7" ht="15" hidden="1" thickBot="1">
      <c r="A3291" s="114"/>
      <c r="B3291" s="966"/>
      <c r="C3291" s="967"/>
      <c r="D3291" s="88"/>
      <c r="E3291" s="251"/>
      <c r="F3291" s="284"/>
      <c r="G3291" s="117"/>
    </row>
    <row r="3292" spans="1:7" ht="15" hidden="1" thickBot="1">
      <c r="A3292" s="114"/>
      <c r="B3292" s="966"/>
      <c r="C3292" s="967"/>
      <c r="D3292" s="88"/>
      <c r="E3292" s="251"/>
      <c r="F3292" s="284"/>
      <c r="G3292" s="117"/>
    </row>
    <row r="3293" spans="1:7" ht="15" hidden="1" thickBot="1">
      <c r="A3293" s="114"/>
      <c r="B3293" s="966"/>
      <c r="C3293" s="967"/>
      <c r="D3293" s="88"/>
      <c r="E3293" s="251"/>
      <c r="F3293" s="284"/>
      <c r="G3293" s="117"/>
    </row>
    <row r="3294" spans="1:7" ht="15" hidden="1" thickBot="1">
      <c r="A3294" s="932"/>
      <c r="B3294" s="933"/>
      <c r="C3294" s="934"/>
      <c r="D3294" s="935"/>
      <c r="E3294" s="936"/>
      <c r="F3294" s="937"/>
      <c r="G3294" s="18"/>
    </row>
    <row r="3295" spans="1:7" ht="15" hidden="1" thickBot="1">
      <c r="A3295" s="908"/>
      <c r="B3295" s="910"/>
      <c r="C3295" s="911"/>
      <c r="D3295" s="911"/>
      <c r="E3295" s="911"/>
      <c r="F3295" s="911"/>
      <c r="G3295" s="912"/>
    </row>
    <row r="3296" spans="1:7" ht="15" hidden="1" thickBot="1">
      <c r="A3296" s="909"/>
      <c r="B3296" s="913"/>
      <c r="C3296" s="914"/>
      <c r="D3296" s="95"/>
      <c r="E3296" s="242"/>
      <c r="F3296" s="286"/>
      <c r="G3296" s="113"/>
    </row>
    <row r="3297" spans="1:7" ht="15" hidden="1" thickBot="1">
      <c r="A3297" s="156"/>
      <c r="B3297" s="942"/>
      <c r="C3297" s="943"/>
      <c r="D3297" s="104"/>
      <c r="E3297" s="247"/>
      <c r="F3297" s="284"/>
      <c r="G3297" s="159"/>
    </row>
    <row r="3298" spans="1:7" ht="15" hidden="1" thickBot="1">
      <c r="A3298" s="231"/>
      <c r="B3298" s="940"/>
      <c r="C3298" s="941"/>
      <c r="D3298" s="157"/>
      <c r="E3298" s="259"/>
      <c r="F3298" s="303"/>
      <c r="G3298" s="159"/>
    </row>
    <row r="3299" spans="1:7" ht="18.75" hidden="1" customHeight="1" thickBot="1">
      <c r="A3299" s="944"/>
      <c r="B3299" s="945"/>
      <c r="C3299" s="946"/>
      <c r="D3299" s="947"/>
      <c r="E3299" s="948"/>
      <c r="F3299" s="949"/>
      <c r="G3299" s="11"/>
    </row>
    <row r="3300" spans="1:7" ht="18.75" hidden="1" customHeight="1" thickBot="1">
      <c r="A3300" s="908"/>
      <c r="B3300" s="910"/>
      <c r="C3300" s="911"/>
      <c r="D3300" s="911"/>
      <c r="E3300" s="911"/>
      <c r="F3300" s="911"/>
      <c r="G3300" s="912"/>
    </row>
    <row r="3301" spans="1:7" s="7" customFormat="1" ht="13.5" hidden="1" thickBot="1">
      <c r="A3301" s="909"/>
      <c r="B3301" s="913"/>
      <c r="C3301" s="914"/>
      <c r="D3301" s="95"/>
      <c r="E3301" s="242"/>
      <c r="F3301" s="286"/>
      <c r="G3301" s="113"/>
    </row>
    <row r="3302" spans="1:7" ht="15" hidden="1" thickBot="1">
      <c r="A3302" s="122"/>
      <c r="B3302" s="985"/>
      <c r="C3302" s="986"/>
      <c r="D3302" s="109"/>
      <c r="E3302" s="254"/>
      <c r="F3302" s="304"/>
      <c r="G3302" s="129"/>
    </row>
    <row r="3303" spans="1:7" ht="15" hidden="1" thickBot="1">
      <c r="A3303" s="915"/>
      <c r="B3303" s="916"/>
      <c r="C3303" s="917"/>
      <c r="D3303" s="918"/>
      <c r="E3303" s="919"/>
      <c r="F3303" s="920"/>
      <c r="G3303" s="12"/>
    </row>
    <row r="3304" spans="1:7" ht="15" hidden="1" customHeight="1" thickBot="1">
      <c r="A3304" s="921"/>
      <c r="B3304" s="922"/>
      <c r="C3304" s="922"/>
      <c r="D3304" s="923"/>
      <c r="E3304" s="924"/>
      <c r="F3304" s="925"/>
      <c r="G3304" s="112"/>
    </row>
    <row r="3305" spans="1:7" hidden="1">
      <c r="A3305" s="40"/>
      <c r="B3305" s="40"/>
      <c r="C3305" s="40"/>
      <c r="D3305" s="146"/>
      <c r="E3305" s="250"/>
      <c r="F3305" s="298"/>
      <c r="G3305" s="147"/>
    </row>
    <row r="3306" spans="1:7" ht="15.75" hidden="1" collapsed="1" thickBot="1">
      <c r="A3306" s="162"/>
      <c r="B3306" s="162"/>
      <c r="C3306" s="162"/>
      <c r="D3306" s="162"/>
      <c r="E3306" s="258"/>
      <c r="F3306" s="301"/>
      <c r="G3306" s="162"/>
    </row>
    <row r="3307" spans="1:7" ht="15" hidden="1" thickBot="1">
      <c r="A3307" s="1027"/>
      <c r="B3307" s="1028"/>
      <c r="C3307" s="1028"/>
      <c r="D3307" s="1028"/>
      <c r="E3307" s="1028"/>
      <c r="F3307" s="1028"/>
      <c r="G3307" s="1029"/>
    </row>
    <row r="3308" spans="1:7" ht="15" hidden="1" thickBot="1">
      <c r="A3308" s="950"/>
      <c r="B3308" s="951"/>
      <c r="C3308" s="951"/>
      <c r="D3308" s="951"/>
      <c r="E3308" s="952"/>
      <c r="F3308" s="272"/>
      <c r="G3308" s="43"/>
    </row>
    <row r="3309" spans="1:7" ht="15" hidden="1" customHeight="1" thickBot="1">
      <c r="A3309" s="953"/>
      <c r="B3309" s="954"/>
      <c r="C3309" s="954"/>
      <c r="D3309" s="954"/>
      <c r="E3309" s="955"/>
      <c r="F3309" s="273"/>
      <c r="G3309" s="45"/>
    </row>
    <row r="3310" spans="1:7" ht="15" hidden="1" thickBot="1">
      <c r="A3310" s="956"/>
      <c r="B3310" s="957"/>
      <c r="C3310" s="957"/>
      <c r="D3310" s="957"/>
      <c r="E3310" s="958"/>
      <c r="F3310" s="273"/>
      <c r="G3310" s="46"/>
    </row>
    <row r="3311" spans="1:7" ht="15" hidden="1" thickBot="1">
      <c r="A3311" s="959"/>
      <c r="B3311" s="960"/>
      <c r="C3311" s="960"/>
      <c r="D3311" s="960"/>
      <c r="E3311" s="961"/>
      <c r="F3311" s="274"/>
      <c r="G3311" s="48"/>
    </row>
    <row r="3312" spans="1:7" ht="15" hidden="1" thickBot="1">
      <c r="A3312" s="962"/>
      <c r="B3312" s="963"/>
      <c r="C3312" s="964"/>
      <c r="D3312" s="964"/>
      <c r="E3312" s="964"/>
      <c r="F3312" s="964"/>
      <c r="G3312" s="965"/>
    </row>
    <row r="3313" spans="1:7" ht="15" hidden="1" thickBot="1">
      <c r="A3313" s="909"/>
      <c r="B3313" s="913"/>
      <c r="C3313" s="914"/>
      <c r="D3313" s="95"/>
      <c r="E3313" s="242"/>
      <c r="F3313" s="286"/>
      <c r="G3313" s="113"/>
    </row>
    <row r="3314" spans="1:7" ht="15" hidden="1" thickBot="1">
      <c r="A3314" s="114"/>
      <c r="B3314" s="966"/>
      <c r="C3314" s="967"/>
      <c r="D3314" s="88"/>
      <c r="E3314" s="251"/>
      <c r="F3314" s="284"/>
      <c r="G3314" s="117"/>
    </row>
    <row r="3315" spans="1:7" ht="15" hidden="1" thickBot="1">
      <c r="A3315" s="970"/>
      <c r="B3315" s="971"/>
      <c r="C3315" s="972"/>
      <c r="D3315" s="973"/>
      <c r="E3315" s="974"/>
      <c r="F3315" s="975"/>
      <c r="G3315" s="11"/>
    </row>
    <row r="3316" spans="1:7" ht="15" hidden="1" thickBot="1">
      <c r="A3316" s="908"/>
      <c r="B3316" s="910"/>
      <c r="C3316" s="911"/>
      <c r="D3316" s="911"/>
      <c r="E3316" s="911"/>
      <c r="F3316" s="911"/>
      <c r="G3316" s="912"/>
    </row>
    <row r="3317" spans="1:7" ht="15" hidden="1" thickBot="1">
      <c r="A3317" s="909"/>
      <c r="B3317" s="913"/>
      <c r="C3317" s="914"/>
      <c r="D3317" s="95"/>
      <c r="E3317" s="242"/>
      <c r="F3317" s="292"/>
      <c r="G3317" s="113"/>
    </row>
    <row r="3318" spans="1:7" ht="15" hidden="1" thickBot="1">
      <c r="A3318" s="114"/>
      <c r="B3318" s="966"/>
      <c r="C3318" s="967"/>
      <c r="D3318" s="88"/>
      <c r="E3318" s="251"/>
      <c r="F3318" s="284"/>
      <c r="G3318" s="117"/>
    </row>
    <row r="3319" spans="1:7" ht="15" hidden="1" thickBot="1">
      <c r="A3319" s="114"/>
      <c r="B3319" s="966"/>
      <c r="C3319" s="967"/>
      <c r="D3319" s="88"/>
      <c r="E3319" s="251"/>
      <c r="F3319" s="284"/>
      <c r="G3319" s="117"/>
    </row>
    <row r="3320" spans="1:7" ht="15" hidden="1" thickBot="1">
      <c r="A3320" s="114"/>
      <c r="B3320" s="966"/>
      <c r="C3320" s="967"/>
      <c r="D3320" s="88"/>
      <c r="E3320" s="251"/>
      <c r="F3320" s="284"/>
      <c r="G3320" s="117"/>
    </row>
    <row r="3321" spans="1:7" ht="15" hidden="1" thickBot="1">
      <c r="A3321" s="114"/>
      <c r="B3321" s="966"/>
      <c r="C3321" s="967"/>
      <c r="D3321" s="88"/>
      <c r="E3321" s="251"/>
      <c r="F3321" s="284"/>
      <c r="G3321" s="117"/>
    </row>
    <row r="3322" spans="1:7" ht="15" hidden="1" thickBot="1">
      <c r="A3322" s="114"/>
      <c r="B3322" s="966"/>
      <c r="C3322" s="967"/>
      <c r="D3322" s="88"/>
      <c r="E3322" s="251"/>
      <c r="F3322" s="284"/>
      <c r="G3322" s="117"/>
    </row>
    <row r="3323" spans="1:7" ht="15" hidden="1" thickBot="1">
      <c r="A3323" s="114"/>
      <c r="B3323" s="966"/>
      <c r="C3323" s="967"/>
      <c r="D3323" s="88"/>
      <c r="E3323" s="251"/>
      <c r="F3323" s="284"/>
      <c r="G3323" s="117"/>
    </row>
    <row r="3324" spans="1:7" ht="15" hidden="1" thickBot="1">
      <c r="A3324" s="932"/>
      <c r="B3324" s="933"/>
      <c r="C3324" s="934"/>
      <c r="D3324" s="935"/>
      <c r="E3324" s="936"/>
      <c r="F3324" s="937"/>
      <c r="G3324" s="18"/>
    </row>
    <row r="3325" spans="1:7" ht="15" hidden="1" thickBot="1">
      <c r="A3325" s="908"/>
      <c r="B3325" s="910"/>
      <c r="C3325" s="911"/>
      <c r="D3325" s="911"/>
      <c r="E3325" s="911"/>
      <c r="F3325" s="911"/>
      <c r="G3325" s="912"/>
    </row>
    <row r="3326" spans="1:7" ht="15" hidden="1" thickBot="1">
      <c r="A3326" s="909"/>
      <c r="B3326" s="913"/>
      <c r="C3326" s="914"/>
      <c r="D3326" s="95"/>
      <c r="E3326" s="242"/>
      <c r="F3326" s="286"/>
      <c r="G3326" s="113"/>
    </row>
    <row r="3327" spans="1:7" ht="15" hidden="1" thickBot="1">
      <c r="A3327" s="156"/>
      <c r="B3327" s="942"/>
      <c r="C3327" s="943"/>
      <c r="D3327" s="104"/>
      <c r="E3327" s="247"/>
      <c r="F3327" s="284"/>
      <c r="G3327" s="159"/>
    </row>
    <row r="3328" spans="1:7" ht="18.75" hidden="1" customHeight="1" thickBot="1">
      <c r="A3328" s="944"/>
      <c r="B3328" s="945"/>
      <c r="C3328" s="946"/>
      <c r="D3328" s="947"/>
      <c r="E3328" s="948"/>
      <c r="F3328" s="949"/>
      <c r="G3328" s="11"/>
    </row>
    <row r="3329" spans="1:7" ht="18.75" hidden="1" customHeight="1" thickBot="1">
      <c r="A3329" s="908"/>
      <c r="B3329" s="910"/>
      <c r="C3329" s="911"/>
      <c r="D3329" s="911"/>
      <c r="E3329" s="911"/>
      <c r="F3329" s="911"/>
      <c r="G3329" s="912"/>
    </row>
    <row r="3330" spans="1:7" s="7" customFormat="1" ht="13.5" hidden="1" thickBot="1">
      <c r="A3330" s="909"/>
      <c r="B3330" s="913"/>
      <c r="C3330" s="914"/>
      <c r="D3330" s="95"/>
      <c r="E3330" s="242"/>
      <c r="F3330" s="286"/>
      <c r="G3330" s="113"/>
    </row>
    <row r="3331" spans="1:7" ht="15" hidden="1" thickBot="1">
      <c r="A3331" s="122"/>
      <c r="B3331" s="985"/>
      <c r="C3331" s="986"/>
      <c r="D3331" s="109"/>
      <c r="E3331" s="254"/>
      <c r="F3331" s="304"/>
      <c r="G3331" s="129"/>
    </row>
    <row r="3332" spans="1:7" ht="15" hidden="1" thickBot="1">
      <c r="A3332" s="915"/>
      <c r="B3332" s="916"/>
      <c r="C3332" s="917"/>
      <c r="D3332" s="918"/>
      <c r="E3332" s="919"/>
      <c r="F3332" s="920"/>
      <c r="G3332" s="12"/>
    </row>
    <row r="3333" spans="1:7" ht="15" hidden="1" customHeight="1" thickBot="1">
      <c r="A3333" s="921"/>
      <c r="B3333" s="922"/>
      <c r="C3333" s="922"/>
      <c r="D3333" s="923"/>
      <c r="E3333" s="924"/>
      <c r="F3333" s="925"/>
      <c r="G3333" s="112"/>
    </row>
    <row r="3334" spans="1:7" hidden="1">
      <c r="A3334" s="40"/>
      <c r="B3334" s="40"/>
      <c r="C3334" s="40"/>
      <c r="D3334" s="146"/>
      <c r="E3334" s="250"/>
      <c r="F3334" s="298"/>
      <c r="G3334" s="147"/>
    </row>
    <row r="3335" spans="1:7" ht="15.75" hidden="1" collapsed="1" thickBot="1">
      <c r="A3335" s="162"/>
      <c r="B3335" s="162"/>
      <c r="C3335" s="162"/>
      <c r="D3335" s="162"/>
      <c r="E3335" s="258"/>
      <c r="F3335" s="301"/>
      <c r="G3335" s="162"/>
    </row>
    <row r="3336" spans="1:7" ht="15" hidden="1" thickBot="1">
      <c r="A3336" s="1027"/>
      <c r="B3336" s="1028"/>
      <c r="C3336" s="1028"/>
      <c r="D3336" s="1028"/>
      <c r="E3336" s="1028"/>
      <c r="F3336" s="1028"/>
      <c r="G3336" s="1029"/>
    </row>
    <row r="3337" spans="1:7" ht="15" hidden="1" thickBot="1">
      <c r="A3337" s="950"/>
      <c r="B3337" s="951"/>
      <c r="C3337" s="951"/>
      <c r="D3337" s="951"/>
      <c r="E3337" s="952"/>
      <c r="F3337" s="272"/>
      <c r="G3337" s="43"/>
    </row>
    <row r="3338" spans="1:7" ht="15" hidden="1" customHeight="1" thickBot="1">
      <c r="A3338" s="953"/>
      <c r="B3338" s="954"/>
      <c r="C3338" s="954"/>
      <c r="D3338" s="954"/>
      <c r="E3338" s="955"/>
      <c r="F3338" s="273"/>
      <c r="G3338" s="45"/>
    </row>
    <row r="3339" spans="1:7" ht="15" hidden="1" thickBot="1">
      <c r="A3339" s="956"/>
      <c r="B3339" s="957"/>
      <c r="C3339" s="957"/>
      <c r="D3339" s="957"/>
      <c r="E3339" s="958"/>
      <c r="F3339" s="273"/>
      <c r="G3339" s="46"/>
    </row>
    <row r="3340" spans="1:7" ht="15" hidden="1" thickBot="1">
      <c r="A3340" s="959"/>
      <c r="B3340" s="960"/>
      <c r="C3340" s="960"/>
      <c r="D3340" s="960"/>
      <c r="E3340" s="961"/>
      <c r="F3340" s="274"/>
      <c r="G3340" s="48"/>
    </row>
    <row r="3341" spans="1:7" ht="15" hidden="1" thickBot="1">
      <c r="A3341" s="962"/>
      <c r="B3341" s="963"/>
      <c r="C3341" s="964"/>
      <c r="D3341" s="964"/>
      <c r="E3341" s="964"/>
      <c r="F3341" s="964"/>
      <c r="G3341" s="965"/>
    </row>
    <row r="3342" spans="1:7" ht="15" hidden="1" thickBot="1">
      <c r="A3342" s="909"/>
      <c r="B3342" s="913"/>
      <c r="C3342" s="914"/>
      <c r="D3342" s="95"/>
      <c r="E3342" s="242"/>
      <c r="F3342" s="286"/>
      <c r="G3342" s="113"/>
    </row>
    <row r="3343" spans="1:7" ht="15" hidden="1" thickBot="1">
      <c r="A3343" s="114"/>
      <c r="B3343" s="966"/>
      <c r="C3343" s="967"/>
      <c r="D3343" s="88"/>
      <c r="E3343" s="251"/>
      <c r="F3343" s="284"/>
      <c r="G3343" s="117"/>
    </row>
    <row r="3344" spans="1:7" ht="15" hidden="1" thickBot="1">
      <c r="A3344" s="970"/>
      <c r="B3344" s="971"/>
      <c r="C3344" s="972"/>
      <c r="D3344" s="973"/>
      <c r="E3344" s="974"/>
      <c r="F3344" s="975"/>
      <c r="G3344" s="11"/>
    </row>
    <row r="3345" spans="1:7" ht="15" hidden="1" thickBot="1">
      <c r="A3345" s="908"/>
      <c r="B3345" s="910"/>
      <c r="C3345" s="911"/>
      <c r="D3345" s="911"/>
      <c r="E3345" s="911"/>
      <c r="F3345" s="911"/>
      <c r="G3345" s="912"/>
    </row>
    <row r="3346" spans="1:7" ht="48" hidden="1" customHeight="1" thickBot="1">
      <c r="A3346" s="909"/>
      <c r="B3346" s="913"/>
      <c r="C3346" s="914"/>
      <c r="D3346" s="95"/>
      <c r="E3346" s="242"/>
      <c r="F3346" s="292"/>
      <c r="G3346" s="113"/>
    </row>
    <row r="3347" spans="1:7" ht="15" hidden="1" thickBot="1">
      <c r="A3347" s="114"/>
      <c r="B3347" s="966"/>
      <c r="C3347" s="967"/>
      <c r="D3347" s="88"/>
      <c r="E3347" s="251"/>
      <c r="F3347" s="284"/>
      <c r="G3347" s="117"/>
    </row>
    <row r="3348" spans="1:7" ht="15" hidden="1" thickBot="1">
      <c r="A3348" s="114"/>
      <c r="B3348" s="966"/>
      <c r="C3348" s="967"/>
      <c r="D3348" s="88"/>
      <c r="E3348" s="251"/>
      <c r="F3348" s="284"/>
      <c r="G3348" s="117"/>
    </row>
    <row r="3349" spans="1:7" ht="23.25" hidden="1" customHeight="1" thickBot="1">
      <c r="A3349" s="932"/>
      <c r="B3349" s="933"/>
      <c r="C3349" s="934"/>
      <c r="D3349" s="935"/>
      <c r="E3349" s="936"/>
      <c r="F3349" s="937"/>
      <c r="G3349" s="18"/>
    </row>
    <row r="3350" spans="1:7" ht="27" hidden="1" customHeight="1" thickBot="1">
      <c r="A3350" s="908"/>
      <c r="B3350" s="910"/>
      <c r="C3350" s="911"/>
      <c r="D3350" s="911"/>
      <c r="E3350" s="911"/>
      <c r="F3350" s="911"/>
      <c r="G3350" s="912"/>
    </row>
    <row r="3351" spans="1:7" ht="15" hidden="1" thickBot="1">
      <c r="A3351" s="909"/>
      <c r="B3351" s="913"/>
      <c r="C3351" s="914"/>
      <c r="D3351" s="95"/>
      <c r="E3351" s="242"/>
      <c r="F3351" s="286"/>
      <c r="G3351" s="113"/>
    </row>
    <row r="3352" spans="1:7" ht="15" hidden="1" thickBot="1">
      <c r="A3352" s="156"/>
      <c r="B3352" s="940"/>
      <c r="C3352" s="941"/>
      <c r="D3352" s="157"/>
      <c r="E3352" s="259"/>
      <c r="F3352" s="303"/>
      <c r="G3352" s="159"/>
    </row>
    <row r="3353" spans="1:7" ht="15" hidden="1" thickBot="1">
      <c r="A3353" s="944"/>
      <c r="B3353" s="945"/>
      <c r="C3353" s="946"/>
      <c r="D3353" s="947"/>
      <c r="E3353" s="948"/>
      <c r="F3353" s="949"/>
      <c r="G3353" s="11"/>
    </row>
    <row r="3354" spans="1:7" ht="15" hidden="1" thickBot="1">
      <c r="A3354" s="908"/>
      <c r="B3354" s="910"/>
      <c r="C3354" s="911"/>
      <c r="D3354" s="911"/>
      <c r="E3354" s="911"/>
      <c r="F3354" s="911"/>
      <c r="G3354" s="912"/>
    </row>
    <row r="3355" spans="1:7" ht="15" hidden="1" thickBot="1">
      <c r="A3355" s="909"/>
      <c r="B3355" s="913"/>
      <c r="C3355" s="914"/>
      <c r="D3355" s="95"/>
      <c r="E3355" s="242"/>
      <c r="F3355" s="286"/>
      <c r="G3355" s="113"/>
    </row>
    <row r="3356" spans="1:7" ht="15" hidden="1" thickBot="1">
      <c r="A3356" s="122"/>
      <c r="B3356" s="985"/>
      <c r="C3356" s="986"/>
      <c r="D3356" s="109"/>
      <c r="E3356" s="254"/>
      <c r="F3356" s="304"/>
      <c r="G3356" s="129"/>
    </row>
    <row r="3357" spans="1:7" ht="15" hidden="1" thickBot="1">
      <c r="A3357" s="915"/>
      <c r="B3357" s="916"/>
      <c r="C3357" s="917"/>
      <c r="D3357" s="918"/>
      <c r="E3357" s="919"/>
      <c r="F3357" s="920"/>
      <c r="G3357" s="12"/>
    </row>
    <row r="3358" spans="1:7" ht="15" hidden="1" thickBot="1">
      <c r="A3358" s="921"/>
      <c r="B3358" s="922"/>
      <c r="C3358" s="922"/>
      <c r="D3358" s="923"/>
      <c r="E3358" s="924"/>
      <c r="F3358" s="925"/>
      <c r="G3358" s="112"/>
    </row>
    <row r="3359" spans="1:7" ht="15.75" hidden="1" thickBot="1">
      <c r="A3359" s="162"/>
      <c r="B3359" s="162"/>
      <c r="C3359" s="162"/>
      <c r="D3359" s="162"/>
      <c r="E3359" s="258"/>
      <c r="F3359" s="301"/>
      <c r="G3359" s="162"/>
    </row>
    <row r="3360" spans="1:7" ht="15" hidden="1" thickBot="1">
      <c r="A3360" s="1027"/>
      <c r="B3360" s="1028"/>
      <c r="C3360" s="1028"/>
      <c r="D3360" s="1028"/>
      <c r="E3360" s="1028"/>
      <c r="F3360" s="1028"/>
      <c r="G3360" s="1029"/>
    </row>
    <row r="3361" spans="1:7" ht="15" hidden="1" thickBot="1">
      <c r="A3361" s="950"/>
      <c r="B3361" s="951"/>
      <c r="C3361" s="951"/>
      <c r="D3361" s="951"/>
      <c r="E3361" s="952"/>
      <c r="F3361" s="272"/>
      <c r="G3361" s="43"/>
    </row>
    <row r="3362" spans="1:7" ht="15" hidden="1" customHeight="1" thickBot="1">
      <c r="A3362" s="953"/>
      <c r="B3362" s="954"/>
      <c r="C3362" s="954"/>
      <c r="D3362" s="954"/>
      <c r="E3362" s="955"/>
      <c r="F3362" s="273"/>
      <c r="G3362" s="45"/>
    </row>
    <row r="3363" spans="1:7" ht="15" hidden="1" thickBot="1">
      <c r="A3363" s="956"/>
      <c r="B3363" s="957"/>
      <c r="C3363" s="957"/>
      <c r="D3363" s="957"/>
      <c r="E3363" s="958"/>
      <c r="F3363" s="273"/>
      <c r="G3363" s="46"/>
    </row>
    <row r="3364" spans="1:7" ht="15" hidden="1" thickBot="1">
      <c r="A3364" s="959"/>
      <c r="B3364" s="960"/>
      <c r="C3364" s="960"/>
      <c r="D3364" s="960"/>
      <c r="E3364" s="961"/>
      <c r="F3364" s="274"/>
      <c r="G3364" s="48"/>
    </row>
    <row r="3365" spans="1:7" ht="15" hidden="1" thickBot="1">
      <c r="A3365" s="962"/>
      <c r="B3365" s="963"/>
      <c r="C3365" s="964"/>
      <c r="D3365" s="964"/>
      <c r="E3365" s="964"/>
      <c r="F3365" s="964"/>
      <c r="G3365" s="965"/>
    </row>
    <row r="3366" spans="1:7" ht="15" hidden="1" thickBot="1">
      <c r="A3366" s="909"/>
      <c r="B3366" s="913"/>
      <c r="C3366" s="914"/>
      <c r="D3366" s="95"/>
      <c r="E3366" s="242"/>
      <c r="F3366" s="286"/>
      <c r="G3366" s="113"/>
    </row>
    <row r="3367" spans="1:7" hidden="1">
      <c r="A3367" s="114"/>
      <c r="B3367" s="930"/>
      <c r="C3367" s="931"/>
      <c r="D3367" s="88"/>
      <c r="E3367" s="251"/>
      <c r="F3367" s="284"/>
      <c r="G3367" s="117"/>
    </row>
    <row r="3368" spans="1:7" ht="15" hidden="1" thickBot="1">
      <c r="A3368" s="970"/>
      <c r="B3368" s="971"/>
      <c r="C3368" s="972"/>
      <c r="D3368" s="973"/>
      <c r="E3368" s="974"/>
      <c r="F3368" s="975"/>
      <c r="G3368" s="11"/>
    </row>
    <row r="3369" spans="1:7" ht="15" hidden="1" thickBot="1">
      <c r="A3369" s="908"/>
      <c r="B3369" s="910"/>
      <c r="C3369" s="911"/>
      <c r="D3369" s="911"/>
      <c r="E3369" s="911"/>
      <c r="F3369" s="911"/>
      <c r="G3369" s="912"/>
    </row>
    <row r="3370" spans="1:7" ht="15" hidden="1" thickBot="1">
      <c r="A3370" s="909"/>
      <c r="B3370" s="913"/>
      <c r="C3370" s="914"/>
      <c r="D3370" s="95"/>
      <c r="E3370" s="242"/>
      <c r="F3370" s="292"/>
      <c r="G3370" s="113"/>
    </row>
    <row r="3371" spans="1:7" ht="15" hidden="1" thickBot="1">
      <c r="A3371" s="114"/>
      <c r="B3371" s="966"/>
      <c r="C3371" s="967"/>
      <c r="D3371" s="88"/>
      <c r="E3371" s="251"/>
      <c r="F3371" s="284"/>
      <c r="G3371" s="117"/>
    </row>
    <row r="3372" spans="1:7" ht="15" hidden="1" thickBot="1">
      <c r="A3372" s="114"/>
      <c r="B3372" s="966"/>
      <c r="C3372" s="967"/>
      <c r="D3372" s="88"/>
      <c r="E3372" s="251"/>
      <c r="F3372" s="284"/>
      <c r="G3372" s="117"/>
    </row>
    <row r="3373" spans="1:7" ht="15" hidden="1" thickBot="1">
      <c r="A3373" s="114"/>
      <c r="B3373" s="966"/>
      <c r="C3373" s="967"/>
      <c r="D3373" s="88"/>
      <c r="E3373" s="251"/>
      <c r="F3373" s="284"/>
      <c r="G3373" s="117"/>
    </row>
    <row r="3374" spans="1:7" ht="15" hidden="1" thickBot="1">
      <c r="A3374" s="932"/>
      <c r="B3374" s="933"/>
      <c r="C3374" s="934"/>
      <c r="D3374" s="935"/>
      <c r="E3374" s="936"/>
      <c r="F3374" s="937"/>
      <c r="G3374" s="18"/>
    </row>
    <row r="3375" spans="1:7" ht="15" hidden="1" thickBot="1">
      <c r="A3375" s="908"/>
      <c r="B3375" s="910"/>
      <c r="C3375" s="911"/>
      <c r="D3375" s="911"/>
      <c r="E3375" s="911"/>
      <c r="F3375" s="911"/>
      <c r="G3375" s="912"/>
    </row>
    <row r="3376" spans="1:7" ht="15" hidden="1" thickBot="1">
      <c r="A3376" s="909"/>
      <c r="B3376" s="913"/>
      <c r="C3376" s="914"/>
      <c r="D3376" s="95"/>
      <c r="E3376" s="242"/>
      <c r="F3376" s="286"/>
      <c r="G3376" s="113"/>
    </row>
    <row r="3377" spans="1:7" ht="15" hidden="1" thickBot="1">
      <c r="A3377" s="156"/>
      <c r="B3377" s="940"/>
      <c r="C3377" s="941"/>
      <c r="D3377" s="157"/>
      <c r="E3377" s="259"/>
      <c r="F3377" s="303"/>
      <c r="G3377" s="159"/>
    </row>
    <row r="3378" spans="1:7" ht="15" hidden="1" thickBot="1">
      <c r="A3378" s="944"/>
      <c r="B3378" s="945"/>
      <c r="C3378" s="946"/>
      <c r="D3378" s="947"/>
      <c r="E3378" s="948"/>
      <c r="F3378" s="949"/>
      <c r="G3378" s="11"/>
    </row>
    <row r="3379" spans="1:7" ht="15" hidden="1" thickBot="1">
      <c r="A3379" s="908"/>
      <c r="B3379" s="910"/>
      <c r="C3379" s="911"/>
      <c r="D3379" s="911"/>
      <c r="E3379" s="911"/>
      <c r="F3379" s="911"/>
      <c r="G3379" s="912"/>
    </row>
    <row r="3380" spans="1:7" ht="15" hidden="1" thickBot="1">
      <c r="A3380" s="909"/>
      <c r="B3380" s="913"/>
      <c r="C3380" s="914"/>
      <c r="D3380" s="95"/>
      <c r="E3380" s="242"/>
      <c r="F3380" s="286"/>
      <c r="G3380" s="113"/>
    </row>
    <row r="3381" spans="1:7" ht="15" hidden="1" thickBot="1">
      <c r="A3381" s="122"/>
      <c r="B3381" s="985"/>
      <c r="C3381" s="986"/>
      <c r="D3381" s="109"/>
      <c r="E3381" s="254"/>
      <c r="F3381" s="304"/>
      <c r="G3381" s="129"/>
    </row>
    <row r="3382" spans="1:7" ht="15" hidden="1" thickBot="1">
      <c r="A3382" s="915"/>
      <c r="B3382" s="916"/>
      <c r="C3382" s="917"/>
      <c r="D3382" s="918"/>
      <c r="E3382" s="919"/>
      <c r="F3382" s="920"/>
      <c r="G3382" s="12"/>
    </row>
    <row r="3383" spans="1:7" ht="15" hidden="1" thickBot="1">
      <c r="A3383" s="921"/>
      <c r="B3383" s="922"/>
      <c r="C3383" s="922"/>
      <c r="D3383" s="923"/>
      <c r="E3383" s="924"/>
      <c r="F3383" s="925"/>
      <c r="G3383" s="112"/>
    </row>
    <row r="3384" spans="1:7" hidden="1">
      <c r="A3384" s="40"/>
      <c r="B3384" s="40"/>
      <c r="C3384" s="40"/>
      <c r="D3384" s="146"/>
      <c r="E3384" s="250"/>
      <c r="F3384" s="298"/>
      <c r="G3384" s="147"/>
    </row>
    <row r="3385" spans="1:7" ht="15.75" hidden="1" thickBot="1">
      <c r="A3385" s="162"/>
      <c r="B3385" s="162"/>
      <c r="C3385" s="162"/>
      <c r="D3385" s="162"/>
      <c r="E3385" s="258"/>
      <c r="F3385" s="301"/>
      <c r="G3385" s="162"/>
    </row>
    <row r="3386" spans="1:7" ht="15" hidden="1" thickBot="1">
      <c r="A3386" s="1027"/>
      <c r="B3386" s="1028"/>
      <c r="C3386" s="1028"/>
      <c r="D3386" s="1028"/>
      <c r="E3386" s="1028"/>
      <c r="F3386" s="1028"/>
      <c r="G3386" s="1029"/>
    </row>
    <row r="3387" spans="1:7" ht="15" hidden="1" thickBot="1">
      <c r="A3387" s="950"/>
      <c r="B3387" s="951"/>
      <c r="C3387" s="951"/>
      <c r="D3387" s="951"/>
      <c r="E3387" s="952"/>
      <c r="F3387" s="272"/>
      <c r="G3387" s="43"/>
    </row>
    <row r="3388" spans="1:7" ht="15" hidden="1" customHeight="1" thickBot="1">
      <c r="A3388" s="953"/>
      <c r="B3388" s="954"/>
      <c r="C3388" s="954"/>
      <c r="D3388" s="954"/>
      <c r="E3388" s="955"/>
      <c r="F3388" s="273"/>
      <c r="G3388" s="45"/>
    </row>
    <row r="3389" spans="1:7" ht="15" hidden="1" thickBot="1">
      <c r="A3389" s="956"/>
      <c r="B3389" s="957"/>
      <c r="C3389" s="957"/>
      <c r="D3389" s="957"/>
      <c r="E3389" s="958"/>
      <c r="F3389" s="273"/>
      <c r="G3389" s="46"/>
    </row>
    <row r="3390" spans="1:7" ht="15" hidden="1" thickBot="1">
      <c r="A3390" s="959"/>
      <c r="B3390" s="960"/>
      <c r="C3390" s="960"/>
      <c r="D3390" s="960"/>
      <c r="E3390" s="961"/>
      <c r="F3390" s="274"/>
      <c r="G3390" s="48"/>
    </row>
    <row r="3391" spans="1:7" ht="15" hidden="1" thickBot="1">
      <c r="A3391" s="962"/>
      <c r="B3391" s="963"/>
      <c r="C3391" s="964"/>
      <c r="D3391" s="964"/>
      <c r="E3391" s="964"/>
      <c r="F3391" s="964"/>
      <c r="G3391" s="965"/>
    </row>
    <row r="3392" spans="1:7" ht="15" hidden="1" thickBot="1">
      <c r="A3392" s="909"/>
      <c r="B3392" s="913"/>
      <c r="C3392" s="914"/>
      <c r="D3392" s="95"/>
      <c r="E3392" s="242"/>
      <c r="F3392" s="286"/>
      <c r="G3392" s="113"/>
    </row>
    <row r="3393" spans="1:7" ht="15" hidden="1" thickBot="1">
      <c r="A3393" s="114"/>
      <c r="B3393" s="966"/>
      <c r="C3393" s="967"/>
      <c r="D3393" s="88"/>
      <c r="E3393" s="251"/>
      <c r="F3393" s="284"/>
      <c r="G3393" s="117"/>
    </row>
    <row r="3394" spans="1:7" ht="15" hidden="1" thickBot="1">
      <c r="A3394" s="970"/>
      <c r="B3394" s="971"/>
      <c r="C3394" s="972"/>
      <c r="D3394" s="973"/>
      <c r="E3394" s="974"/>
      <c r="F3394" s="975"/>
      <c r="G3394" s="11"/>
    </row>
    <row r="3395" spans="1:7" ht="15" hidden="1" thickBot="1">
      <c r="A3395" s="908"/>
      <c r="B3395" s="910"/>
      <c r="C3395" s="911"/>
      <c r="D3395" s="911"/>
      <c r="E3395" s="911"/>
      <c r="F3395" s="911"/>
      <c r="G3395" s="912"/>
    </row>
    <row r="3396" spans="1:7" ht="15" hidden="1" thickBot="1">
      <c r="A3396" s="909"/>
      <c r="B3396" s="913"/>
      <c r="C3396" s="914"/>
      <c r="D3396" s="95"/>
      <c r="E3396" s="242"/>
      <c r="F3396" s="292"/>
      <c r="G3396" s="113"/>
    </row>
    <row r="3397" spans="1:7" ht="15" hidden="1" thickBot="1">
      <c r="A3397" s="114"/>
      <c r="B3397" s="966"/>
      <c r="C3397" s="967"/>
      <c r="D3397" s="88"/>
      <c r="E3397" s="251"/>
      <c r="F3397" s="284"/>
      <c r="G3397" s="117"/>
    </row>
    <row r="3398" spans="1:7" ht="15" hidden="1" thickBot="1">
      <c r="A3398" s="114"/>
      <c r="B3398" s="966"/>
      <c r="C3398" s="967"/>
      <c r="D3398" s="88"/>
      <c r="E3398" s="251"/>
      <c r="F3398" s="284"/>
      <c r="G3398" s="117"/>
    </row>
    <row r="3399" spans="1:7" ht="15" hidden="1" thickBot="1">
      <c r="A3399" s="932"/>
      <c r="B3399" s="933"/>
      <c r="C3399" s="934"/>
      <c r="D3399" s="935"/>
      <c r="E3399" s="936"/>
      <c r="F3399" s="937"/>
      <c r="G3399" s="18"/>
    </row>
    <row r="3400" spans="1:7" ht="15" hidden="1" thickBot="1">
      <c r="A3400" s="908"/>
      <c r="B3400" s="910"/>
      <c r="C3400" s="911"/>
      <c r="D3400" s="911"/>
      <c r="E3400" s="911"/>
      <c r="F3400" s="911"/>
      <c r="G3400" s="912"/>
    </row>
    <row r="3401" spans="1:7" ht="15" hidden="1" thickBot="1">
      <c r="A3401" s="909"/>
      <c r="B3401" s="913"/>
      <c r="C3401" s="914"/>
      <c r="D3401" s="95"/>
      <c r="E3401" s="242"/>
      <c r="F3401" s="286"/>
      <c r="G3401" s="113"/>
    </row>
    <row r="3402" spans="1:7" ht="15" hidden="1" thickBot="1">
      <c r="A3402" s="156"/>
      <c r="B3402" s="940"/>
      <c r="C3402" s="941"/>
      <c r="D3402" s="157"/>
      <c r="E3402" s="259"/>
      <c r="F3402" s="303"/>
      <c r="G3402" s="159"/>
    </row>
    <row r="3403" spans="1:7" ht="15" hidden="1" thickBot="1">
      <c r="A3403" s="944"/>
      <c r="B3403" s="945"/>
      <c r="C3403" s="946"/>
      <c r="D3403" s="947"/>
      <c r="E3403" s="948"/>
      <c r="F3403" s="949"/>
      <c r="G3403" s="11"/>
    </row>
    <row r="3404" spans="1:7" ht="15" hidden="1" thickBot="1">
      <c r="A3404" s="908"/>
      <c r="B3404" s="910"/>
      <c r="C3404" s="911"/>
      <c r="D3404" s="911"/>
      <c r="E3404" s="911"/>
      <c r="F3404" s="911"/>
      <c r="G3404" s="912"/>
    </row>
    <row r="3405" spans="1:7" ht="15" hidden="1" thickBot="1">
      <c r="A3405" s="909"/>
      <c r="B3405" s="913"/>
      <c r="C3405" s="914"/>
      <c r="D3405" s="95"/>
      <c r="E3405" s="242"/>
      <c r="F3405" s="286"/>
      <c r="G3405" s="113"/>
    </row>
    <row r="3406" spans="1:7" ht="15" hidden="1" thickBot="1">
      <c r="A3406" s="122"/>
      <c r="B3406" s="985"/>
      <c r="C3406" s="986"/>
      <c r="D3406" s="109"/>
      <c r="E3406" s="254"/>
      <c r="F3406" s="304"/>
      <c r="G3406" s="129"/>
    </row>
    <row r="3407" spans="1:7" ht="15" hidden="1" thickBot="1">
      <c r="A3407" s="915"/>
      <c r="B3407" s="916"/>
      <c r="C3407" s="917"/>
      <c r="D3407" s="918"/>
      <c r="E3407" s="919"/>
      <c r="F3407" s="920"/>
      <c r="G3407" s="12"/>
    </row>
    <row r="3408" spans="1:7" ht="15" hidden="1" thickBot="1">
      <c r="A3408" s="921"/>
      <c r="B3408" s="922"/>
      <c r="C3408" s="922"/>
      <c r="D3408" s="923"/>
      <c r="E3408" s="924"/>
      <c r="F3408" s="925"/>
      <c r="G3408" s="112"/>
    </row>
    <row r="3409" spans="1:7" hidden="1">
      <c r="A3409" s="40"/>
      <c r="B3409" s="40"/>
      <c r="C3409" s="40"/>
      <c r="D3409" s="146"/>
      <c r="E3409" s="250"/>
      <c r="F3409" s="298"/>
      <c r="G3409" s="147"/>
    </row>
    <row r="3410" spans="1:7" ht="15.75" hidden="1" thickBot="1">
      <c r="A3410" s="162"/>
      <c r="B3410" s="162"/>
      <c r="C3410" s="162"/>
      <c r="D3410" s="162"/>
      <c r="E3410" s="258"/>
      <c r="F3410" s="301"/>
      <c r="G3410" s="162"/>
    </row>
    <row r="3411" spans="1:7" ht="15" hidden="1" thickBot="1">
      <c r="A3411" s="1027"/>
      <c r="B3411" s="1028"/>
      <c r="C3411" s="1028"/>
      <c r="D3411" s="1028"/>
      <c r="E3411" s="1028"/>
      <c r="F3411" s="1028"/>
      <c r="G3411" s="1029"/>
    </row>
    <row r="3412" spans="1:7" ht="15" hidden="1" thickBot="1">
      <c r="A3412" s="950"/>
      <c r="B3412" s="951"/>
      <c r="C3412" s="951"/>
      <c r="D3412" s="951"/>
      <c r="E3412" s="952"/>
      <c r="F3412" s="272"/>
      <c r="G3412" s="43"/>
    </row>
    <row r="3413" spans="1:7" ht="15" hidden="1" customHeight="1" thickBot="1">
      <c r="A3413" s="953"/>
      <c r="B3413" s="954"/>
      <c r="C3413" s="954"/>
      <c r="D3413" s="954"/>
      <c r="E3413" s="955"/>
      <c r="F3413" s="273"/>
      <c r="G3413" s="45"/>
    </row>
    <row r="3414" spans="1:7" ht="15" hidden="1" thickBot="1">
      <c r="A3414" s="956"/>
      <c r="B3414" s="957"/>
      <c r="C3414" s="957"/>
      <c r="D3414" s="957"/>
      <c r="E3414" s="958"/>
      <c r="F3414" s="273"/>
      <c r="G3414" s="46"/>
    </row>
    <row r="3415" spans="1:7" ht="15" hidden="1" thickBot="1">
      <c r="A3415" s="959"/>
      <c r="B3415" s="960"/>
      <c r="C3415" s="960"/>
      <c r="D3415" s="960"/>
      <c r="E3415" s="961"/>
      <c r="F3415" s="274"/>
      <c r="G3415" s="48"/>
    </row>
    <row r="3416" spans="1:7" ht="15" hidden="1" thickBot="1">
      <c r="A3416" s="962"/>
      <c r="B3416" s="963"/>
      <c r="C3416" s="964"/>
      <c r="D3416" s="964"/>
      <c r="E3416" s="964"/>
      <c r="F3416" s="964"/>
      <c r="G3416" s="965"/>
    </row>
    <row r="3417" spans="1:7" ht="15" hidden="1" thickBot="1">
      <c r="A3417" s="909"/>
      <c r="B3417" s="913"/>
      <c r="C3417" s="914"/>
      <c r="D3417" s="95"/>
      <c r="E3417" s="242"/>
      <c r="F3417" s="286"/>
      <c r="G3417" s="113"/>
    </row>
    <row r="3418" spans="1:7" ht="15" hidden="1" thickBot="1">
      <c r="A3418" s="114"/>
      <c r="B3418" s="966"/>
      <c r="C3418" s="967"/>
      <c r="D3418" s="88"/>
      <c r="E3418" s="251"/>
      <c r="F3418" s="284"/>
      <c r="G3418" s="117"/>
    </row>
    <row r="3419" spans="1:7" ht="15" hidden="1" thickBot="1">
      <c r="A3419" s="970"/>
      <c r="B3419" s="971"/>
      <c r="C3419" s="972"/>
      <c r="D3419" s="973"/>
      <c r="E3419" s="974"/>
      <c r="F3419" s="975"/>
      <c r="G3419" s="11"/>
    </row>
    <row r="3420" spans="1:7" ht="15" hidden="1" thickBot="1">
      <c r="A3420" s="908"/>
      <c r="B3420" s="910"/>
      <c r="C3420" s="911"/>
      <c r="D3420" s="911"/>
      <c r="E3420" s="911"/>
      <c r="F3420" s="911"/>
      <c r="G3420" s="912"/>
    </row>
    <row r="3421" spans="1:7" ht="15" hidden="1" thickBot="1">
      <c r="A3421" s="909"/>
      <c r="B3421" s="913"/>
      <c r="C3421" s="914"/>
      <c r="D3421" s="95"/>
      <c r="E3421" s="242"/>
      <c r="F3421" s="292"/>
      <c r="G3421" s="113"/>
    </row>
    <row r="3422" spans="1:7" ht="15" hidden="1" thickBot="1">
      <c r="A3422" s="114"/>
      <c r="B3422" s="966"/>
      <c r="C3422" s="967"/>
      <c r="D3422" s="88"/>
      <c r="E3422" s="251"/>
      <c r="F3422" s="284"/>
      <c r="G3422" s="117"/>
    </row>
    <row r="3423" spans="1:7" ht="15" hidden="1" thickBot="1">
      <c r="A3423" s="114"/>
      <c r="B3423" s="966"/>
      <c r="C3423" s="967"/>
      <c r="D3423" s="88"/>
      <c r="E3423" s="251"/>
      <c r="F3423" s="284"/>
      <c r="G3423" s="117"/>
    </row>
    <row r="3424" spans="1:7" ht="15" hidden="1" thickBot="1">
      <c r="A3424" s="114"/>
      <c r="B3424" s="966"/>
      <c r="C3424" s="967"/>
      <c r="D3424" s="88"/>
      <c r="E3424" s="251"/>
      <c r="F3424" s="284"/>
      <c r="G3424" s="117"/>
    </row>
    <row r="3425" spans="1:7" ht="15" hidden="1" thickBot="1">
      <c r="A3425" s="932"/>
      <c r="B3425" s="933"/>
      <c r="C3425" s="934"/>
      <c r="D3425" s="935"/>
      <c r="E3425" s="936"/>
      <c r="F3425" s="937"/>
      <c r="G3425" s="18"/>
    </row>
    <row r="3426" spans="1:7" ht="15" hidden="1" thickBot="1">
      <c r="A3426" s="908"/>
      <c r="B3426" s="910"/>
      <c r="C3426" s="911"/>
      <c r="D3426" s="911"/>
      <c r="E3426" s="911"/>
      <c r="F3426" s="911"/>
      <c r="G3426" s="912"/>
    </row>
    <row r="3427" spans="1:7" ht="15" hidden="1" thickBot="1">
      <c r="A3427" s="909"/>
      <c r="B3427" s="913"/>
      <c r="C3427" s="914"/>
      <c r="D3427" s="95"/>
      <c r="E3427" s="242"/>
      <c r="F3427" s="286"/>
      <c r="G3427" s="113"/>
    </row>
    <row r="3428" spans="1:7" ht="15" hidden="1" thickBot="1">
      <c r="A3428" s="156"/>
      <c r="B3428" s="940"/>
      <c r="C3428" s="941"/>
      <c r="D3428" s="157"/>
      <c r="E3428" s="259"/>
      <c r="F3428" s="303"/>
      <c r="G3428" s="159"/>
    </row>
    <row r="3429" spans="1:7" ht="15" hidden="1" thickBot="1">
      <c r="A3429" s="944"/>
      <c r="B3429" s="945"/>
      <c r="C3429" s="946"/>
      <c r="D3429" s="947"/>
      <c r="E3429" s="948"/>
      <c r="F3429" s="949"/>
      <c r="G3429" s="11"/>
    </row>
    <row r="3430" spans="1:7" ht="15" hidden="1" thickBot="1">
      <c r="A3430" s="908"/>
      <c r="B3430" s="910"/>
      <c r="C3430" s="911"/>
      <c r="D3430" s="911"/>
      <c r="E3430" s="911"/>
      <c r="F3430" s="911"/>
      <c r="G3430" s="912"/>
    </row>
    <row r="3431" spans="1:7" ht="15" hidden="1" thickBot="1">
      <c r="A3431" s="909"/>
      <c r="B3431" s="913"/>
      <c r="C3431" s="914"/>
      <c r="D3431" s="95"/>
      <c r="E3431" s="242"/>
      <c r="F3431" s="286"/>
      <c r="G3431" s="113"/>
    </row>
    <row r="3432" spans="1:7" ht="15" hidden="1" thickBot="1">
      <c r="A3432" s="122"/>
      <c r="B3432" s="985"/>
      <c r="C3432" s="986"/>
      <c r="D3432" s="109"/>
      <c r="E3432" s="254"/>
      <c r="F3432" s="304"/>
      <c r="G3432" s="129"/>
    </row>
    <row r="3433" spans="1:7" ht="15" hidden="1" thickBot="1">
      <c r="A3433" s="915"/>
      <c r="B3433" s="916"/>
      <c r="C3433" s="917"/>
      <c r="D3433" s="918"/>
      <c r="E3433" s="919"/>
      <c r="F3433" s="920"/>
      <c r="G3433" s="12"/>
    </row>
    <row r="3434" spans="1:7" ht="15" hidden="1" thickBot="1">
      <c r="A3434" s="921"/>
      <c r="B3434" s="922"/>
      <c r="C3434" s="922"/>
      <c r="D3434" s="923"/>
      <c r="E3434" s="924"/>
      <c r="F3434" s="925"/>
      <c r="G3434" s="112"/>
    </row>
    <row r="3435" spans="1:7" hidden="1">
      <c r="A3435" s="40"/>
      <c r="B3435" s="40"/>
      <c r="C3435" s="40"/>
      <c r="D3435" s="146"/>
      <c r="E3435" s="250"/>
      <c r="F3435" s="298"/>
      <c r="G3435" s="147"/>
    </row>
    <row r="3436" spans="1:7" ht="15.75" hidden="1" thickBot="1">
      <c r="A3436" s="162"/>
      <c r="B3436" s="162"/>
      <c r="C3436" s="162"/>
      <c r="D3436" s="162"/>
      <c r="E3436" s="258"/>
      <c r="F3436" s="301"/>
      <c r="G3436" s="162"/>
    </row>
    <row r="3437" spans="1:7" ht="15" hidden="1" thickBot="1">
      <c r="A3437" s="1027"/>
      <c r="B3437" s="1028"/>
      <c r="C3437" s="1028"/>
      <c r="D3437" s="1028"/>
      <c r="E3437" s="1028"/>
      <c r="F3437" s="1028"/>
      <c r="G3437" s="1029"/>
    </row>
    <row r="3438" spans="1:7" ht="15" hidden="1" thickBot="1">
      <c r="A3438" s="950"/>
      <c r="B3438" s="951"/>
      <c r="C3438" s="951"/>
      <c r="D3438" s="951"/>
      <c r="E3438" s="952"/>
      <c r="F3438" s="272"/>
      <c r="G3438" s="43"/>
    </row>
    <row r="3439" spans="1:7" ht="15" hidden="1" customHeight="1" thickBot="1">
      <c r="A3439" s="953"/>
      <c r="B3439" s="954"/>
      <c r="C3439" s="954"/>
      <c r="D3439" s="954"/>
      <c r="E3439" s="955"/>
      <c r="F3439" s="273"/>
      <c r="G3439" s="45"/>
    </row>
    <row r="3440" spans="1:7" ht="15" hidden="1" thickBot="1">
      <c r="A3440" s="956"/>
      <c r="B3440" s="957"/>
      <c r="C3440" s="957"/>
      <c r="D3440" s="957"/>
      <c r="E3440" s="958"/>
      <c r="F3440" s="273"/>
      <c r="G3440" s="46"/>
    </row>
    <row r="3441" spans="1:7" ht="15" hidden="1" thickBot="1">
      <c r="A3441" s="959"/>
      <c r="B3441" s="960"/>
      <c r="C3441" s="960"/>
      <c r="D3441" s="960"/>
      <c r="E3441" s="961"/>
      <c r="F3441" s="274"/>
      <c r="G3441" s="48"/>
    </row>
    <row r="3442" spans="1:7" ht="15" hidden="1" thickBot="1">
      <c r="A3442" s="962"/>
      <c r="B3442" s="963"/>
      <c r="C3442" s="964"/>
      <c r="D3442" s="964"/>
      <c r="E3442" s="964"/>
      <c r="F3442" s="964"/>
      <c r="G3442" s="965"/>
    </row>
    <row r="3443" spans="1:7" ht="15" hidden="1" thickBot="1">
      <c r="A3443" s="909"/>
      <c r="B3443" s="913"/>
      <c r="C3443" s="914"/>
      <c r="D3443" s="95"/>
      <c r="E3443" s="242"/>
      <c r="F3443" s="286"/>
      <c r="G3443" s="113"/>
    </row>
    <row r="3444" spans="1:7" ht="15" hidden="1" thickBot="1">
      <c r="A3444" s="114"/>
      <c r="B3444" s="966"/>
      <c r="C3444" s="967"/>
      <c r="D3444" s="88"/>
      <c r="E3444" s="251"/>
      <c r="F3444" s="284"/>
      <c r="G3444" s="117"/>
    </row>
    <row r="3445" spans="1:7" ht="15" hidden="1" thickBot="1">
      <c r="A3445" s="970"/>
      <c r="B3445" s="971"/>
      <c r="C3445" s="972"/>
      <c r="D3445" s="973"/>
      <c r="E3445" s="974"/>
      <c r="F3445" s="975"/>
      <c r="G3445" s="11"/>
    </row>
    <row r="3446" spans="1:7" ht="15" hidden="1" thickBot="1">
      <c r="A3446" s="908"/>
      <c r="B3446" s="910"/>
      <c r="C3446" s="911"/>
      <c r="D3446" s="911"/>
      <c r="E3446" s="911"/>
      <c r="F3446" s="911"/>
      <c r="G3446" s="912"/>
    </row>
    <row r="3447" spans="1:7" ht="15" hidden="1" thickBot="1">
      <c r="A3447" s="909"/>
      <c r="B3447" s="913"/>
      <c r="C3447" s="914"/>
      <c r="D3447" s="95"/>
      <c r="E3447" s="242"/>
      <c r="F3447" s="292"/>
      <c r="G3447" s="113"/>
    </row>
    <row r="3448" spans="1:7" ht="15" hidden="1" thickBot="1">
      <c r="A3448" s="114"/>
      <c r="B3448" s="966"/>
      <c r="C3448" s="967"/>
      <c r="D3448" s="88"/>
      <c r="E3448" s="251"/>
      <c r="F3448" s="284"/>
      <c r="G3448" s="117"/>
    </row>
    <row r="3449" spans="1:7" ht="15" hidden="1" thickBot="1">
      <c r="A3449" s="114"/>
      <c r="B3449" s="966"/>
      <c r="C3449" s="967"/>
      <c r="D3449" s="88"/>
      <c r="E3449" s="251"/>
      <c r="F3449" s="284"/>
      <c r="G3449" s="117"/>
    </row>
    <row r="3450" spans="1:7" ht="15" hidden="1" thickBot="1">
      <c r="A3450" s="114"/>
      <c r="B3450" s="966"/>
      <c r="C3450" s="967"/>
      <c r="D3450" s="88"/>
      <c r="E3450" s="251"/>
      <c r="F3450" s="284"/>
      <c r="G3450" s="117"/>
    </row>
    <row r="3451" spans="1:7" ht="15" hidden="1" thickBot="1">
      <c r="A3451" s="114"/>
      <c r="B3451" s="966"/>
      <c r="C3451" s="967"/>
      <c r="D3451" s="88"/>
      <c r="E3451" s="251"/>
      <c r="F3451" s="284"/>
      <c r="G3451" s="117"/>
    </row>
    <row r="3452" spans="1:7" ht="15" hidden="1" thickBot="1">
      <c r="A3452" s="114"/>
      <c r="B3452" s="966"/>
      <c r="C3452" s="967"/>
      <c r="D3452" s="88"/>
      <c r="E3452" s="251"/>
      <c r="F3452" s="284"/>
      <c r="G3452" s="117"/>
    </row>
    <row r="3453" spans="1:7" ht="15" hidden="1" thickBot="1">
      <c r="A3453" s="114"/>
      <c r="B3453" s="966"/>
      <c r="C3453" s="967"/>
      <c r="D3453" s="88"/>
      <c r="E3453" s="251"/>
      <c r="F3453" s="284"/>
      <c r="G3453" s="117"/>
    </row>
    <row r="3454" spans="1:7" ht="15" hidden="1" thickBot="1">
      <c r="A3454" s="114"/>
      <c r="B3454" s="966"/>
      <c r="C3454" s="967"/>
      <c r="D3454" s="88"/>
      <c r="E3454" s="251"/>
      <c r="F3454" s="284"/>
      <c r="G3454" s="117"/>
    </row>
    <row r="3455" spans="1:7" ht="15" hidden="1" thickBot="1">
      <c r="A3455" s="114"/>
      <c r="B3455" s="966"/>
      <c r="C3455" s="967"/>
      <c r="D3455" s="88"/>
      <c r="E3455" s="251"/>
      <c r="F3455" s="284"/>
      <c r="G3455" s="117"/>
    </row>
    <row r="3456" spans="1:7" ht="15" hidden="1" thickBot="1">
      <c r="A3456" s="114"/>
      <c r="B3456" s="966"/>
      <c r="C3456" s="967"/>
      <c r="D3456" s="88"/>
      <c r="E3456" s="251"/>
      <c r="F3456" s="284"/>
      <c r="G3456" s="117"/>
    </row>
    <row r="3457" spans="1:7" ht="15" hidden="1" thickBot="1">
      <c r="A3457" s="114"/>
      <c r="B3457" s="966"/>
      <c r="C3457" s="967"/>
      <c r="D3457" s="88"/>
      <c r="E3457" s="251"/>
      <c r="F3457" s="284"/>
      <c r="G3457" s="117"/>
    </row>
    <row r="3458" spans="1:7" ht="15" hidden="1" thickBot="1">
      <c r="A3458" s="932"/>
      <c r="B3458" s="933"/>
      <c r="C3458" s="934"/>
      <c r="D3458" s="935"/>
      <c r="E3458" s="936"/>
      <c r="F3458" s="937"/>
      <c r="G3458" s="18"/>
    </row>
    <row r="3459" spans="1:7" ht="15" hidden="1" thickBot="1">
      <c r="A3459" s="908"/>
      <c r="B3459" s="910"/>
      <c r="C3459" s="911"/>
      <c r="D3459" s="911"/>
      <c r="E3459" s="911"/>
      <c r="F3459" s="911"/>
      <c r="G3459" s="912"/>
    </row>
    <row r="3460" spans="1:7" ht="15" hidden="1" thickBot="1">
      <c r="A3460" s="909"/>
      <c r="B3460" s="913"/>
      <c r="C3460" s="914"/>
      <c r="D3460" s="95"/>
      <c r="E3460" s="242"/>
      <c r="F3460" s="286"/>
      <c r="G3460" s="113"/>
    </row>
    <row r="3461" spans="1:7" ht="15" hidden="1" thickBot="1">
      <c r="A3461" s="156"/>
      <c r="B3461" s="942"/>
      <c r="C3461" s="943"/>
      <c r="D3461" s="104"/>
      <c r="E3461" s="247"/>
      <c r="F3461" s="284"/>
      <c r="G3461" s="159"/>
    </row>
    <row r="3462" spans="1:7" ht="15" hidden="1" thickBot="1">
      <c r="A3462" s="231"/>
      <c r="B3462" s="940"/>
      <c r="C3462" s="941"/>
      <c r="D3462" s="157"/>
      <c r="E3462" s="259"/>
      <c r="F3462" s="303"/>
      <c r="G3462" s="159"/>
    </row>
    <row r="3463" spans="1:7" ht="15" hidden="1" thickBot="1">
      <c r="A3463" s="944"/>
      <c r="B3463" s="945"/>
      <c r="C3463" s="946"/>
      <c r="D3463" s="947"/>
      <c r="E3463" s="948"/>
      <c r="F3463" s="949"/>
      <c r="G3463" s="11"/>
    </row>
    <row r="3464" spans="1:7" ht="15" hidden="1" thickBot="1">
      <c r="A3464" s="908"/>
      <c r="B3464" s="910"/>
      <c r="C3464" s="911"/>
      <c r="D3464" s="911"/>
      <c r="E3464" s="911"/>
      <c r="F3464" s="911"/>
      <c r="G3464" s="912"/>
    </row>
    <row r="3465" spans="1:7" ht="15" hidden="1" thickBot="1">
      <c r="A3465" s="909"/>
      <c r="B3465" s="913"/>
      <c r="C3465" s="914"/>
      <c r="D3465" s="95"/>
      <c r="E3465" s="242"/>
      <c r="F3465" s="286"/>
      <c r="G3465" s="113"/>
    </row>
    <row r="3466" spans="1:7" ht="15" hidden="1" thickBot="1">
      <c r="A3466" s="122"/>
      <c r="B3466" s="985"/>
      <c r="C3466" s="986"/>
      <c r="D3466" s="109"/>
      <c r="E3466" s="254"/>
      <c r="F3466" s="304"/>
      <c r="G3466" s="129"/>
    </row>
    <row r="3467" spans="1:7" ht="15" hidden="1" thickBot="1">
      <c r="A3467" s="915"/>
      <c r="B3467" s="916"/>
      <c r="C3467" s="917"/>
      <c r="D3467" s="918"/>
      <c r="E3467" s="919"/>
      <c r="F3467" s="920"/>
      <c r="G3467" s="12"/>
    </row>
    <row r="3468" spans="1:7" ht="15" hidden="1" thickBot="1">
      <c r="A3468" s="921"/>
      <c r="B3468" s="922"/>
      <c r="C3468" s="922"/>
      <c r="D3468" s="923"/>
      <c r="E3468" s="924"/>
      <c r="F3468" s="925"/>
      <c r="G3468" s="112"/>
    </row>
    <row r="3469" spans="1:7" hidden="1">
      <c r="A3469" s="40"/>
      <c r="B3469" s="40"/>
      <c r="C3469" s="40"/>
      <c r="D3469" s="146"/>
      <c r="E3469" s="250"/>
      <c r="F3469" s="298"/>
      <c r="G3469" s="147"/>
    </row>
    <row r="3470" spans="1:7" ht="15.75" hidden="1" thickBot="1">
      <c r="A3470" s="162"/>
      <c r="B3470" s="162"/>
      <c r="C3470" s="162"/>
      <c r="D3470" s="162"/>
      <c r="E3470" s="258"/>
      <c r="F3470" s="301"/>
      <c r="G3470" s="162"/>
    </row>
    <row r="3471" spans="1:7" ht="15" hidden="1" thickBot="1">
      <c r="A3471" s="1027"/>
      <c r="B3471" s="1028"/>
      <c r="C3471" s="1028"/>
      <c r="D3471" s="1028"/>
      <c r="E3471" s="1028"/>
      <c r="F3471" s="1028"/>
      <c r="G3471" s="1029"/>
    </row>
    <row r="3472" spans="1:7" ht="15" hidden="1" thickBot="1">
      <c r="A3472" s="950"/>
      <c r="B3472" s="951"/>
      <c r="C3472" s="951"/>
      <c r="D3472" s="951"/>
      <c r="E3472" s="952"/>
      <c r="F3472" s="272"/>
      <c r="G3472" s="43"/>
    </row>
    <row r="3473" spans="1:7" ht="15" hidden="1" customHeight="1" thickBot="1">
      <c r="A3473" s="953"/>
      <c r="B3473" s="954"/>
      <c r="C3473" s="954"/>
      <c r="D3473" s="954"/>
      <c r="E3473" s="955"/>
      <c r="F3473" s="273"/>
      <c r="G3473" s="45"/>
    </row>
    <row r="3474" spans="1:7" ht="15" hidden="1" thickBot="1">
      <c r="A3474" s="956"/>
      <c r="B3474" s="957"/>
      <c r="C3474" s="957"/>
      <c r="D3474" s="957"/>
      <c r="E3474" s="958"/>
      <c r="F3474" s="273"/>
      <c r="G3474" s="46"/>
    </row>
    <row r="3475" spans="1:7" ht="15" hidden="1" thickBot="1">
      <c r="A3475" s="959"/>
      <c r="B3475" s="960"/>
      <c r="C3475" s="960"/>
      <c r="D3475" s="960"/>
      <c r="E3475" s="961"/>
      <c r="F3475" s="274"/>
      <c r="G3475" s="48"/>
    </row>
    <row r="3476" spans="1:7" ht="15" hidden="1" thickBot="1">
      <c r="A3476" s="962"/>
      <c r="B3476" s="963"/>
      <c r="C3476" s="964"/>
      <c r="D3476" s="964"/>
      <c r="E3476" s="964"/>
      <c r="F3476" s="964"/>
      <c r="G3476" s="965"/>
    </row>
    <row r="3477" spans="1:7" ht="15" hidden="1" thickBot="1">
      <c r="A3477" s="909"/>
      <c r="B3477" s="913"/>
      <c r="C3477" s="914"/>
      <c r="D3477" s="95"/>
      <c r="E3477" s="242"/>
      <c r="F3477" s="286"/>
      <c r="G3477" s="113"/>
    </row>
    <row r="3478" spans="1:7" ht="15" hidden="1" thickBot="1">
      <c r="A3478" s="114"/>
      <c r="B3478" s="966"/>
      <c r="C3478" s="967"/>
      <c r="D3478" s="88"/>
      <c r="E3478" s="251"/>
      <c r="F3478" s="284"/>
      <c r="G3478" s="117"/>
    </row>
    <row r="3479" spans="1:7" ht="15" hidden="1" thickBot="1">
      <c r="A3479" s="970"/>
      <c r="B3479" s="971"/>
      <c r="C3479" s="972"/>
      <c r="D3479" s="973"/>
      <c r="E3479" s="974"/>
      <c r="F3479" s="975"/>
      <c r="G3479" s="11"/>
    </row>
    <row r="3480" spans="1:7" ht="15" hidden="1" thickBot="1">
      <c r="A3480" s="908"/>
      <c r="B3480" s="910"/>
      <c r="C3480" s="911"/>
      <c r="D3480" s="911"/>
      <c r="E3480" s="911"/>
      <c r="F3480" s="911"/>
      <c r="G3480" s="912"/>
    </row>
    <row r="3481" spans="1:7" ht="15" hidden="1" thickBot="1">
      <c r="A3481" s="909"/>
      <c r="B3481" s="913"/>
      <c r="C3481" s="914"/>
      <c r="D3481" s="95"/>
      <c r="E3481" s="242"/>
      <c r="F3481" s="292"/>
      <c r="G3481" s="113"/>
    </row>
    <row r="3482" spans="1:7" ht="15" hidden="1" thickBot="1">
      <c r="A3482" s="114"/>
      <c r="B3482" s="966"/>
      <c r="C3482" s="967"/>
      <c r="D3482" s="88"/>
      <c r="E3482" s="251"/>
      <c r="F3482" s="284"/>
      <c r="G3482" s="117"/>
    </row>
    <row r="3483" spans="1:7" ht="15" hidden="1" thickBot="1">
      <c r="A3483" s="114"/>
      <c r="B3483" s="966"/>
      <c r="C3483" s="967"/>
      <c r="D3483" s="88"/>
      <c r="E3483" s="251"/>
      <c r="F3483" s="284"/>
      <c r="G3483" s="117"/>
    </row>
    <row r="3484" spans="1:7" ht="15" hidden="1" thickBot="1">
      <c r="A3484" s="114"/>
      <c r="B3484" s="966"/>
      <c r="C3484" s="967"/>
      <c r="D3484" s="88"/>
      <c r="E3484" s="251"/>
      <c r="F3484" s="284"/>
      <c r="G3484" s="117"/>
    </row>
    <row r="3485" spans="1:7" ht="15" hidden="1" thickBot="1">
      <c r="A3485" s="114"/>
      <c r="B3485" s="966"/>
      <c r="C3485" s="967"/>
      <c r="D3485" s="88"/>
      <c r="E3485" s="251"/>
      <c r="F3485" s="284"/>
      <c r="G3485" s="117"/>
    </row>
    <row r="3486" spans="1:7" ht="15" hidden="1" thickBot="1">
      <c r="A3486" s="114"/>
      <c r="B3486" s="966"/>
      <c r="C3486" s="967"/>
      <c r="D3486" s="88"/>
      <c r="E3486" s="251"/>
      <c r="F3486" s="284"/>
      <c r="G3486" s="117"/>
    </row>
    <row r="3487" spans="1:7" ht="15" hidden="1" thickBot="1">
      <c r="A3487" s="114"/>
      <c r="B3487" s="966"/>
      <c r="C3487" s="967"/>
      <c r="D3487" s="88"/>
      <c r="E3487" s="251"/>
      <c r="F3487" s="284"/>
      <c r="G3487" s="117"/>
    </row>
    <row r="3488" spans="1:7" ht="15" hidden="1" thickBot="1">
      <c r="A3488" s="114"/>
      <c r="B3488" s="966"/>
      <c r="C3488" s="967"/>
      <c r="D3488" s="88"/>
      <c r="E3488" s="251"/>
      <c r="F3488" s="284"/>
      <c r="G3488" s="117"/>
    </row>
    <row r="3489" spans="1:7" ht="15" hidden="1" thickBot="1">
      <c r="A3489" s="114"/>
      <c r="B3489" s="966"/>
      <c r="C3489" s="967"/>
      <c r="D3489" s="88"/>
      <c r="E3489" s="251"/>
      <c r="F3489" s="284"/>
      <c r="G3489" s="117"/>
    </row>
    <row r="3490" spans="1:7" ht="15" hidden="1" thickBot="1">
      <c r="A3490" s="114"/>
      <c r="B3490" s="966"/>
      <c r="C3490" s="967"/>
      <c r="D3490" s="88"/>
      <c r="E3490" s="251"/>
      <c r="F3490" s="284"/>
      <c r="G3490" s="117"/>
    </row>
    <row r="3491" spans="1:7" ht="15" hidden="1" thickBot="1">
      <c r="A3491" s="932"/>
      <c r="B3491" s="933"/>
      <c r="C3491" s="934"/>
      <c r="D3491" s="935"/>
      <c r="E3491" s="936"/>
      <c r="F3491" s="937"/>
      <c r="G3491" s="18"/>
    </row>
    <row r="3492" spans="1:7" ht="15" hidden="1" thickBot="1">
      <c r="A3492" s="908"/>
      <c r="B3492" s="910"/>
      <c r="C3492" s="911"/>
      <c r="D3492" s="911"/>
      <c r="E3492" s="911"/>
      <c r="F3492" s="911"/>
      <c r="G3492" s="912"/>
    </row>
    <row r="3493" spans="1:7" ht="15" hidden="1" thickBot="1">
      <c r="A3493" s="909"/>
      <c r="B3493" s="913"/>
      <c r="C3493" s="914"/>
      <c r="D3493" s="95"/>
      <c r="E3493" s="242"/>
      <c r="F3493" s="286"/>
      <c r="G3493" s="113"/>
    </row>
    <row r="3494" spans="1:7" ht="15" hidden="1" thickBot="1">
      <c r="A3494" s="156"/>
      <c r="B3494" s="942"/>
      <c r="C3494" s="943"/>
      <c r="D3494" s="104"/>
      <c r="E3494" s="247"/>
      <c r="F3494" s="284"/>
      <c r="G3494" s="159"/>
    </row>
    <row r="3495" spans="1:7" ht="15" hidden="1" thickBot="1">
      <c r="A3495" s="231"/>
      <c r="B3495" s="1075"/>
      <c r="C3495" s="1076"/>
      <c r="D3495" s="157"/>
      <c r="E3495" s="259"/>
      <c r="F3495" s="303"/>
      <c r="G3495" s="159"/>
    </row>
    <row r="3496" spans="1:7" ht="15" hidden="1" thickBot="1">
      <c r="A3496" s="944"/>
      <c r="B3496" s="945"/>
      <c r="C3496" s="946"/>
      <c r="D3496" s="947"/>
      <c r="E3496" s="948"/>
      <c r="F3496" s="949"/>
      <c r="G3496" s="11"/>
    </row>
    <row r="3497" spans="1:7" ht="15" hidden="1" thickBot="1">
      <c r="A3497" s="908"/>
      <c r="B3497" s="910"/>
      <c r="C3497" s="911"/>
      <c r="D3497" s="911"/>
      <c r="E3497" s="911"/>
      <c r="F3497" s="911"/>
      <c r="G3497" s="912"/>
    </row>
    <row r="3498" spans="1:7" ht="15" hidden="1" thickBot="1">
      <c r="A3498" s="909"/>
      <c r="B3498" s="913"/>
      <c r="C3498" s="914"/>
      <c r="D3498" s="95"/>
      <c r="E3498" s="242"/>
      <c r="F3498" s="286"/>
      <c r="G3498" s="113"/>
    </row>
    <row r="3499" spans="1:7" ht="15" hidden="1" thickBot="1">
      <c r="A3499" s="122"/>
      <c r="B3499" s="985"/>
      <c r="C3499" s="986"/>
      <c r="D3499" s="109"/>
      <c r="E3499" s="254"/>
      <c r="F3499" s="304"/>
      <c r="G3499" s="129"/>
    </row>
    <row r="3500" spans="1:7" ht="15" hidden="1" thickBot="1">
      <c r="A3500" s="915"/>
      <c r="B3500" s="916"/>
      <c r="C3500" s="917"/>
      <c r="D3500" s="918"/>
      <c r="E3500" s="919"/>
      <c r="F3500" s="920"/>
      <c r="G3500" s="12"/>
    </row>
    <row r="3501" spans="1:7" ht="15" hidden="1" thickBot="1">
      <c r="A3501" s="921"/>
      <c r="B3501" s="922"/>
      <c r="C3501" s="922"/>
      <c r="D3501" s="923"/>
      <c r="E3501" s="924"/>
      <c r="F3501" s="925"/>
      <c r="G3501" s="112"/>
    </row>
    <row r="3502" spans="1:7" hidden="1">
      <c r="A3502" s="40"/>
      <c r="B3502" s="40"/>
      <c r="C3502" s="40"/>
      <c r="D3502" s="146"/>
      <c r="E3502" s="250"/>
      <c r="F3502" s="298"/>
      <c r="G3502" s="147"/>
    </row>
    <row r="3503" spans="1:7" ht="15.75" hidden="1" thickBot="1">
      <c r="A3503" s="162"/>
      <c r="B3503" s="162"/>
      <c r="C3503" s="162"/>
      <c r="D3503" s="162"/>
      <c r="E3503" s="258"/>
      <c r="F3503" s="301"/>
      <c r="G3503" s="162"/>
    </row>
    <row r="3504" spans="1:7" ht="15" hidden="1" thickBot="1">
      <c r="A3504" s="1027"/>
      <c r="B3504" s="1028"/>
      <c r="C3504" s="1028"/>
      <c r="D3504" s="1028"/>
      <c r="E3504" s="1028"/>
      <c r="F3504" s="1028"/>
      <c r="G3504" s="1029"/>
    </row>
    <row r="3505" spans="1:7" ht="15" hidden="1" thickBot="1">
      <c r="A3505" s="950"/>
      <c r="B3505" s="951"/>
      <c r="C3505" s="951"/>
      <c r="D3505" s="951"/>
      <c r="E3505" s="952"/>
      <c r="F3505" s="272"/>
      <c r="G3505" s="43"/>
    </row>
    <row r="3506" spans="1:7" ht="15" hidden="1" customHeight="1" thickBot="1">
      <c r="A3506" s="953"/>
      <c r="B3506" s="954"/>
      <c r="C3506" s="954"/>
      <c r="D3506" s="954"/>
      <c r="E3506" s="955"/>
      <c r="F3506" s="273"/>
      <c r="G3506" s="45"/>
    </row>
    <row r="3507" spans="1:7" ht="15" hidden="1" thickBot="1">
      <c r="A3507" s="956"/>
      <c r="B3507" s="957"/>
      <c r="C3507" s="957"/>
      <c r="D3507" s="957"/>
      <c r="E3507" s="958"/>
      <c r="F3507" s="273"/>
      <c r="G3507" s="46"/>
    </row>
    <row r="3508" spans="1:7" ht="15" hidden="1" thickBot="1">
      <c r="A3508" s="959"/>
      <c r="B3508" s="960"/>
      <c r="C3508" s="960"/>
      <c r="D3508" s="960"/>
      <c r="E3508" s="961"/>
      <c r="F3508" s="274"/>
      <c r="G3508" s="48"/>
    </row>
    <row r="3509" spans="1:7" ht="15" hidden="1" thickBot="1">
      <c r="A3509" s="962"/>
      <c r="B3509" s="963"/>
      <c r="C3509" s="964"/>
      <c r="D3509" s="964"/>
      <c r="E3509" s="964"/>
      <c r="F3509" s="964"/>
      <c r="G3509" s="965"/>
    </row>
    <row r="3510" spans="1:7" ht="15" hidden="1" thickBot="1">
      <c r="A3510" s="909"/>
      <c r="B3510" s="913"/>
      <c r="C3510" s="914"/>
      <c r="D3510" s="95"/>
      <c r="E3510" s="242"/>
      <c r="F3510" s="286"/>
      <c r="G3510" s="113"/>
    </row>
    <row r="3511" spans="1:7" ht="15" hidden="1" thickBot="1">
      <c r="A3511" s="114"/>
      <c r="B3511" s="966"/>
      <c r="C3511" s="967"/>
      <c r="D3511" s="88"/>
      <c r="E3511" s="251"/>
      <c r="F3511" s="284"/>
      <c r="G3511" s="117"/>
    </row>
    <row r="3512" spans="1:7" ht="15" hidden="1" thickBot="1">
      <c r="A3512" s="970"/>
      <c r="B3512" s="971"/>
      <c r="C3512" s="972"/>
      <c r="D3512" s="973"/>
      <c r="E3512" s="974"/>
      <c r="F3512" s="975"/>
      <c r="G3512" s="11"/>
    </row>
    <row r="3513" spans="1:7" ht="15" hidden="1" thickBot="1">
      <c r="A3513" s="908"/>
      <c r="B3513" s="910"/>
      <c r="C3513" s="911"/>
      <c r="D3513" s="911"/>
      <c r="E3513" s="911"/>
      <c r="F3513" s="911"/>
      <c r="G3513" s="912"/>
    </row>
    <row r="3514" spans="1:7" ht="15" hidden="1" thickBot="1">
      <c r="A3514" s="909"/>
      <c r="B3514" s="913"/>
      <c r="C3514" s="914"/>
      <c r="D3514" s="95"/>
      <c r="E3514" s="242"/>
      <c r="F3514" s="292"/>
      <c r="G3514" s="113"/>
    </row>
    <row r="3515" spans="1:7" ht="15" hidden="1" thickBot="1">
      <c r="A3515" s="114"/>
      <c r="B3515" s="966"/>
      <c r="C3515" s="967"/>
      <c r="D3515" s="88"/>
      <c r="E3515" s="251"/>
      <c r="F3515" s="284"/>
      <c r="G3515" s="117"/>
    </row>
    <row r="3516" spans="1:7" ht="15" hidden="1" thickBot="1">
      <c r="A3516" s="114"/>
      <c r="B3516" s="966"/>
      <c r="C3516" s="967"/>
      <c r="D3516" s="88"/>
      <c r="E3516" s="251"/>
      <c r="F3516" s="284"/>
      <c r="G3516" s="117"/>
    </row>
    <row r="3517" spans="1:7" ht="15" hidden="1" thickBot="1">
      <c r="A3517" s="114"/>
      <c r="B3517" s="966"/>
      <c r="C3517" s="967"/>
      <c r="D3517" s="88"/>
      <c r="E3517" s="251"/>
      <c r="F3517" s="284"/>
      <c r="G3517" s="117"/>
    </row>
    <row r="3518" spans="1:7" ht="15" hidden="1" thickBot="1">
      <c r="A3518" s="114"/>
      <c r="B3518" s="966"/>
      <c r="C3518" s="967"/>
      <c r="D3518" s="88"/>
      <c r="E3518" s="251"/>
      <c r="F3518" s="284"/>
      <c r="G3518" s="117"/>
    </row>
    <row r="3519" spans="1:7" ht="15" hidden="1" thickBot="1">
      <c r="A3519" s="114"/>
      <c r="B3519" s="966"/>
      <c r="C3519" s="967"/>
      <c r="D3519" s="88"/>
      <c r="E3519" s="251"/>
      <c r="F3519" s="284"/>
      <c r="G3519" s="117"/>
    </row>
    <row r="3520" spans="1:7" ht="15" hidden="1" thickBot="1">
      <c r="A3520" s="114"/>
      <c r="B3520" s="966"/>
      <c r="C3520" s="967"/>
      <c r="D3520" s="88"/>
      <c r="E3520" s="251"/>
      <c r="F3520" s="284"/>
      <c r="G3520" s="117"/>
    </row>
    <row r="3521" spans="1:7" ht="15" hidden="1" thickBot="1">
      <c r="A3521" s="114"/>
      <c r="B3521" s="966"/>
      <c r="C3521" s="967"/>
      <c r="D3521" s="88"/>
      <c r="E3521" s="251"/>
      <c r="F3521" s="284"/>
      <c r="G3521" s="117"/>
    </row>
    <row r="3522" spans="1:7" ht="15" hidden="1" thickBot="1">
      <c r="A3522" s="114"/>
      <c r="B3522" s="966"/>
      <c r="C3522" s="967"/>
      <c r="D3522" s="88"/>
      <c r="E3522" s="251"/>
      <c r="F3522" s="284"/>
      <c r="G3522" s="117"/>
    </row>
    <row r="3523" spans="1:7" ht="15" hidden="1" thickBot="1">
      <c r="A3523" s="114"/>
      <c r="B3523" s="966"/>
      <c r="C3523" s="967"/>
      <c r="D3523" s="88"/>
      <c r="E3523" s="251"/>
      <c r="F3523" s="284"/>
      <c r="G3523" s="117"/>
    </row>
    <row r="3524" spans="1:7" ht="15" hidden="1" thickBot="1">
      <c r="A3524" s="114"/>
      <c r="B3524" s="966"/>
      <c r="C3524" s="967"/>
      <c r="D3524" s="88"/>
      <c r="E3524" s="251"/>
      <c r="F3524" s="284"/>
      <c r="G3524" s="117"/>
    </row>
    <row r="3525" spans="1:7" ht="15" hidden="1" thickBot="1">
      <c r="A3525" s="932"/>
      <c r="B3525" s="933"/>
      <c r="C3525" s="934"/>
      <c r="D3525" s="935"/>
      <c r="E3525" s="936"/>
      <c r="F3525" s="937"/>
      <c r="G3525" s="18"/>
    </row>
    <row r="3526" spans="1:7" ht="15" hidden="1" thickBot="1">
      <c r="A3526" s="908"/>
      <c r="B3526" s="910"/>
      <c r="C3526" s="911"/>
      <c r="D3526" s="911"/>
      <c r="E3526" s="911"/>
      <c r="F3526" s="911"/>
      <c r="G3526" s="912"/>
    </row>
    <row r="3527" spans="1:7" ht="15" hidden="1" thickBot="1">
      <c r="A3527" s="909"/>
      <c r="B3527" s="913"/>
      <c r="C3527" s="914"/>
      <c r="D3527" s="95"/>
      <c r="E3527" s="242"/>
      <c r="F3527" s="286"/>
      <c r="G3527" s="113"/>
    </row>
    <row r="3528" spans="1:7" ht="15" hidden="1" thickBot="1">
      <c r="A3528" s="156"/>
      <c r="B3528" s="942"/>
      <c r="C3528" s="943"/>
      <c r="D3528" s="104"/>
      <c r="E3528" s="247"/>
      <c r="F3528" s="284"/>
      <c r="G3528" s="159"/>
    </row>
    <row r="3529" spans="1:7" ht="15" hidden="1" thickBot="1">
      <c r="A3529" s="231"/>
      <c r="B3529" s="940"/>
      <c r="C3529" s="941"/>
      <c r="D3529" s="157"/>
      <c r="E3529" s="259"/>
      <c r="F3529" s="303"/>
      <c r="G3529" s="159"/>
    </row>
    <row r="3530" spans="1:7" ht="15" hidden="1" thickBot="1">
      <c r="A3530" s="944"/>
      <c r="B3530" s="945"/>
      <c r="C3530" s="946"/>
      <c r="D3530" s="947"/>
      <c r="E3530" s="948"/>
      <c r="F3530" s="949"/>
      <c r="G3530" s="11"/>
    </row>
    <row r="3531" spans="1:7" ht="15" hidden="1" thickBot="1">
      <c r="A3531" s="908"/>
      <c r="B3531" s="910"/>
      <c r="C3531" s="911"/>
      <c r="D3531" s="911"/>
      <c r="E3531" s="911"/>
      <c r="F3531" s="911"/>
      <c r="G3531" s="912"/>
    </row>
    <row r="3532" spans="1:7" ht="15" hidden="1" thickBot="1">
      <c r="A3532" s="909"/>
      <c r="B3532" s="913"/>
      <c r="C3532" s="914"/>
      <c r="D3532" s="95"/>
      <c r="E3532" s="242"/>
      <c r="F3532" s="286"/>
      <c r="G3532" s="113"/>
    </row>
    <row r="3533" spans="1:7" ht="15" hidden="1" thickBot="1">
      <c r="A3533" s="122"/>
      <c r="B3533" s="985"/>
      <c r="C3533" s="986"/>
      <c r="D3533" s="109"/>
      <c r="E3533" s="254"/>
      <c r="F3533" s="304"/>
      <c r="G3533" s="129"/>
    </row>
    <row r="3534" spans="1:7" ht="15" hidden="1" thickBot="1">
      <c r="A3534" s="915"/>
      <c r="B3534" s="916"/>
      <c r="C3534" s="917"/>
      <c r="D3534" s="918"/>
      <c r="E3534" s="919"/>
      <c r="F3534" s="920"/>
      <c r="G3534" s="12"/>
    </row>
    <row r="3535" spans="1:7" ht="15" hidden="1" thickBot="1">
      <c r="A3535" s="921"/>
      <c r="B3535" s="922"/>
      <c r="C3535" s="922"/>
      <c r="D3535" s="923"/>
      <c r="E3535" s="924"/>
      <c r="F3535" s="925"/>
      <c r="G3535" s="112"/>
    </row>
    <row r="3536" spans="1:7" hidden="1">
      <c r="A3536" s="40"/>
      <c r="B3536" s="40"/>
      <c r="C3536" s="40"/>
      <c r="D3536" s="146"/>
      <c r="E3536" s="250"/>
      <c r="F3536" s="298"/>
      <c r="G3536" s="147"/>
    </row>
    <row r="3537" spans="1:7" ht="15.75" hidden="1" thickBot="1">
      <c r="A3537" s="162"/>
      <c r="B3537" s="162"/>
      <c r="C3537" s="162"/>
      <c r="D3537" s="162"/>
      <c r="E3537" s="258"/>
      <c r="F3537" s="301"/>
      <c r="G3537" s="162"/>
    </row>
    <row r="3538" spans="1:7" ht="15" hidden="1" thickBot="1">
      <c r="A3538" s="1027"/>
      <c r="B3538" s="1028"/>
      <c r="C3538" s="1028"/>
      <c r="D3538" s="1028"/>
      <c r="E3538" s="1028"/>
      <c r="F3538" s="1028"/>
      <c r="G3538" s="1029"/>
    </row>
    <row r="3539" spans="1:7" ht="15" hidden="1" thickBot="1">
      <c r="A3539" s="950"/>
      <c r="B3539" s="951"/>
      <c r="C3539" s="951"/>
      <c r="D3539" s="951"/>
      <c r="E3539" s="952"/>
      <c r="F3539" s="272"/>
      <c r="G3539" s="43"/>
    </row>
    <row r="3540" spans="1:7" ht="15" hidden="1" customHeight="1" thickBot="1">
      <c r="A3540" s="953"/>
      <c r="B3540" s="954"/>
      <c r="C3540" s="954"/>
      <c r="D3540" s="954"/>
      <c r="E3540" s="955"/>
      <c r="F3540" s="273"/>
      <c r="G3540" s="45"/>
    </row>
    <row r="3541" spans="1:7" ht="15" hidden="1" thickBot="1">
      <c r="A3541" s="956"/>
      <c r="B3541" s="957"/>
      <c r="C3541" s="957"/>
      <c r="D3541" s="957"/>
      <c r="E3541" s="958"/>
      <c r="F3541" s="273"/>
      <c r="G3541" s="46"/>
    </row>
    <row r="3542" spans="1:7" ht="15" hidden="1" thickBot="1">
      <c r="A3542" s="959"/>
      <c r="B3542" s="960"/>
      <c r="C3542" s="960"/>
      <c r="D3542" s="960"/>
      <c r="E3542" s="961"/>
      <c r="F3542" s="274"/>
      <c r="G3542" s="48"/>
    </row>
    <row r="3543" spans="1:7" ht="15" hidden="1" thickBot="1">
      <c r="A3543" s="962"/>
      <c r="B3543" s="963"/>
      <c r="C3543" s="964"/>
      <c r="D3543" s="964"/>
      <c r="E3543" s="964"/>
      <c r="F3543" s="964"/>
      <c r="G3543" s="965"/>
    </row>
    <row r="3544" spans="1:7" ht="15" hidden="1" thickBot="1">
      <c r="A3544" s="909"/>
      <c r="B3544" s="913"/>
      <c r="C3544" s="914"/>
      <c r="D3544" s="95"/>
      <c r="E3544" s="242"/>
      <c r="F3544" s="286"/>
      <c r="G3544" s="113"/>
    </row>
    <row r="3545" spans="1:7" ht="15" hidden="1" thickBot="1">
      <c r="A3545" s="114"/>
      <c r="B3545" s="966"/>
      <c r="C3545" s="967"/>
      <c r="D3545" s="88"/>
      <c r="E3545" s="251"/>
      <c r="F3545" s="284"/>
      <c r="G3545" s="117"/>
    </row>
    <row r="3546" spans="1:7" ht="15" hidden="1" thickBot="1">
      <c r="A3546" s="970"/>
      <c r="B3546" s="971"/>
      <c r="C3546" s="972"/>
      <c r="D3546" s="973"/>
      <c r="E3546" s="974"/>
      <c r="F3546" s="975"/>
      <c r="G3546" s="11"/>
    </row>
    <row r="3547" spans="1:7" ht="15" hidden="1" thickBot="1">
      <c r="A3547" s="908"/>
      <c r="B3547" s="910"/>
      <c r="C3547" s="911"/>
      <c r="D3547" s="911"/>
      <c r="E3547" s="911"/>
      <c r="F3547" s="911"/>
      <c r="G3547" s="912"/>
    </row>
    <row r="3548" spans="1:7" ht="15" hidden="1" thickBot="1">
      <c r="A3548" s="909"/>
      <c r="B3548" s="913"/>
      <c r="C3548" s="914"/>
      <c r="D3548" s="95"/>
      <c r="E3548" s="242"/>
      <c r="F3548" s="292"/>
      <c r="G3548" s="113"/>
    </row>
    <row r="3549" spans="1:7" ht="15" hidden="1" thickBot="1">
      <c r="A3549" s="114"/>
      <c r="B3549" s="966"/>
      <c r="C3549" s="967"/>
      <c r="D3549" s="88"/>
      <c r="E3549" s="251"/>
      <c r="F3549" s="284"/>
      <c r="G3549" s="117"/>
    </row>
    <row r="3550" spans="1:7" ht="15" hidden="1" thickBot="1">
      <c r="A3550" s="114"/>
      <c r="B3550" s="966"/>
      <c r="C3550" s="967"/>
      <c r="D3550" s="88"/>
      <c r="E3550" s="251"/>
      <c r="F3550" s="284"/>
      <c r="G3550" s="117"/>
    </row>
    <row r="3551" spans="1:7" ht="15" hidden="1" thickBot="1">
      <c r="A3551" s="114"/>
      <c r="B3551" s="966"/>
      <c r="C3551" s="967"/>
      <c r="D3551" s="88"/>
      <c r="E3551" s="251"/>
      <c r="F3551" s="284"/>
      <c r="G3551" s="117"/>
    </row>
    <row r="3552" spans="1:7" ht="15" hidden="1" thickBot="1">
      <c r="A3552" s="114"/>
      <c r="B3552" s="966"/>
      <c r="C3552" s="967"/>
      <c r="D3552" s="88"/>
      <c r="E3552" s="251"/>
      <c r="F3552" s="284"/>
      <c r="G3552" s="117"/>
    </row>
    <row r="3553" spans="1:7" ht="15" hidden="1" thickBot="1">
      <c r="A3553" s="114"/>
      <c r="B3553" s="966"/>
      <c r="C3553" s="967"/>
      <c r="D3553" s="88"/>
      <c r="E3553" s="251"/>
      <c r="F3553" s="284"/>
      <c r="G3553" s="117"/>
    </row>
    <row r="3554" spans="1:7" ht="15" hidden="1" thickBot="1">
      <c r="A3554" s="114"/>
      <c r="B3554" s="966"/>
      <c r="C3554" s="967"/>
      <c r="D3554" s="88"/>
      <c r="E3554" s="251"/>
      <c r="F3554" s="284"/>
      <c r="G3554" s="117"/>
    </row>
    <row r="3555" spans="1:7" ht="15" hidden="1" thickBot="1">
      <c r="A3555" s="114"/>
      <c r="B3555" s="966"/>
      <c r="C3555" s="967"/>
      <c r="D3555" s="88"/>
      <c r="E3555" s="251"/>
      <c r="F3555" s="284"/>
      <c r="G3555" s="117"/>
    </row>
    <row r="3556" spans="1:7" ht="15" hidden="1" thickBot="1">
      <c r="A3556" s="932"/>
      <c r="B3556" s="933"/>
      <c r="C3556" s="934"/>
      <c r="D3556" s="935"/>
      <c r="E3556" s="936"/>
      <c r="F3556" s="937"/>
      <c r="G3556" s="18"/>
    </row>
    <row r="3557" spans="1:7" ht="15" hidden="1" thickBot="1">
      <c r="A3557" s="908"/>
      <c r="B3557" s="910"/>
      <c r="C3557" s="911"/>
      <c r="D3557" s="911"/>
      <c r="E3557" s="911"/>
      <c r="F3557" s="911"/>
      <c r="G3557" s="912"/>
    </row>
    <row r="3558" spans="1:7" ht="15" hidden="1" thickBot="1">
      <c r="A3558" s="909"/>
      <c r="B3558" s="913"/>
      <c r="C3558" s="914"/>
      <c r="D3558" s="95"/>
      <c r="E3558" s="242"/>
      <c r="F3558" s="286"/>
      <c r="G3558" s="113"/>
    </row>
    <row r="3559" spans="1:7" ht="15" hidden="1" thickBot="1">
      <c r="A3559" s="156"/>
      <c r="B3559" s="940"/>
      <c r="C3559" s="941"/>
      <c r="D3559" s="157"/>
      <c r="E3559" s="259"/>
      <c r="F3559" s="303"/>
      <c r="G3559" s="159"/>
    </row>
    <row r="3560" spans="1:7" ht="15" hidden="1" thickBot="1">
      <c r="A3560" s="944"/>
      <c r="B3560" s="945"/>
      <c r="C3560" s="946"/>
      <c r="D3560" s="947"/>
      <c r="E3560" s="948"/>
      <c r="F3560" s="949"/>
      <c r="G3560" s="11"/>
    </row>
    <row r="3561" spans="1:7" ht="15" hidden="1" thickBot="1">
      <c r="A3561" s="908"/>
      <c r="B3561" s="910"/>
      <c r="C3561" s="911"/>
      <c r="D3561" s="911"/>
      <c r="E3561" s="911"/>
      <c r="F3561" s="911"/>
      <c r="G3561" s="912"/>
    </row>
    <row r="3562" spans="1:7" ht="15" hidden="1" thickBot="1">
      <c r="A3562" s="909"/>
      <c r="B3562" s="913"/>
      <c r="C3562" s="914"/>
      <c r="D3562" s="95"/>
      <c r="E3562" s="242"/>
      <c r="F3562" s="286"/>
      <c r="G3562" s="113"/>
    </row>
    <row r="3563" spans="1:7" ht="15" hidden="1" thickBot="1">
      <c r="A3563" s="122"/>
      <c r="B3563" s="985"/>
      <c r="C3563" s="986"/>
      <c r="D3563" s="109"/>
      <c r="E3563" s="254"/>
      <c r="F3563" s="304"/>
      <c r="G3563" s="129"/>
    </row>
    <row r="3564" spans="1:7" ht="15" hidden="1" thickBot="1">
      <c r="A3564" s="915"/>
      <c r="B3564" s="916"/>
      <c r="C3564" s="917"/>
      <c r="D3564" s="918"/>
      <c r="E3564" s="919"/>
      <c r="F3564" s="920"/>
      <c r="G3564" s="12"/>
    </row>
    <row r="3565" spans="1:7" ht="15" hidden="1" thickBot="1">
      <c r="A3565" s="921"/>
      <c r="B3565" s="922"/>
      <c r="C3565" s="922"/>
      <c r="D3565" s="923"/>
      <c r="E3565" s="924"/>
      <c r="F3565" s="925"/>
      <c r="G3565" s="112"/>
    </row>
    <row r="3566" spans="1:7" hidden="1">
      <c r="A3566" s="40"/>
      <c r="B3566" s="40"/>
      <c r="C3566" s="40"/>
      <c r="D3566" s="146"/>
      <c r="E3566" s="250"/>
      <c r="F3566" s="298"/>
      <c r="G3566" s="147"/>
    </row>
    <row r="3567" spans="1:7" ht="15.75" hidden="1" thickBot="1">
      <c r="A3567" s="162"/>
      <c r="B3567" s="162"/>
      <c r="C3567" s="162"/>
      <c r="D3567" s="162"/>
      <c r="E3567" s="258"/>
      <c r="F3567" s="301"/>
      <c r="G3567" s="162"/>
    </row>
    <row r="3568" spans="1:7" ht="15" hidden="1" thickBot="1">
      <c r="A3568" s="1027"/>
      <c r="B3568" s="1028"/>
      <c r="C3568" s="1028"/>
      <c r="D3568" s="1028"/>
      <c r="E3568" s="1028"/>
      <c r="F3568" s="1028"/>
      <c r="G3568" s="1029"/>
    </row>
    <row r="3569" spans="1:7" ht="15" hidden="1" thickBot="1">
      <c r="A3569" s="950"/>
      <c r="B3569" s="951"/>
      <c r="C3569" s="951"/>
      <c r="D3569" s="951"/>
      <c r="E3569" s="952"/>
      <c r="F3569" s="272"/>
      <c r="G3569" s="43"/>
    </row>
    <row r="3570" spans="1:7" ht="15" hidden="1" customHeight="1" thickBot="1">
      <c r="A3570" s="953"/>
      <c r="B3570" s="954"/>
      <c r="C3570" s="954"/>
      <c r="D3570" s="954"/>
      <c r="E3570" s="955"/>
      <c r="F3570" s="273"/>
      <c r="G3570" s="45"/>
    </row>
    <row r="3571" spans="1:7" ht="15" hidden="1" thickBot="1">
      <c r="A3571" s="956"/>
      <c r="B3571" s="957"/>
      <c r="C3571" s="957"/>
      <c r="D3571" s="957"/>
      <c r="E3571" s="958"/>
      <c r="F3571" s="273"/>
      <c r="G3571" s="46"/>
    </row>
    <row r="3572" spans="1:7" ht="15" hidden="1" thickBot="1">
      <c r="A3572" s="959"/>
      <c r="B3572" s="960"/>
      <c r="C3572" s="960"/>
      <c r="D3572" s="960"/>
      <c r="E3572" s="961"/>
      <c r="F3572" s="274"/>
      <c r="G3572" s="48"/>
    </row>
    <row r="3573" spans="1:7" ht="15" hidden="1" thickBot="1">
      <c r="A3573" s="962"/>
      <c r="B3573" s="963"/>
      <c r="C3573" s="964"/>
      <c r="D3573" s="964"/>
      <c r="E3573" s="964"/>
      <c r="F3573" s="964"/>
      <c r="G3573" s="965"/>
    </row>
    <row r="3574" spans="1:7" ht="15" hidden="1" thickBot="1">
      <c r="A3574" s="909"/>
      <c r="B3574" s="913"/>
      <c r="C3574" s="914"/>
      <c r="D3574" s="95"/>
      <c r="E3574" s="242"/>
      <c r="F3574" s="286"/>
      <c r="G3574" s="113"/>
    </row>
    <row r="3575" spans="1:7" ht="15" hidden="1" thickBot="1">
      <c r="A3575" s="114"/>
      <c r="B3575" s="966"/>
      <c r="C3575" s="967"/>
      <c r="D3575" s="88"/>
      <c r="E3575" s="251"/>
      <c r="F3575" s="284"/>
      <c r="G3575" s="117"/>
    </row>
    <row r="3576" spans="1:7" ht="15" hidden="1" thickBot="1">
      <c r="A3576" s="970"/>
      <c r="B3576" s="971"/>
      <c r="C3576" s="972"/>
      <c r="D3576" s="973"/>
      <c r="E3576" s="974"/>
      <c r="F3576" s="975"/>
      <c r="G3576" s="11"/>
    </row>
    <row r="3577" spans="1:7" ht="15" hidden="1" thickBot="1">
      <c r="A3577" s="908"/>
      <c r="B3577" s="910"/>
      <c r="C3577" s="911"/>
      <c r="D3577" s="911"/>
      <c r="E3577" s="911"/>
      <c r="F3577" s="911"/>
      <c r="G3577" s="912"/>
    </row>
    <row r="3578" spans="1:7" ht="15" hidden="1" thickBot="1">
      <c r="A3578" s="909"/>
      <c r="B3578" s="913"/>
      <c r="C3578" s="914"/>
      <c r="D3578" s="95"/>
      <c r="E3578" s="242"/>
      <c r="F3578" s="292"/>
      <c r="G3578" s="113"/>
    </row>
    <row r="3579" spans="1:7" ht="15" hidden="1" thickBot="1">
      <c r="A3579" s="114"/>
      <c r="B3579" s="966"/>
      <c r="C3579" s="967"/>
      <c r="D3579" s="88"/>
      <c r="E3579" s="251"/>
      <c r="F3579" s="284"/>
      <c r="G3579" s="117"/>
    </row>
    <row r="3580" spans="1:7" ht="15" hidden="1" thickBot="1">
      <c r="A3580" s="114"/>
      <c r="B3580" s="966"/>
      <c r="C3580" s="967"/>
      <c r="D3580" s="88"/>
      <c r="E3580" s="251"/>
      <c r="F3580" s="284"/>
      <c r="G3580" s="117"/>
    </row>
    <row r="3581" spans="1:7" ht="15" hidden="1" thickBot="1">
      <c r="A3581" s="114"/>
      <c r="B3581" s="966"/>
      <c r="C3581" s="967"/>
      <c r="D3581" s="88"/>
      <c r="E3581" s="251"/>
      <c r="F3581" s="284"/>
      <c r="G3581" s="117"/>
    </row>
    <row r="3582" spans="1:7" ht="15" hidden="1" thickBot="1">
      <c r="A3582" s="114"/>
      <c r="B3582" s="966"/>
      <c r="C3582" s="967"/>
      <c r="D3582" s="88"/>
      <c r="E3582" s="251"/>
      <c r="F3582" s="284"/>
      <c r="G3582" s="117"/>
    </row>
    <row r="3583" spans="1:7" ht="15" hidden="1" thickBot="1">
      <c r="A3583" s="114"/>
      <c r="B3583" s="966"/>
      <c r="C3583" s="967"/>
      <c r="D3583" s="88"/>
      <c r="E3583" s="251"/>
      <c r="F3583" s="284"/>
      <c r="G3583" s="117"/>
    </row>
    <row r="3584" spans="1:7" ht="15" hidden="1" thickBot="1">
      <c r="A3584" s="114"/>
      <c r="B3584" s="966"/>
      <c r="C3584" s="967"/>
      <c r="D3584" s="88"/>
      <c r="E3584" s="251"/>
      <c r="F3584" s="284"/>
      <c r="G3584" s="117"/>
    </row>
    <row r="3585" spans="1:7" ht="15" hidden="1" thickBot="1">
      <c r="A3585" s="114"/>
      <c r="B3585" s="966"/>
      <c r="C3585" s="967"/>
      <c r="D3585" s="88"/>
      <c r="E3585" s="251"/>
      <c r="F3585" s="284"/>
      <c r="G3585" s="117"/>
    </row>
    <row r="3586" spans="1:7" ht="15" hidden="1" thickBot="1">
      <c r="A3586" s="114"/>
      <c r="B3586" s="966"/>
      <c r="C3586" s="967"/>
      <c r="D3586" s="88"/>
      <c r="E3586" s="251"/>
      <c r="F3586" s="284"/>
      <c r="G3586" s="117"/>
    </row>
    <row r="3587" spans="1:7" ht="15" hidden="1" thickBot="1">
      <c r="A3587" s="114"/>
      <c r="B3587" s="966"/>
      <c r="C3587" s="967"/>
      <c r="D3587" s="88"/>
      <c r="E3587" s="251"/>
      <c r="F3587" s="284"/>
      <c r="G3587" s="117"/>
    </row>
    <row r="3588" spans="1:7" ht="15" hidden="1" thickBot="1">
      <c r="A3588" s="114"/>
      <c r="B3588" s="966"/>
      <c r="C3588" s="967"/>
      <c r="D3588" s="88"/>
      <c r="E3588" s="251"/>
      <c r="F3588" s="284"/>
      <c r="G3588" s="117"/>
    </row>
    <row r="3589" spans="1:7" ht="15" hidden="1" thickBot="1">
      <c r="A3589" s="932"/>
      <c r="B3589" s="933"/>
      <c r="C3589" s="934"/>
      <c r="D3589" s="935"/>
      <c r="E3589" s="936"/>
      <c r="F3589" s="937"/>
      <c r="G3589" s="18"/>
    </row>
    <row r="3590" spans="1:7" ht="15" hidden="1" thickBot="1">
      <c r="A3590" s="908"/>
      <c r="B3590" s="910"/>
      <c r="C3590" s="911"/>
      <c r="D3590" s="911"/>
      <c r="E3590" s="911"/>
      <c r="F3590" s="911"/>
      <c r="G3590" s="912"/>
    </row>
    <row r="3591" spans="1:7" ht="15" hidden="1" thickBot="1">
      <c r="A3591" s="909"/>
      <c r="B3591" s="913"/>
      <c r="C3591" s="914"/>
      <c r="D3591" s="95"/>
      <c r="E3591" s="242"/>
      <c r="F3591" s="286"/>
      <c r="G3591" s="113"/>
    </row>
    <row r="3592" spans="1:7" ht="15" hidden="1" thickBot="1">
      <c r="A3592" s="156"/>
      <c r="B3592" s="1095"/>
      <c r="C3592" s="1096"/>
      <c r="D3592" s="104"/>
      <c r="E3592" s="247"/>
      <c r="F3592" s="284"/>
      <c r="G3592" s="159"/>
    </row>
    <row r="3593" spans="1:7" ht="15" hidden="1" thickBot="1">
      <c r="A3593" s="944"/>
      <c r="B3593" s="945"/>
      <c r="C3593" s="946"/>
      <c r="D3593" s="947"/>
      <c r="E3593" s="948"/>
      <c r="F3593" s="949"/>
      <c r="G3593" s="11"/>
    </row>
    <row r="3594" spans="1:7" ht="15" hidden="1" thickBot="1">
      <c r="A3594" s="908"/>
      <c r="B3594" s="910"/>
      <c r="C3594" s="911"/>
      <c r="D3594" s="911"/>
      <c r="E3594" s="911"/>
      <c r="F3594" s="911"/>
      <c r="G3594" s="912"/>
    </row>
    <row r="3595" spans="1:7" ht="15" hidden="1" thickBot="1">
      <c r="A3595" s="909"/>
      <c r="B3595" s="913"/>
      <c r="C3595" s="914"/>
      <c r="D3595" s="95"/>
      <c r="E3595" s="242"/>
      <c r="F3595" s="286"/>
      <c r="G3595" s="113"/>
    </row>
    <row r="3596" spans="1:7" ht="15" hidden="1" thickBot="1">
      <c r="A3596" s="122"/>
      <c r="B3596" s="985"/>
      <c r="C3596" s="986"/>
      <c r="D3596" s="109"/>
      <c r="E3596" s="254"/>
      <c r="F3596" s="304"/>
      <c r="G3596" s="129"/>
    </row>
    <row r="3597" spans="1:7" ht="15" hidden="1" thickBot="1">
      <c r="A3597" s="915"/>
      <c r="B3597" s="916"/>
      <c r="C3597" s="917"/>
      <c r="D3597" s="918"/>
      <c r="E3597" s="919"/>
      <c r="F3597" s="920"/>
      <c r="G3597" s="12"/>
    </row>
    <row r="3598" spans="1:7" ht="15" hidden="1" thickBot="1">
      <c r="A3598" s="921"/>
      <c r="B3598" s="922"/>
      <c r="C3598" s="922"/>
      <c r="D3598" s="923"/>
      <c r="E3598" s="924"/>
      <c r="F3598" s="925"/>
      <c r="G3598" s="112"/>
    </row>
    <row r="3599" spans="1:7" hidden="1">
      <c r="A3599" s="40"/>
      <c r="B3599" s="40"/>
      <c r="C3599" s="40"/>
      <c r="D3599" s="146"/>
      <c r="E3599" s="250"/>
      <c r="F3599" s="298"/>
      <c r="G3599" s="147"/>
    </row>
    <row r="3600" spans="1:7" ht="15.75" hidden="1" thickBot="1">
      <c r="A3600" s="162"/>
      <c r="B3600" s="162"/>
      <c r="C3600" s="162"/>
      <c r="D3600" s="162"/>
      <c r="E3600" s="258"/>
      <c r="F3600" s="301"/>
      <c r="G3600" s="162"/>
    </row>
    <row r="3601" spans="1:7" ht="15" hidden="1" thickBot="1">
      <c r="A3601" s="1027"/>
      <c r="B3601" s="1028"/>
      <c r="C3601" s="1028"/>
      <c r="D3601" s="1028"/>
      <c r="E3601" s="1028"/>
      <c r="F3601" s="1028"/>
      <c r="G3601" s="1029"/>
    </row>
    <row r="3602" spans="1:7" ht="15" hidden="1" thickBot="1">
      <c r="A3602" s="950"/>
      <c r="B3602" s="951"/>
      <c r="C3602" s="951"/>
      <c r="D3602" s="951"/>
      <c r="E3602" s="952"/>
      <c r="F3602" s="272"/>
      <c r="G3602" s="43"/>
    </row>
    <row r="3603" spans="1:7" ht="15" hidden="1" customHeight="1" thickBot="1">
      <c r="A3603" s="953"/>
      <c r="B3603" s="954"/>
      <c r="C3603" s="954"/>
      <c r="D3603" s="954"/>
      <c r="E3603" s="955"/>
      <c r="F3603" s="273"/>
      <c r="G3603" s="45"/>
    </row>
    <row r="3604" spans="1:7" ht="15" hidden="1" thickBot="1">
      <c r="A3604" s="956"/>
      <c r="B3604" s="957"/>
      <c r="C3604" s="957"/>
      <c r="D3604" s="957"/>
      <c r="E3604" s="958"/>
      <c r="F3604" s="273"/>
      <c r="G3604" s="46"/>
    </row>
    <row r="3605" spans="1:7" ht="15" hidden="1" thickBot="1">
      <c r="A3605" s="959"/>
      <c r="B3605" s="960"/>
      <c r="C3605" s="960"/>
      <c r="D3605" s="960"/>
      <c r="E3605" s="961"/>
      <c r="F3605" s="274"/>
      <c r="G3605" s="48"/>
    </row>
    <row r="3606" spans="1:7" ht="15" hidden="1" thickBot="1">
      <c r="A3606" s="962"/>
      <c r="B3606" s="963"/>
      <c r="C3606" s="964"/>
      <c r="D3606" s="964"/>
      <c r="E3606" s="964"/>
      <c r="F3606" s="964"/>
      <c r="G3606" s="965"/>
    </row>
    <row r="3607" spans="1:7" ht="15" hidden="1" thickBot="1">
      <c r="A3607" s="909"/>
      <c r="B3607" s="913"/>
      <c r="C3607" s="914"/>
      <c r="D3607" s="95"/>
      <c r="E3607" s="242"/>
      <c r="F3607" s="286"/>
      <c r="G3607" s="113"/>
    </row>
    <row r="3608" spans="1:7" ht="15" hidden="1" thickBot="1">
      <c r="A3608" s="114"/>
      <c r="B3608" s="966"/>
      <c r="C3608" s="967"/>
      <c r="D3608" s="88"/>
      <c r="E3608" s="251"/>
      <c r="F3608" s="284"/>
      <c r="G3608" s="117"/>
    </row>
    <row r="3609" spans="1:7" ht="15" hidden="1" thickBot="1">
      <c r="A3609" s="970"/>
      <c r="B3609" s="971"/>
      <c r="C3609" s="972"/>
      <c r="D3609" s="973"/>
      <c r="E3609" s="974"/>
      <c r="F3609" s="975"/>
      <c r="G3609" s="11"/>
    </row>
    <row r="3610" spans="1:7" ht="15" hidden="1" thickBot="1">
      <c r="A3610" s="908"/>
      <c r="B3610" s="910"/>
      <c r="C3610" s="911"/>
      <c r="D3610" s="911"/>
      <c r="E3610" s="911"/>
      <c r="F3610" s="911"/>
      <c r="G3610" s="912"/>
    </row>
    <row r="3611" spans="1:7" ht="15" hidden="1" thickBot="1">
      <c r="A3611" s="909"/>
      <c r="B3611" s="913"/>
      <c r="C3611" s="914"/>
      <c r="D3611" s="95"/>
      <c r="E3611" s="242"/>
      <c r="F3611" s="292"/>
      <c r="G3611" s="113"/>
    </row>
    <row r="3612" spans="1:7" ht="15" hidden="1" thickBot="1">
      <c r="A3612" s="114"/>
      <c r="B3612" s="966"/>
      <c r="C3612" s="967"/>
      <c r="D3612" s="88"/>
      <c r="E3612" s="251"/>
      <c r="F3612" s="284"/>
      <c r="G3612" s="117"/>
    </row>
    <row r="3613" spans="1:7" ht="15" hidden="1" thickBot="1">
      <c r="A3613" s="114"/>
      <c r="B3613" s="966"/>
      <c r="C3613" s="967"/>
      <c r="D3613" s="88"/>
      <c r="E3613" s="251"/>
      <c r="F3613" s="284"/>
      <c r="G3613" s="117"/>
    </row>
    <row r="3614" spans="1:7" ht="15" hidden="1" thickBot="1">
      <c r="A3614" s="114"/>
      <c r="B3614" s="966"/>
      <c r="C3614" s="967"/>
      <c r="D3614" s="88"/>
      <c r="E3614" s="251"/>
      <c r="F3614" s="284"/>
      <c r="G3614" s="117"/>
    </row>
    <row r="3615" spans="1:7" ht="15" hidden="1" thickBot="1">
      <c r="A3615" s="114"/>
      <c r="B3615" s="966"/>
      <c r="C3615" s="967"/>
      <c r="D3615" s="88"/>
      <c r="E3615" s="251"/>
      <c r="F3615" s="284"/>
      <c r="G3615" s="117"/>
    </row>
    <row r="3616" spans="1:7" ht="15" hidden="1" thickBot="1">
      <c r="A3616" s="114"/>
      <c r="B3616" s="966"/>
      <c r="C3616" s="967"/>
      <c r="D3616" s="88"/>
      <c r="E3616" s="251"/>
      <c r="F3616" s="284"/>
      <c r="G3616" s="117"/>
    </row>
    <row r="3617" spans="1:7" ht="15" hidden="1" thickBot="1">
      <c r="A3617" s="114"/>
      <c r="B3617" s="966"/>
      <c r="C3617" s="967"/>
      <c r="D3617" s="88"/>
      <c r="E3617" s="251"/>
      <c r="F3617" s="284"/>
      <c r="G3617" s="117"/>
    </row>
    <row r="3618" spans="1:7" ht="15" hidden="1" thickBot="1">
      <c r="A3618" s="114"/>
      <c r="B3618" s="966"/>
      <c r="C3618" s="967"/>
      <c r="D3618" s="88"/>
      <c r="E3618" s="251"/>
      <c r="F3618" s="284"/>
      <c r="G3618" s="117"/>
    </row>
    <row r="3619" spans="1:7" ht="15" hidden="1" thickBot="1">
      <c r="A3619" s="114"/>
      <c r="B3619" s="966"/>
      <c r="C3619" s="967"/>
      <c r="D3619" s="88"/>
      <c r="E3619" s="251"/>
      <c r="F3619" s="284"/>
      <c r="G3619" s="117"/>
    </row>
    <row r="3620" spans="1:7" ht="15" hidden="1" thickBot="1">
      <c r="A3620" s="114"/>
      <c r="B3620" s="966"/>
      <c r="C3620" s="967"/>
      <c r="D3620" s="88"/>
      <c r="E3620" s="251"/>
      <c r="F3620" s="284"/>
      <c r="G3620" s="117"/>
    </row>
    <row r="3621" spans="1:7" ht="15" hidden="1" thickBot="1">
      <c r="A3621" s="114"/>
      <c r="B3621" s="966"/>
      <c r="C3621" s="967"/>
      <c r="D3621" s="88"/>
      <c r="E3621" s="251"/>
      <c r="F3621" s="284"/>
      <c r="G3621" s="117"/>
    </row>
    <row r="3622" spans="1:7" ht="15" hidden="1" thickBot="1">
      <c r="A3622" s="932"/>
      <c r="B3622" s="933"/>
      <c r="C3622" s="934"/>
      <c r="D3622" s="935"/>
      <c r="E3622" s="936"/>
      <c r="F3622" s="937"/>
      <c r="G3622" s="18"/>
    </row>
    <row r="3623" spans="1:7" ht="15" hidden="1" thickBot="1">
      <c r="A3623" s="908"/>
      <c r="B3623" s="910"/>
      <c r="C3623" s="911"/>
      <c r="D3623" s="911"/>
      <c r="E3623" s="911"/>
      <c r="F3623" s="911"/>
      <c r="G3623" s="912"/>
    </row>
    <row r="3624" spans="1:7" ht="15" hidden="1" thickBot="1">
      <c r="A3624" s="909"/>
      <c r="B3624" s="913"/>
      <c r="C3624" s="914"/>
      <c r="D3624" s="95"/>
      <c r="E3624" s="242"/>
      <c r="F3624" s="286"/>
      <c r="G3624" s="113"/>
    </row>
    <row r="3625" spans="1:7" ht="15" hidden="1" thickBot="1">
      <c r="A3625" s="156"/>
      <c r="B3625" s="940"/>
      <c r="C3625" s="941"/>
      <c r="D3625" s="157"/>
      <c r="E3625" s="259"/>
      <c r="F3625" s="303"/>
      <c r="G3625" s="159"/>
    </row>
    <row r="3626" spans="1:7" ht="15" hidden="1" thickBot="1">
      <c r="A3626" s="944"/>
      <c r="B3626" s="945"/>
      <c r="C3626" s="946"/>
      <c r="D3626" s="947"/>
      <c r="E3626" s="948"/>
      <c r="F3626" s="949"/>
      <c r="G3626" s="11"/>
    </row>
    <row r="3627" spans="1:7" ht="15" hidden="1" thickBot="1">
      <c r="A3627" s="908"/>
      <c r="B3627" s="910"/>
      <c r="C3627" s="911"/>
      <c r="D3627" s="911"/>
      <c r="E3627" s="911"/>
      <c r="F3627" s="911"/>
      <c r="G3627" s="912"/>
    </row>
    <row r="3628" spans="1:7" ht="15" hidden="1" thickBot="1">
      <c r="A3628" s="909"/>
      <c r="B3628" s="913"/>
      <c r="C3628" s="914"/>
      <c r="D3628" s="95"/>
      <c r="E3628" s="242"/>
      <c r="F3628" s="286"/>
      <c r="G3628" s="113"/>
    </row>
    <row r="3629" spans="1:7" ht="15" hidden="1" thickBot="1">
      <c r="A3629" s="122"/>
      <c r="B3629" s="985"/>
      <c r="C3629" s="986"/>
      <c r="D3629" s="109"/>
      <c r="E3629" s="254"/>
      <c r="F3629" s="304"/>
      <c r="G3629" s="129"/>
    </row>
    <row r="3630" spans="1:7" ht="15" hidden="1" thickBot="1">
      <c r="A3630" s="915"/>
      <c r="B3630" s="916"/>
      <c r="C3630" s="917"/>
      <c r="D3630" s="918"/>
      <c r="E3630" s="919"/>
      <c r="F3630" s="920"/>
      <c r="G3630" s="12"/>
    </row>
    <row r="3631" spans="1:7" ht="15" hidden="1" thickBot="1">
      <c r="A3631" s="921"/>
      <c r="B3631" s="922"/>
      <c r="C3631" s="922"/>
      <c r="D3631" s="923"/>
      <c r="E3631" s="924"/>
      <c r="F3631" s="925"/>
      <c r="G3631" s="112"/>
    </row>
    <row r="3632" spans="1:7" hidden="1">
      <c r="A3632" s="40"/>
      <c r="B3632" s="40"/>
      <c r="C3632" s="40"/>
      <c r="D3632" s="146"/>
      <c r="E3632" s="250"/>
      <c r="F3632" s="298"/>
      <c r="G3632" s="147"/>
    </row>
    <row r="3633" spans="1:7" ht="15.75" hidden="1" thickBot="1">
      <c r="A3633" s="162"/>
      <c r="B3633" s="162"/>
      <c r="C3633" s="162"/>
      <c r="D3633" s="162"/>
      <c r="E3633" s="258"/>
      <c r="F3633" s="301"/>
      <c r="G3633" s="162"/>
    </row>
    <row r="3634" spans="1:7" ht="15" hidden="1" thickBot="1">
      <c r="A3634" s="1027"/>
      <c r="B3634" s="1028"/>
      <c r="C3634" s="1028"/>
      <c r="D3634" s="1028"/>
      <c r="E3634" s="1028"/>
      <c r="F3634" s="1028"/>
      <c r="G3634" s="1029"/>
    </row>
    <row r="3635" spans="1:7" ht="15" hidden="1" thickBot="1">
      <c r="A3635" s="950"/>
      <c r="B3635" s="951"/>
      <c r="C3635" s="951"/>
      <c r="D3635" s="951"/>
      <c r="E3635" s="952"/>
      <c r="F3635" s="272"/>
      <c r="G3635" s="43"/>
    </row>
    <row r="3636" spans="1:7" ht="15" hidden="1" customHeight="1" thickBot="1">
      <c r="A3636" s="953"/>
      <c r="B3636" s="954"/>
      <c r="C3636" s="954"/>
      <c r="D3636" s="954"/>
      <c r="E3636" s="955"/>
      <c r="F3636" s="273"/>
      <c r="G3636" s="45"/>
    </row>
    <row r="3637" spans="1:7" ht="15" hidden="1" thickBot="1">
      <c r="A3637" s="956"/>
      <c r="B3637" s="957"/>
      <c r="C3637" s="957"/>
      <c r="D3637" s="957"/>
      <c r="E3637" s="958"/>
      <c r="F3637" s="273"/>
      <c r="G3637" s="46"/>
    </row>
    <row r="3638" spans="1:7" ht="15" hidden="1" thickBot="1">
      <c r="A3638" s="959"/>
      <c r="B3638" s="960"/>
      <c r="C3638" s="960"/>
      <c r="D3638" s="960"/>
      <c r="E3638" s="961"/>
      <c r="F3638" s="274"/>
      <c r="G3638" s="48"/>
    </row>
    <row r="3639" spans="1:7" ht="15" hidden="1" thickBot="1">
      <c r="A3639" s="962"/>
      <c r="B3639" s="963"/>
      <c r="C3639" s="964"/>
      <c r="D3639" s="964"/>
      <c r="E3639" s="964"/>
      <c r="F3639" s="964"/>
      <c r="G3639" s="965"/>
    </row>
    <row r="3640" spans="1:7" ht="15" hidden="1" thickBot="1">
      <c r="A3640" s="909"/>
      <c r="B3640" s="913"/>
      <c r="C3640" s="914"/>
      <c r="D3640" s="95"/>
      <c r="E3640" s="242"/>
      <c r="F3640" s="286"/>
      <c r="G3640" s="113"/>
    </row>
    <row r="3641" spans="1:7" ht="15" hidden="1" thickBot="1">
      <c r="A3641" s="114"/>
      <c r="B3641" s="966"/>
      <c r="C3641" s="967"/>
      <c r="D3641" s="88"/>
      <c r="E3641" s="251"/>
      <c r="F3641" s="284"/>
      <c r="G3641" s="117"/>
    </row>
    <row r="3642" spans="1:7" ht="15" hidden="1" thickBot="1">
      <c r="A3642" s="970"/>
      <c r="B3642" s="971"/>
      <c r="C3642" s="972"/>
      <c r="D3642" s="973"/>
      <c r="E3642" s="974"/>
      <c r="F3642" s="975"/>
      <c r="G3642" s="11"/>
    </row>
    <row r="3643" spans="1:7" ht="15" hidden="1" thickBot="1">
      <c r="A3643" s="908"/>
      <c r="B3643" s="910"/>
      <c r="C3643" s="911"/>
      <c r="D3643" s="911"/>
      <c r="E3643" s="911"/>
      <c r="F3643" s="911"/>
      <c r="G3643" s="912"/>
    </row>
    <row r="3644" spans="1:7" ht="15" hidden="1" thickBot="1">
      <c r="A3644" s="909"/>
      <c r="B3644" s="913"/>
      <c r="C3644" s="914"/>
      <c r="D3644" s="95"/>
      <c r="E3644" s="242"/>
      <c r="F3644" s="292"/>
      <c r="G3644" s="113"/>
    </row>
    <row r="3645" spans="1:7" ht="15" hidden="1" thickBot="1">
      <c r="A3645" s="114"/>
      <c r="B3645" s="966"/>
      <c r="C3645" s="967"/>
      <c r="D3645" s="88"/>
      <c r="E3645" s="251"/>
      <c r="F3645" s="284"/>
      <c r="G3645" s="117"/>
    </row>
    <row r="3646" spans="1:7" ht="15" hidden="1" thickBot="1">
      <c r="A3646" s="114"/>
      <c r="B3646" s="966"/>
      <c r="C3646" s="967"/>
      <c r="D3646" s="88"/>
      <c r="E3646" s="251"/>
      <c r="F3646" s="284"/>
      <c r="G3646" s="117"/>
    </row>
    <row r="3647" spans="1:7" ht="15" hidden="1" thickBot="1">
      <c r="A3647" s="932"/>
      <c r="B3647" s="933"/>
      <c r="C3647" s="934"/>
      <c r="D3647" s="935"/>
      <c r="E3647" s="936"/>
      <c r="F3647" s="937"/>
      <c r="G3647" s="18"/>
    </row>
    <row r="3648" spans="1:7" ht="15" hidden="1" thickBot="1">
      <c r="A3648" s="908"/>
      <c r="B3648" s="910"/>
      <c r="C3648" s="911"/>
      <c r="D3648" s="911"/>
      <c r="E3648" s="911"/>
      <c r="F3648" s="911"/>
      <c r="G3648" s="912"/>
    </row>
    <row r="3649" spans="1:7" ht="15" hidden="1" thickBot="1">
      <c r="A3649" s="909"/>
      <c r="B3649" s="913"/>
      <c r="C3649" s="914"/>
      <c r="D3649" s="95"/>
      <c r="E3649" s="242"/>
      <c r="F3649" s="286"/>
      <c r="G3649" s="113"/>
    </row>
    <row r="3650" spans="1:7" ht="15" hidden="1" thickBot="1">
      <c r="A3650" s="156"/>
      <c r="B3650" s="940"/>
      <c r="C3650" s="941"/>
      <c r="D3650" s="157"/>
      <c r="E3650" s="259"/>
      <c r="F3650" s="303"/>
      <c r="G3650" s="159"/>
    </row>
    <row r="3651" spans="1:7" ht="15" hidden="1" thickBot="1">
      <c r="A3651" s="944"/>
      <c r="B3651" s="945"/>
      <c r="C3651" s="946"/>
      <c r="D3651" s="947"/>
      <c r="E3651" s="948"/>
      <c r="F3651" s="949"/>
      <c r="G3651" s="11"/>
    </row>
    <row r="3652" spans="1:7" ht="15" hidden="1" thickBot="1">
      <c r="A3652" s="908"/>
      <c r="B3652" s="910"/>
      <c r="C3652" s="911"/>
      <c r="D3652" s="911"/>
      <c r="E3652" s="911"/>
      <c r="F3652" s="911"/>
      <c r="G3652" s="912"/>
    </row>
    <row r="3653" spans="1:7" ht="15" hidden="1" thickBot="1">
      <c r="A3653" s="909"/>
      <c r="B3653" s="913"/>
      <c r="C3653" s="914"/>
      <c r="D3653" s="95"/>
      <c r="E3653" s="242"/>
      <c r="F3653" s="286"/>
      <c r="G3653" s="113"/>
    </row>
    <row r="3654" spans="1:7" ht="15" hidden="1" thickBot="1">
      <c r="A3654" s="122"/>
      <c r="B3654" s="985"/>
      <c r="C3654" s="986"/>
      <c r="D3654" s="109"/>
      <c r="E3654" s="254"/>
      <c r="F3654" s="304"/>
      <c r="G3654" s="129"/>
    </row>
    <row r="3655" spans="1:7" ht="15" hidden="1" thickBot="1">
      <c r="A3655" s="915"/>
      <c r="B3655" s="916"/>
      <c r="C3655" s="917"/>
      <c r="D3655" s="918"/>
      <c r="E3655" s="919"/>
      <c r="F3655" s="920"/>
      <c r="G3655" s="12"/>
    </row>
    <row r="3656" spans="1:7" ht="15" hidden="1" thickBot="1">
      <c r="A3656" s="921"/>
      <c r="B3656" s="922"/>
      <c r="C3656" s="922"/>
      <c r="D3656" s="923"/>
      <c r="E3656" s="924"/>
      <c r="F3656" s="925"/>
      <c r="G3656" s="112"/>
    </row>
    <row r="3657" spans="1:7" ht="15.75" hidden="1" thickBot="1">
      <c r="A3657" s="162"/>
      <c r="B3657" s="162"/>
      <c r="C3657" s="162"/>
      <c r="D3657" s="162"/>
      <c r="E3657" s="258"/>
      <c r="F3657" s="301"/>
      <c r="G3657" s="162"/>
    </row>
    <row r="3658" spans="1:7" ht="15" hidden="1" thickBot="1">
      <c r="A3658" s="1027"/>
      <c r="B3658" s="1028"/>
      <c r="C3658" s="1028"/>
      <c r="D3658" s="1028"/>
      <c r="E3658" s="1028"/>
      <c r="F3658" s="1028"/>
      <c r="G3658" s="1029"/>
    </row>
    <row r="3659" spans="1:7" ht="15" hidden="1" thickBot="1">
      <c r="A3659" s="950"/>
      <c r="B3659" s="951"/>
      <c r="C3659" s="951"/>
      <c r="D3659" s="951"/>
      <c r="E3659" s="952"/>
      <c r="F3659" s="272"/>
      <c r="G3659" s="43"/>
    </row>
    <row r="3660" spans="1:7" ht="15" hidden="1" customHeight="1" thickBot="1">
      <c r="A3660" s="953"/>
      <c r="B3660" s="954"/>
      <c r="C3660" s="954"/>
      <c r="D3660" s="954"/>
      <c r="E3660" s="955"/>
      <c r="F3660" s="273"/>
      <c r="G3660" s="45"/>
    </row>
    <row r="3661" spans="1:7" ht="15" hidden="1" thickBot="1">
      <c r="A3661" s="956"/>
      <c r="B3661" s="957"/>
      <c r="C3661" s="957"/>
      <c r="D3661" s="957"/>
      <c r="E3661" s="958"/>
      <c r="F3661" s="273"/>
      <c r="G3661" s="46"/>
    </row>
    <row r="3662" spans="1:7" ht="15" hidden="1" thickBot="1">
      <c r="A3662" s="959"/>
      <c r="B3662" s="960"/>
      <c r="C3662" s="960"/>
      <c r="D3662" s="960"/>
      <c r="E3662" s="961"/>
      <c r="F3662" s="274"/>
      <c r="G3662" s="48"/>
    </row>
    <row r="3663" spans="1:7" ht="15" hidden="1" thickBot="1">
      <c r="A3663" s="962"/>
      <c r="B3663" s="963"/>
      <c r="C3663" s="964"/>
      <c r="D3663" s="964"/>
      <c r="E3663" s="964"/>
      <c r="F3663" s="964"/>
      <c r="G3663" s="965"/>
    </row>
    <row r="3664" spans="1:7" ht="15" hidden="1" thickBot="1">
      <c r="A3664" s="909"/>
      <c r="B3664" s="913"/>
      <c r="C3664" s="914"/>
      <c r="D3664" s="95"/>
      <c r="E3664" s="242"/>
      <c r="F3664" s="286"/>
      <c r="G3664" s="113"/>
    </row>
    <row r="3665" spans="1:7" ht="15" hidden="1" thickBot="1">
      <c r="A3665" s="114"/>
      <c r="B3665" s="966"/>
      <c r="C3665" s="967"/>
      <c r="D3665" s="88"/>
      <c r="E3665" s="251"/>
      <c r="F3665" s="284"/>
      <c r="G3665" s="117"/>
    </row>
    <row r="3666" spans="1:7" ht="15" hidden="1" thickBot="1">
      <c r="A3666" s="114"/>
      <c r="B3666" s="966"/>
      <c r="C3666" s="967"/>
      <c r="D3666" s="88"/>
      <c r="E3666" s="251"/>
      <c r="F3666" s="284"/>
      <c r="G3666" s="117"/>
    </row>
    <row r="3667" spans="1:7" ht="15" hidden="1" thickBot="1">
      <c r="A3667" s="970"/>
      <c r="B3667" s="971"/>
      <c r="C3667" s="972"/>
      <c r="D3667" s="973"/>
      <c r="E3667" s="974"/>
      <c r="F3667" s="975"/>
      <c r="G3667" s="11"/>
    </row>
    <row r="3668" spans="1:7" ht="15" hidden="1" thickBot="1">
      <c r="A3668" s="908"/>
      <c r="B3668" s="910"/>
      <c r="C3668" s="911"/>
      <c r="D3668" s="911"/>
      <c r="E3668" s="911"/>
      <c r="F3668" s="911"/>
      <c r="G3668" s="912"/>
    </row>
    <row r="3669" spans="1:7" ht="15" hidden="1" thickBot="1">
      <c r="A3669" s="909"/>
      <c r="B3669" s="913"/>
      <c r="C3669" s="914"/>
      <c r="D3669" s="95"/>
      <c r="E3669" s="242"/>
      <c r="F3669" s="292"/>
      <c r="G3669" s="113"/>
    </row>
    <row r="3670" spans="1:7" ht="15" hidden="1" thickBot="1">
      <c r="A3670" s="114"/>
      <c r="B3670" s="966"/>
      <c r="C3670" s="967"/>
      <c r="D3670" s="88"/>
      <c r="E3670" s="251"/>
      <c r="F3670" s="284"/>
      <c r="G3670" s="117"/>
    </row>
    <row r="3671" spans="1:7" ht="15" hidden="1" thickBot="1">
      <c r="A3671" s="114"/>
      <c r="B3671" s="966"/>
      <c r="C3671" s="967"/>
      <c r="D3671" s="88"/>
      <c r="E3671" s="251"/>
      <c r="F3671" s="284"/>
      <c r="G3671" s="117"/>
    </row>
    <row r="3672" spans="1:7" ht="15" hidden="1" thickBot="1">
      <c r="A3672" s="114"/>
      <c r="B3672" s="966"/>
      <c r="C3672" s="967"/>
      <c r="D3672" s="88"/>
      <c r="E3672" s="251"/>
      <c r="F3672" s="284"/>
      <c r="G3672" s="117"/>
    </row>
    <row r="3673" spans="1:7" ht="15" hidden="1" thickBot="1">
      <c r="A3673" s="114"/>
      <c r="B3673" s="966"/>
      <c r="C3673" s="967"/>
      <c r="D3673" s="88"/>
      <c r="E3673" s="251"/>
      <c r="F3673" s="284"/>
      <c r="G3673" s="117"/>
    </row>
    <row r="3674" spans="1:7" ht="15" hidden="1" thickBot="1">
      <c r="A3674" s="114"/>
      <c r="B3674" s="966"/>
      <c r="C3674" s="967"/>
      <c r="D3674" s="88"/>
      <c r="E3674" s="251"/>
      <c r="F3674" s="284"/>
      <c r="G3674" s="117"/>
    </row>
    <row r="3675" spans="1:7" ht="15" hidden="1" thickBot="1">
      <c r="A3675" s="932"/>
      <c r="B3675" s="933"/>
      <c r="C3675" s="934"/>
      <c r="D3675" s="935"/>
      <c r="E3675" s="936"/>
      <c r="F3675" s="937"/>
      <c r="G3675" s="18"/>
    </row>
    <row r="3676" spans="1:7" ht="15" hidden="1" thickBot="1">
      <c r="A3676" s="908"/>
      <c r="B3676" s="910"/>
      <c r="C3676" s="911"/>
      <c r="D3676" s="911"/>
      <c r="E3676" s="911"/>
      <c r="F3676" s="911"/>
      <c r="G3676" s="912"/>
    </row>
    <row r="3677" spans="1:7" ht="15" hidden="1" thickBot="1">
      <c r="A3677" s="909"/>
      <c r="B3677" s="913"/>
      <c r="C3677" s="914"/>
      <c r="D3677" s="95"/>
      <c r="E3677" s="242"/>
      <c r="F3677" s="286"/>
      <c r="G3677" s="113"/>
    </row>
    <row r="3678" spans="1:7" ht="15" hidden="1" thickBot="1">
      <c r="A3678" s="114"/>
      <c r="B3678" s="1095"/>
      <c r="C3678" s="1096"/>
      <c r="D3678" s="104"/>
      <c r="E3678" s="247"/>
      <c r="F3678" s="284"/>
      <c r="G3678" s="117"/>
    </row>
    <row r="3679" spans="1:7" ht="15" hidden="1" thickBot="1">
      <c r="A3679" s="114"/>
      <c r="B3679" s="942"/>
      <c r="C3679" s="943"/>
      <c r="D3679" s="104"/>
      <c r="E3679" s="247"/>
      <c r="F3679" s="284"/>
      <c r="G3679" s="117"/>
    </row>
    <row r="3680" spans="1:7" ht="15" hidden="1" thickBot="1">
      <c r="A3680" s="944"/>
      <c r="B3680" s="945"/>
      <c r="C3680" s="946"/>
      <c r="D3680" s="947"/>
      <c r="E3680" s="948"/>
      <c r="F3680" s="949"/>
      <c r="G3680" s="11"/>
    </row>
    <row r="3681" spans="1:7" ht="15" hidden="1" thickBot="1">
      <c r="A3681" s="908"/>
      <c r="B3681" s="910"/>
      <c r="C3681" s="911"/>
      <c r="D3681" s="911"/>
      <c r="E3681" s="911"/>
      <c r="F3681" s="911"/>
      <c r="G3681" s="912"/>
    </row>
    <row r="3682" spans="1:7" ht="15" hidden="1" thickBot="1">
      <c r="A3682" s="909"/>
      <c r="B3682" s="913"/>
      <c r="C3682" s="914"/>
      <c r="D3682" s="95"/>
      <c r="E3682" s="242"/>
      <c r="F3682" s="286"/>
      <c r="G3682" s="113"/>
    </row>
    <row r="3683" spans="1:7" ht="15" hidden="1" thickBot="1">
      <c r="A3683" s="114"/>
      <c r="B3683" s="966"/>
      <c r="C3683" s="967"/>
      <c r="D3683" s="88"/>
      <c r="E3683" s="251"/>
      <c r="F3683" s="284"/>
      <c r="G3683" s="117"/>
    </row>
    <row r="3684" spans="1:7" ht="15" hidden="1" thickBot="1">
      <c r="A3684" s="915"/>
      <c r="B3684" s="916"/>
      <c r="C3684" s="917"/>
      <c r="D3684" s="918"/>
      <c r="E3684" s="919"/>
      <c r="F3684" s="920"/>
      <c r="G3684" s="12"/>
    </row>
    <row r="3685" spans="1:7" ht="15" hidden="1" thickBot="1">
      <c r="A3685" s="921"/>
      <c r="B3685" s="922"/>
      <c r="C3685" s="922"/>
      <c r="D3685" s="923"/>
      <c r="E3685" s="924"/>
      <c r="F3685" s="925"/>
      <c r="G3685" s="112"/>
    </row>
    <row r="3686" spans="1:7" hidden="1">
      <c r="A3686" s="40"/>
      <c r="B3686" s="40"/>
      <c r="C3686" s="40"/>
      <c r="D3686" s="146"/>
      <c r="E3686" s="250"/>
      <c r="F3686" s="298"/>
      <c r="G3686" s="147"/>
    </row>
    <row r="3687" spans="1:7" ht="15.75" hidden="1" thickBot="1">
      <c r="A3687" s="162"/>
      <c r="B3687" s="162"/>
      <c r="C3687" s="162"/>
      <c r="D3687" s="162"/>
      <c r="E3687" s="258"/>
      <c r="F3687" s="301"/>
      <c r="G3687" s="162"/>
    </row>
    <row r="3688" spans="1:7" ht="15" hidden="1" thickBot="1">
      <c r="A3688" s="1027"/>
      <c r="B3688" s="1028"/>
      <c r="C3688" s="1028"/>
      <c r="D3688" s="1028"/>
      <c r="E3688" s="1028"/>
      <c r="F3688" s="1028"/>
      <c r="G3688" s="1029"/>
    </row>
    <row r="3689" spans="1:7" ht="15" hidden="1" thickBot="1">
      <c r="A3689" s="950"/>
      <c r="B3689" s="951"/>
      <c r="C3689" s="951"/>
      <c r="D3689" s="951"/>
      <c r="E3689" s="952"/>
      <c r="F3689" s="272"/>
      <c r="G3689" s="43"/>
    </row>
    <row r="3690" spans="1:7" ht="15" hidden="1" customHeight="1" thickBot="1">
      <c r="A3690" s="953"/>
      <c r="B3690" s="954"/>
      <c r="C3690" s="954"/>
      <c r="D3690" s="954"/>
      <c r="E3690" s="955"/>
      <c r="F3690" s="273"/>
      <c r="G3690" s="45"/>
    </row>
    <row r="3691" spans="1:7" ht="15" hidden="1" thickBot="1">
      <c r="A3691" s="956"/>
      <c r="B3691" s="957"/>
      <c r="C3691" s="957"/>
      <c r="D3691" s="957"/>
      <c r="E3691" s="958"/>
      <c r="F3691" s="273"/>
      <c r="G3691" s="46"/>
    </row>
    <row r="3692" spans="1:7" ht="15" hidden="1" thickBot="1">
      <c r="A3692" s="959"/>
      <c r="B3692" s="960"/>
      <c r="C3692" s="960"/>
      <c r="D3692" s="960"/>
      <c r="E3692" s="961"/>
      <c r="F3692" s="274"/>
      <c r="G3692" s="48"/>
    </row>
    <row r="3693" spans="1:7" ht="15" hidden="1" thickBot="1">
      <c r="A3693" s="962"/>
      <c r="B3693" s="963"/>
      <c r="C3693" s="964"/>
      <c r="D3693" s="964"/>
      <c r="E3693" s="964"/>
      <c r="F3693" s="964"/>
      <c r="G3693" s="965"/>
    </row>
    <row r="3694" spans="1:7" ht="15" hidden="1" thickBot="1">
      <c r="A3694" s="909"/>
      <c r="B3694" s="913"/>
      <c r="C3694" s="914"/>
      <c r="D3694" s="95"/>
      <c r="E3694" s="242"/>
      <c r="F3694" s="286"/>
      <c r="G3694" s="113"/>
    </row>
    <row r="3695" spans="1:7" ht="15" hidden="1" thickBot="1">
      <c r="A3695" s="114"/>
      <c r="B3695" s="966"/>
      <c r="C3695" s="967"/>
      <c r="D3695" s="88"/>
      <c r="E3695" s="251"/>
      <c r="F3695" s="284"/>
      <c r="G3695" s="117"/>
    </row>
    <row r="3696" spans="1:7" ht="15" hidden="1" thickBot="1">
      <c r="A3696" s="114"/>
      <c r="B3696" s="966"/>
      <c r="C3696" s="967"/>
      <c r="D3696" s="88"/>
      <c r="E3696" s="251"/>
      <c r="F3696" s="284"/>
      <c r="G3696" s="117"/>
    </row>
    <row r="3697" spans="1:7" ht="15" hidden="1" thickBot="1">
      <c r="A3697" s="970"/>
      <c r="B3697" s="971"/>
      <c r="C3697" s="972"/>
      <c r="D3697" s="973"/>
      <c r="E3697" s="974"/>
      <c r="F3697" s="975"/>
      <c r="G3697" s="11"/>
    </row>
    <row r="3698" spans="1:7" ht="15" hidden="1" thickBot="1">
      <c r="A3698" s="908"/>
      <c r="B3698" s="910"/>
      <c r="C3698" s="911"/>
      <c r="D3698" s="911"/>
      <c r="E3698" s="911"/>
      <c r="F3698" s="911"/>
      <c r="G3698" s="912"/>
    </row>
    <row r="3699" spans="1:7" ht="15" hidden="1" thickBot="1">
      <c r="A3699" s="909"/>
      <c r="B3699" s="913"/>
      <c r="C3699" s="914"/>
      <c r="D3699" s="95"/>
      <c r="E3699" s="242"/>
      <c r="F3699" s="292"/>
      <c r="G3699" s="113"/>
    </row>
    <row r="3700" spans="1:7" ht="15" hidden="1" thickBot="1">
      <c r="A3700" s="114"/>
      <c r="B3700" s="966"/>
      <c r="C3700" s="967"/>
      <c r="D3700" s="88"/>
      <c r="E3700" s="251"/>
      <c r="F3700" s="284"/>
      <c r="G3700" s="117"/>
    </row>
    <row r="3701" spans="1:7" ht="15" hidden="1" thickBot="1">
      <c r="A3701" s="114"/>
      <c r="B3701" s="966"/>
      <c r="C3701" s="967"/>
      <c r="D3701" s="88"/>
      <c r="E3701" s="251"/>
      <c r="F3701" s="284"/>
      <c r="G3701" s="117"/>
    </row>
    <row r="3702" spans="1:7" ht="15" hidden="1" thickBot="1">
      <c r="A3702" s="114"/>
      <c r="B3702" s="966"/>
      <c r="C3702" s="967"/>
      <c r="D3702" s="88"/>
      <c r="E3702" s="251"/>
      <c r="F3702" s="284"/>
      <c r="G3702" s="117"/>
    </row>
    <row r="3703" spans="1:7" ht="15" hidden="1" thickBot="1">
      <c r="A3703" s="114"/>
      <c r="B3703" s="966"/>
      <c r="C3703" s="967"/>
      <c r="D3703" s="88"/>
      <c r="E3703" s="251"/>
      <c r="F3703" s="284"/>
      <c r="G3703" s="117"/>
    </row>
    <row r="3704" spans="1:7" ht="15" hidden="1" thickBot="1">
      <c r="A3704" s="114"/>
      <c r="B3704" s="966"/>
      <c r="C3704" s="967"/>
      <c r="D3704" s="88"/>
      <c r="E3704" s="251"/>
      <c r="F3704" s="284"/>
      <c r="G3704" s="117"/>
    </row>
    <row r="3705" spans="1:7" ht="15" hidden="1" thickBot="1">
      <c r="A3705" s="932"/>
      <c r="B3705" s="933"/>
      <c r="C3705" s="934"/>
      <c r="D3705" s="935"/>
      <c r="E3705" s="936"/>
      <c r="F3705" s="937"/>
      <c r="G3705" s="18"/>
    </row>
    <row r="3706" spans="1:7" ht="15" hidden="1" thickBot="1">
      <c r="A3706" s="908"/>
      <c r="B3706" s="910"/>
      <c r="C3706" s="911"/>
      <c r="D3706" s="911"/>
      <c r="E3706" s="911"/>
      <c r="F3706" s="911"/>
      <c r="G3706" s="912"/>
    </row>
    <row r="3707" spans="1:7" ht="15" hidden="1" thickBot="1">
      <c r="A3707" s="909"/>
      <c r="B3707" s="913"/>
      <c r="C3707" s="914"/>
      <c r="D3707" s="95"/>
      <c r="E3707" s="242"/>
      <c r="F3707" s="286"/>
      <c r="G3707" s="113"/>
    </row>
    <row r="3708" spans="1:7" ht="15" hidden="1" thickBot="1">
      <c r="A3708" s="156"/>
      <c r="B3708" s="940"/>
      <c r="C3708" s="941"/>
      <c r="D3708" s="157"/>
      <c r="E3708" s="259"/>
      <c r="F3708" s="303"/>
      <c r="G3708" s="159"/>
    </row>
    <row r="3709" spans="1:7" ht="15" hidden="1" thickBot="1">
      <c r="A3709" s="944"/>
      <c r="B3709" s="945"/>
      <c r="C3709" s="946"/>
      <c r="D3709" s="947"/>
      <c r="E3709" s="948"/>
      <c r="F3709" s="949"/>
      <c r="G3709" s="11"/>
    </row>
    <row r="3710" spans="1:7" ht="15" hidden="1" thickBot="1">
      <c r="A3710" s="908"/>
      <c r="B3710" s="910"/>
      <c r="C3710" s="911"/>
      <c r="D3710" s="911"/>
      <c r="E3710" s="911"/>
      <c r="F3710" s="911"/>
      <c r="G3710" s="912"/>
    </row>
    <row r="3711" spans="1:7" ht="15" hidden="1" thickBot="1">
      <c r="A3711" s="909"/>
      <c r="B3711" s="913"/>
      <c r="C3711" s="914"/>
      <c r="D3711" s="95"/>
      <c r="E3711" s="242"/>
      <c r="F3711" s="286"/>
      <c r="G3711" s="113"/>
    </row>
    <row r="3712" spans="1:7" ht="15" hidden="1" thickBot="1">
      <c r="A3712" s="122"/>
      <c r="B3712" s="985"/>
      <c r="C3712" s="986"/>
      <c r="D3712" s="109"/>
      <c r="E3712" s="254"/>
      <c r="F3712" s="304"/>
      <c r="G3712" s="129"/>
    </row>
    <row r="3713" spans="1:7" ht="15" hidden="1" thickBot="1">
      <c r="A3713" s="915"/>
      <c r="B3713" s="916"/>
      <c r="C3713" s="917"/>
      <c r="D3713" s="918"/>
      <c r="E3713" s="919"/>
      <c r="F3713" s="920"/>
      <c r="G3713" s="12"/>
    </row>
    <row r="3714" spans="1:7" ht="15" hidden="1" thickBot="1">
      <c r="A3714" s="921"/>
      <c r="B3714" s="922"/>
      <c r="C3714" s="922"/>
      <c r="D3714" s="923"/>
      <c r="E3714" s="924"/>
      <c r="F3714" s="925"/>
      <c r="G3714" s="112"/>
    </row>
    <row r="3715" spans="1:7" hidden="1">
      <c r="A3715" s="40"/>
      <c r="B3715" s="40"/>
      <c r="C3715" s="40"/>
      <c r="D3715" s="146"/>
      <c r="E3715" s="250"/>
      <c r="F3715" s="298"/>
      <c r="G3715" s="147"/>
    </row>
    <row r="3716" spans="1:7" ht="15.75" hidden="1" thickBot="1">
      <c r="A3716" s="162"/>
      <c r="B3716" s="162"/>
      <c r="C3716" s="162"/>
      <c r="D3716" s="162"/>
      <c r="E3716" s="258"/>
      <c r="F3716" s="301"/>
      <c r="G3716" s="162"/>
    </row>
    <row r="3717" spans="1:7" ht="15" hidden="1" thickBot="1">
      <c r="A3717" s="1027"/>
      <c r="B3717" s="1028"/>
      <c r="C3717" s="1028"/>
      <c r="D3717" s="1028"/>
      <c r="E3717" s="1028"/>
      <c r="F3717" s="1028"/>
      <c r="G3717" s="1029"/>
    </row>
    <row r="3718" spans="1:7" ht="15" hidden="1" thickBot="1">
      <c r="A3718" s="950"/>
      <c r="B3718" s="951"/>
      <c r="C3718" s="951"/>
      <c r="D3718" s="951"/>
      <c r="E3718" s="952"/>
      <c r="F3718" s="272"/>
      <c r="G3718" s="43"/>
    </row>
    <row r="3719" spans="1:7" ht="15" hidden="1" customHeight="1" thickBot="1">
      <c r="A3719" s="953"/>
      <c r="B3719" s="954"/>
      <c r="C3719" s="954"/>
      <c r="D3719" s="954"/>
      <c r="E3719" s="955"/>
      <c r="F3719" s="273"/>
      <c r="G3719" s="45"/>
    </row>
    <row r="3720" spans="1:7" ht="15" hidden="1" thickBot="1">
      <c r="A3720" s="956"/>
      <c r="B3720" s="957"/>
      <c r="C3720" s="957"/>
      <c r="D3720" s="957"/>
      <c r="E3720" s="958"/>
      <c r="F3720" s="273"/>
      <c r="G3720" s="46"/>
    </row>
    <row r="3721" spans="1:7" ht="15" hidden="1" thickBot="1">
      <c r="A3721" s="959"/>
      <c r="B3721" s="960"/>
      <c r="C3721" s="960"/>
      <c r="D3721" s="960"/>
      <c r="E3721" s="961"/>
      <c r="F3721" s="274"/>
      <c r="G3721" s="48"/>
    </row>
    <row r="3722" spans="1:7" ht="15" hidden="1" thickBot="1">
      <c r="A3722" s="962"/>
      <c r="B3722" s="963"/>
      <c r="C3722" s="964"/>
      <c r="D3722" s="964"/>
      <c r="E3722" s="964"/>
      <c r="F3722" s="964"/>
      <c r="G3722" s="965"/>
    </row>
    <row r="3723" spans="1:7" ht="15" hidden="1" thickBot="1">
      <c r="A3723" s="909"/>
      <c r="B3723" s="913"/>
      <c r="C3723" s="914"/>
      <c r="D3723" s="95"/>
      <c r="E3723" s="242"/>
      <c r="F3723" s="286"/>
      <c r="G3723" s="113"/>
    </row>
    <row r="3724" spans="1:7" ht="15" hidden="1" thickBot="1">
      <c r="A3724" s="114"/>
      <c r="B3724" s="966"/>
      <c r="C3724" s="967"/>
      <c r="D3724" s="88"/>
      <c r="E3724" s="251"/>
      <c r="F3724" s="284"/>
      <c r="G3724" s="117"/>
    </row>
    <row r="3725" spans="1:7" ht="15" hidden="1" thickBot="1">
      <c r="A3725" s="114"/>
      <c r="B3725" s="966"/>
      <c r="C3725" s="967"/>
      <c r="D3725" s="88"/>
      <c r="E3725" s="251"/>
      <c r="F3725" s="284"/>
      <c r="G3725" s="117"/>
    </row>
    <row r="3726" spans="1:7" ht="15" hidden="1" thickBot="1">
      <c r="A3726" s="970"/>
      <c r="B3726" s="971"/>
      <c r="C3726" s="972"/>
      <c r="D3726" s="973"/>
      <c r="E3726" s="974"/>
      <c r="F3726" s="975"/>
      <c r="G3726" s="11"/>
    </row>
    <row r="3727" spans="1:7" ht="15" hidden="1" thickBot="1">
      <c r="A3727" s="908"/>
      <c r="B3727" s="910"/>
      <c r="C3727" s="911"/>
      <c r="D3727" s="911"/>
      <c r="E3727" s="911"/>
      <c r="F3727" s="911"/>
      <c r="G3727" s="912"/>
    </row>
    <row r="3728" spans="1:7" ht="15" hidden="1" thickBot="1">
      <c r="A3728" s="909"/>
      <c r="B3728" s="913"/>
      <c r="C3728" s="914"/>
      <c r="D3728" s="95"/>
      <c r="E3728" s="242"/>
      <c r="F3728" s="292"/>
      <c r="G3728" s="113"/>
    </row>
    <row r="3729" spans="1:7" ht="15" hidden="1" thickBot="1">
      <c r="A3729" s="114"/>
      <c r="B3729" s="966"/>
      <c r="C3729" s="967"/>
      <c r="D3729" s="88"/>
      <c r="E3729" s="251"/>
      <c r="F3729" s="284"/>
      <c r="G3729" s="117"/>
    </row>
    <row r="3730" spans="1:7" ht="15" hidden="1" thickBot="1">
      <c r="A3730" s="114"/>
      <c r="B3730" s="966"/>
      <c r="C3730" s="967"/>
      <c r="D3730" s="88"/>
      <c r="E3730" s="251"/>
      <c r="F3730" s="284"/>
      <c r="G3730" s="117"/>
    </row>
    <row r="3731" spans="1:7" ht="15" hidden="1" thickBot="1">
      <c r="A3731" s="114"/>
      <c r="B3731" s="966"/>
      <c r="C3731" s="967"/>
      <c r="D3731" s="88"/>
      <c r="E3731" s="251"/>
      <c r="F3731" s="284"/>
      <c r="G3731" s="117"/>
    </row>
    <row r="3732" spans="1:7" ht="15" hidden="1" thickBot="1">
      <c r="A3732" s="114"/>
      <c r="B3732" s="966"/>
      <c r="C3732" s="967"/>
      <c r="D3732" s="88"/>
      <c r="E3732" s="251"/>
      <c r="F3732" s="284"/>
      <c r="G3732" s="117"/>
    </row>
    <row r="3733" spans="1:7" ht="15" hidden="1" thickBot="1">
      <c r="A3733" s="114"/>
      <c r="B3733" s="966"/>
      <c r="C3733" s="967"/>
      <c r="D3733" s="88"/>
      <c r="E3733" s="251"/>
      <c r="F3733" s="284"/>
      <c r="G3733" s="117"/>
    </row>
    <row r="3734" spans="1:7" ht="15" hidden="1" thickBot="1">
      <c r="A3734" s="932"/>
      <c r="B3734" s="933"/>
      <c r="C3734" s="934"/>
      <c r="D3734" s="935"/>
      <c r="E3734" s="936"/>
      <c r="F3734" s="937"/>
      <c r="G3734" s="18"/>
    </row>
    <row r="3735" spans="1:7" ht="15" hidden="1" thickBot="1">
      <c r="A3735" s="908"/>
      <c r="B3735" s="910"/>
      <c r="C3735" s="911"/>
      <c r="D3735" s="911"/>
      <c r="E3735" s="911"/>
      <c r="F3735" s="911"/>
      <c r="G3735" s="912"/>
    </row>
    <row r="3736" spans="1:7" ht="15" hidden="1" thickBot="1">
      <c r="A3736" s="909"/>
      <c r="B3736" s="913"/>
      <c r="C3736" s="914"/>
      <c r="D3736" s="95"/>
      <c r="E3736" s="242"/>
      <c r="F3736" s="286"/>
      <c r="G3736" s="113"/>
    </row>
    <row r="3737" spans="1:7" ht="15" hidden="1" thickBot="1">
      <c r="A3737" s="156"/>
      <c r="B3737" s="940"/>
      <c r="C3737" s="941"/>
      <c r="D3737" s="157"/>
      <c r="E3737" s="259"/>
      <c r="F3737" s="303"/>
      <c r="G3737" s="159"/>
    </row>
    <row r="3738" spans="1:7" ht="15" hidden="1" thickBot="1">
      <c r="A3738" s="944"/>
      <c r="B3738" s="945"/>
      <c r="C3738" s="946"/>
      <c r="D3738" s="947"/>
      <c r="E3738" s="948"/>
      <c r="F3738" s="949"/>
      <c r="G3738" s="11"/>
    </row>
    <row r="3739" spans="1:7" ht="15" hidden="1" thickBot="1">
      <c r="A3739" s="908"/>
      <c r="B3739" s="910"/>
      <c r="C3739" s="911"/>
      <c r="D3739" s="911"/>
      <c r="E3739" s="911"/>
      <c r="F3739" s="911"/>
      <c r="G3739" s="912"/>
    </row>
    <row r="3740" spans="1:7" ht="15" hidden="1" thickBot="1">
      <c r="A3740" s="909"/>
      <c r="B3740" s="913"/>
      <c r="C3740" s="914"/>
      <c r="D3740" s="95"/>
      <c r="E3740" s="242"/>
      <c r="F3740" s="286"/>
      <c r="G3740" s="113"/>
    </row>
    <row r="3741" spans="1:7" ht="15" hidden="1" thickBot="1">
      <c r="A3741" s="122"/>
      <c r="B3741" s="985"/>
      <c r="C3741" s="986"/>
      <c r="D3741" s="109"/>
      <c r="E3741" s="254"/>
      <c r="F3741" s="304"/>
      <c r="G3741" s="129"/>
    </row>
    <row r="3742" spans="1:7" ht="15" hidden="1" thickBot="1">
      <c r="A3742" s="915"/>
      <c r="B3742" s="916"/>
      <c r="C3742" s="917"/>
      <c r="D3742" s="918"/>
      <c r="E3742" s="919"/>
      <c r="F3742" s="920"/>
      <c r="G3742" s="12"/>
    </row>
    <row r="3743" spans="1:7" ht="15" hidden="1" thickBot="1">
      <c r="A3743" s="921"/>
      <c r="B3743" s="922"/>
      <c r="C3743" s="922"/>
      <c r="D3743" s="923"/>
      <c r="E3743" s="924"/>
      <c r="F3743" s="925"/>
      <c r="G3743" s="112"/>
    </row>
    <row r="3744" spans="1:7" hidden="1">
      <c r="A3744" s="40"/>
      <c r="B3744" s="40"/>
      <c r="C3744" s="40"/>
      <c r="D3744" s="146"/>
      <c r="E3744" s="250"/>
      <c r="F3744" s="298"/>
      <c r="G3744" s="147"/>
    </row>
    <row r="3745" spans="1:7" ht="15" hidden="1">
      <c r="A3745" s="162"/>
      <c r="B3745" s="162"/>
      <c r="C3745" s="162"/>
      <c r="D3745" s="162"/>
      <c r="E3745" s="258"/>
      <c r="F3745" s="301"/>
      <c r="G3745" s="162"/>
    </row>
    <row r="3746" spans="1:7" ht="15.75" hidden="1" thickBot="1">
      <c r="A3746" s="162"/>
      <c r="B3746" s="162"/>
      <c r="C3746" s="162"/>
      <c r="D3746" s="162"/>
      <c r="E3746" s="258"/>
      <c r="F3746" s="301"/>
      <c r="G3746" s="162"/>
    </row>
    <row r="3747" spans="1:7" ht="15" hidden="1" thickBot="1">
      <c r="A3747" s="1027"/>
      <c r="B3747" s="1028"/>
      <c r="C3747" s="1028"/>
      <c r="D3747" s="1028"/>
      <c r="E3747" s="1028"/>
      <c r="F3747" s="1028"/>
      <c r="G3747" s="1029"/>
    </row>
    <row r="3748" spans="1:7" ht="15" hidden="1" thickBot="1">
      <c r="A3748" s="950"/>
      <c r="B3748" s="951"/>
      <c r="C3748" s="951"/>
      <c r="D3748" s="951"/>
      <c r="E3748" s="952"/>
      <c r="F3748" s="272"/>
      <c r="G3748" s="43"/>
    </row>
    <row r="3749" spans="1:7" ht="15" hidden="1" customHeight="1" thickBot="1">
      <c r="A3749" s="953"/>
      <c r="B3749" s="954"/>
      <c r="C3749" s="954"/>
      <c r="D3749" s="954"/>
      <c r="E3749" s="955"/>
      <c r="F3749" s="273"/>
      <c r="G3749" s="45"/>
    </row>
    <row r="3750" spans="1:7" ht="15" hidden="1" thickBot="1">
      <c r="A3750" s="956"/>
      <c r="B3750" s="957"/>
      <c r="C3750" s="957"/>
      <c r="D3750" s="957"/>
      <c r="E3750" s="958"/>
      <c r="F3750" s="273"/>
      <c r="G3750" s="46"/>
    </row>
    <row r="3751" spans="1:7" ht="15" hidden="1" thickBot="1">
      <c r="A3751" s="959"/>
      <c r="B3751" s="960"/>
      <c r="C3751" s="960"/>
      <c r="D3751" s="960"/>
      <c r="E3751" s="961"/>
      <c r="F3751" s="274"/>
      <c r="G3751" s="48"/>
    </row>
    <row r="3752" spans="1:7" ht="15" hidden="1" thickBot="1">
      <c r="A3752" s="962"/>
      <c r="B3752" s="963"/>
      <c r="C3752" s="964"/>
      <c r="D3752" s="964"/>
      <c r="E3752" s="964"/>
      <c r="F3752" s="964"/>
      <c r="G3752" s="965"/>
    </row>
    <row r="3753" spans="1:7" ht="15" hidden="1" thickBot="1">
      <c r="A3753" s="909"/>
      <c r="B3753" s="913"/>
      <c r="C3753" s="914"/>
      <c r="D3753" s="95"/>
      <c r="E3753" s="242"/>
      <c r="F3753" s="286"/>
      <c r="G3753" s="113"/>
    </row>
    <row r="3754" spans="1:7" ht="15" hidden="1" thickBot="1">
      <c r="A3754" s="114"/>
      <c r="B3754" s="966"/>
      <c r="C3754" s="967"/>
      <c r="D3754" s="88"/>
      <c r="E3754" s="251"/>
      <c r="F3754" s="284"/>
      <c r="G3754" s="117"/>
    </row>
    <row r="3755" spans="1:7" ht="15" hidden="1" thickBot="1">
      <c r="A3755" s="114"/>
      <c r="B3755" s="966"/>
      <c r="C3755" s="967"/>
      <c r="D3755" s="88"/>
      <c r="E3755" s="251"/>
      <c r="F3755" s="284"/>
      <c r="G3755" s="117"/>
    </row>
    <row r="3756" spans="1:7" ht="15" hidden="1" thickBot="1">
      <c r="A3756" s="970"/>
      <c r="B3756" s="971"/>
      <c r="C3756" s="972"/>
      <c r="D3756" s="973"/>
      <c r="E3756" s="974"/>
      <c r="F3756" s="975"/>
      <c r="G3756" s="11"/>
    </row>
    <row r="3757" spans="1:7" ht="15" hidden="1" thickBot="1">
      <c r="A3757" s="908"/>
      <c r="B3757" s="910"/>
      <c r="C3757" s="911"/>
      <c r="D3757" s="911"/>
      <c r="E3757" s="911"/>
      <c r="F3757" s="911"/>
      <c r="G3757" s="912"/>
    </row>
    <row r="3758" spans="1:7" ht="15" hidden="1" thickBot="1">
      <c r="A3758" s="909"/>
      <c r="B3758" s="913"/>
      <c r="C3758" s="914"/>
      <c r="D3758" s="95"/>
      <c r="E3758" s="242"/>
      <c r="F3758" s="292"/>
      <c r="G3758" s="113"/>
    </row>
    <row r="3759" spans="1:7" ht="15" hidden="1" thickBot="1">
      <c r="A3759" s="114"/>
      <c r="B3759" s="966"/>
      <c r="C3759" s="967"/>
      <c r="D3759" s="88"/>
      <c r="E3759" s="251"/>
      <c r="F3759" s="284"/>
      <c r="G3759" s="117"/>
    </row>
    <row r="3760" spans="1:7" ht="15" hidden="1" thickBot="1">
      <c r="A3760" s="114"/>
      <c r="B3760" s="966"/>
      <c r="C3760" s="967"/>
      <c r="D3760" s="88"/>
      <c r="E3760" s="251"/>
      <c r="F3760" s="284"/>
      <c r="G3760" s="117"/>
    </row>
    <row r="3761" spans="1:7" ht="15" hidden="1" thickBot="1">
      <c r="A3761" s="114"/>
      <c r="B3761" s="966"/>
      <c r="C3761" s="967"/>
      <c r="D3761" s="88"/>
      <c r="E3761" s="251"/>
      <c r="F3761" s="284"/>
      <c r="G3761" s="117"/>
    </row>
    <row r="3762" spans="1:7" ht="15" hidden="1" thickBot="1">
      <c r="A3762" s="114"/>
      <c r="B3762" s="966"/>
      <c r="C3762" s="967"/>
      <c r="D3762" s="88"/>
      <c r="E3762" s="251"/>
      <c r="F3762" s="284"/>
      <c r="G3762" s="117"/>
    </row>
    <row r="3763" spans="1:7" ht="15" hidden="1" thickBot="1">
      <c r="A3763" s="114"/>
      <c r="B3763" s="966"/>
      <c r="C3763" s="967"/>
      <c r="D3763" s="88"/>
      <c r="E3763" s="251"/>
      <c r="F3763" s="284"/>
      <c r="G3763" s="117"/>
    </row>
    <row r="3764" spans="1:7" ht="15" hidden="1" thickBot="1">
      <c r="A3764" s="932"/>
      <c r="B3764" s="933"/>
      <c r="C3764" s="934"/>
      <c r="D3764" s="935"/>
      <c r="E3764" s="936"/>
      <c r="F3764" s="937"/>
      <c r="G3764" s="18"/>
    </row>
    <row r="3765" spans="1:7" ht="15" hidden="1" thickBot="1">
      <c r="A3765" s="908"/>
      <c r="B3765" s="910"/>
      <c r="C3765" s="911"/>
      <c r="D3765" s="911"/>
      <c r="E3765" s="911"/>
      <c r="F3765" s="911"/>
      <c r="G3765" s="912"/>
    </row>
    <row r="3766" spans="1:7" ht="15" hidden="1" thickBot="1">
      <c r="A3766" s="909"/>
      <c r="B3766" s="913"/>
      <c r="C3766" s="914"/>
      <c r="D3766" s="95"/>
      <c r="E3766" s="242"/>
      <c r="F3766" s="286"/>
      <c r="G3766" s="113"/>
    </row>
    <row r="3767" spans="1:7" ht="15" hidden="1" thickBot="1">
      <c r="A3767" s="156"/>
      <c r="B3767" s="1095"/>
      <c r="C3767" s="1096"/>
      <c r="D3767" s="104"/>
      <c r="E3767" s="247"/>
      <c r="F3767" s="284"/>
      <c r="G3767" s="159"/>
    </row>
    <row r="3768" spans="1:7" ht="15" hidden="1" thickBot="1">
      <c r="A3768" s="944"/>
      <c r="B3768" s="945"/>
      <c r="C3768" s="946"/>
      <c r="D3768" s="947"/>
      <c r="E3768" s="948"/>
      <c r="F3768" s="949"/>
      <c r="G3768" s="11"/>
    </row>
    <row r="3769" spans="1:7" ht="15" hidden="1" thickBot="1">
      <c r="A3769" s="908"/>
      <c r="B3769" s="910"/>
      <c r="C3769" s="911"/>
      <c r="D3769" s="911"/>
      <c r="E3769" s="911"/>
      <c r="F3769" s="911"/>
      <c r="G3769" s="912"/>
    </row>
    <row r="3770" spans="1:7" ht="15" hidden="1" thickBot="1">
      <c r="A3770" s="909"/>
      <c r="B3770" s="913"/>
      <c r="C3770" s="914"/>
      <c r="D3770" s="95"/>
      <c r="E3770" s="242"/>
      <c r="F3770" s="286"/>
      <c r="G3770" s="113"/>
    </row>
    <row r="3771" spans="1:7" ht="15" hidden="1" thickBot="1">
      <c r="A3771" s="122"/>
      <c r="B3771" s="985"/>
      <c r="C3771" s="986"/>
      <c r="D3771" s="109"/>
      <c r="E3771" s="254"/>
      <c r="F3771" s="304"/>
      <c r="G3771" s="129"/>
    </row>
    <row r="3772" spans="1:7" ht="15" hidden="1" thickBot="1">
      <c r="A3772" s="915"/>
      <c r="B3772" s="916"/>
      <c r="C3772" s="917"/>
      <c r="D3772" s="918"/>
      <c r="E3772" s="919"/>
      <c r="F3772" s="920"/>
      <c r="G3772" s="12"/>
    </row>
    <row r="3773" spans="1:7" ht="15" hidden="1" thickBot="1">
      <c r="A3773" s="921"/>
      <c r="B3773" s="922"/>
      <c r="C3773" s="922"/>
      <c r="D3773" s="923"/>
      <c r="E3773" s="924"/>
      <c r="F3773" s="925"/>
      <c r="G3773" s="112"/>
    </row>
    <row r="3774" spans="1:7" ht="15.75" hidden="1" thickBot="1">
      <c r="A3774" s="162"/>
      <c r="B3774" s="162"/>
      <c r="C3774" s="162"/>
      <c r="D3774" s="162"/>
      <c r="E3774" s="258"/>
      <c r="F3774" s="301"/>
      <c r="G3774" s="162"/>
    </row>
    <row r="3775" spans="1:7" ht="15" hidden="1" thickBot="1">
      <c r="A3775" s="1027"/>
      <c r="B3775" s="1028"/>
      <c r="C3775" s="1028"/>
      <c r="D3775" s="1028"/>
      <c r="E3775" s="1028"/>
      <c r="F3775" s="1028"/>
      <c r="G3775" s="1029"/>
    </row>
    <row r="3776" spans="1:7" ht="15" hidden="1" thickBot="1">
      <c r="A3776" s="950"/>
      <c r="B3776" s="951"/>
      <c r="C3776" s="951"/>
      <c r="D3776" s="951"/>
      <c r="E3776" s="952"/>
      <c r="F3776" s="272"/>
      <c r="G3776" s="43"/>
    </row>
    <row r="3777" spans="1:7" ht="15" hidden="1" customHeight="1" thickBot="1">
      <c r="A3777" s="953"/>
      <c r="B3777" s="954"/>
      <c r="C3777" s="954"/>
      <c r="D3777" s="954"/>
      <c r="E3777" s="955"/>
      <c r="F3777" s="273"/>
      <c r="G3777" s="45"/>
    </row>
    <row r="3778" spans="1:7" ht="15" hidden="1" thickBot="1">
      <c r="A3778" s="956"/>
      <c r="B3778" s="957"/>
      <c r="C3778" s="957"/>
      <c r="D3778" s="957"/>
      <c r="E3778" s="958"/>
      <c r="F3778" s="273"/>
      <c r="G3778" s="46"/>
    </row>
    <row r="3779" spans="1:7" ht="15" hidden="1" thickBot="1">
      <c r="A3779" s="959"/>
      <c r="B3779" s="960"/>
      <c r="C3779" s="960"/>
      <c r="D3779" s="960"/>
      <c r="E3779" s="961"/>
      <c r="F3779" s="274"/>
      <c r="G3779" s="48"/>
    </row>
    <row r="3780" spans="1:7" ht="15" hidden="1" thickBot="1">
      <c r="A3780" s="962"/>
      <c r="B3780" s="963"/>
      <c r="C3780" s="964"/>
      <c r="D3780" s="964"/>
      <c r="E3780" s="964"/>
      <c r="F3780" s="964"/>
      <c r="G3780" s="965"/>
    </row>
    <row r="3781" spans="1:7" ht="15" hidden="1" thickBot="1">
      <c r="A3781" s="909"/>
      <c r="B3781" s="913"/>
      <c r="C3781" s="914"/>
      <c r="D3781" s="95"/>
      <c r="E3781" s="242"/>
      <c r="F3781" s="286"/>
      <c r="G3781" s="113"/>
    </row>
    <row r="3782" spans="1:7" ht="15" hidden="1" thickBot="1">
      <c r="A3782" s="114"/>
      <c r="B3782" s="966"/>
      <c r="C3782" s="967"/>
      <c r="D3782" s="88"/>
      <c r="E3782" s="251"/>
      <c r="F3782" s="284"/>
      <c r="G3782" s="117"/>
    </row>
    <row r="3783" spans="1:7" ht="15" hidden="1" thickBot="1">
      <c r="A3783" s="114"/>
      <c r="B3783" s="966"/>
      <c r="C3783" s="967"/>
      <c r="D3783" s="88"/>
      <c r="E3783" s="251"/>
      <c r="F3783" s="284"/>
      <c r="G3783" s="117"/>
    </row>
    <row r="3784" spans="1:7" ht="15" hidden="1" thickBot="1">
      <c r="A3784" s="970"/>
      <c r="B3784" s="971"/>
      <c r="C3784" s="972"/>
      <c r="D3784" s="973"/>
      <c r="E3784" s="974"/>
      <c r="F3784" s="975"/>
      <c r="G3784" s="11"/>
    </row>
    <row r="3785" spans="1:7" ht="15" hidden="1" thickBot="1">
      <c r="A3785" s="908"/>
      <c r="B3785" s="910"/>
      <c r="C3785" s="911"/>
      <c r="D3785" s="911"/>
      <c r="E3785" s="911"/>
      <c r="F3785" s="911"/>
      <c r="G3785" s="912"/>
    </row>
    <row r="3786" spans="1:7" ht="15" hidden="1" thickBot="1">
      <c r="A3786" s="909"/>
      <c r="B3786" s="913"/>
      <c r="C3786" s="914"/>
      <c r="D3786" s="95"/>
      <c r="E3786" s="242"/>
      <c r="F3786" s="292"/>
      <c r="G3786" s="113"/>
    </row>
    <row r="3787" spans="1:7" ht="15" hidden="1" thickBot="1">
      <c r="A3787" s="114"/>
      <c r="B3787" s="966"/>
      <c r="C3787" s="967"/>
      <c r="D3787" s="88"/>
      <c r="E3787" s="251"/>
      <c r="F3787" s="284"/>
      <c r="G3787" s="117"/>
    </row>
    <row r="3788" spans="1:7" ht="15" hidden="1" thickBot="1">
      <c r="A3788" s="114"/>
      <c r="B3788" s="966"/>
      <c r="C3788" s="967"/>
      <c r="D3788" s="88"/>
      <c r="E3788" s="251"/>
      <c r="F3788" s="284"/>
      <c r="G3788" s="117"/>
    </row>
    <row r="3789" spans="1:7" ht="15" hidden="1" thickBot="1">
      <c r="A3789" s="114"/>
      <c r="B3789" s="966"/>
      <c r="C3789" s="967"/>
      <c r="D3789" s="88"/>
      <c r="E3789" s="251"/>
      <c r="F3789" s="284"/>
      <c r="G3789" s="117"/>
    </row>
    <row r="3790" spans="1:7" ht="15" hidden="1" thickBot="1">
      <c r="A3790" s="114"/>
      <c r="B3790" s="966"/>
      <c r="C3790" s="967"/>
      <c r="D3790" s="88"/>
      <c r="E3790" s="251"/>
      <c r="F3790" s="284"/>
      <c r="G3790" s="117"/>
    </row>
    <row r="3791" spans="1:7" ht="15" hidden="1" thickBot="1">
      <c r="A3791" s="114"/>
      <c r="B3791" s="966"/>
      <c r="C3791" s="967"/>
      <c r="D3791" s="88"/>
      <c r="E3791" s="251"/>
      <c r="F3791" s="284"/>
      <c r="G3791" s="117"/>
    </row>
    <row r="3792" spans="1:7" ht="15" hidden="1" thickBot="1">
      <c r="A3792" s="932"/>
      <c r="B3792" s="933"/>
      <c r="C3792" s="934"/>
      <c r="D3792" s="935"/>
      <c r="E3792" s="936"/>
      <c r="F3792" s="937"/>
      <c r="G3792" s="18"/>
    </row>
    <row r="3793" spans="1:7" ht="15" hidden="1" thickBot="1">
      <c r="A3793" s="908"/>
      <c r="B3793" s="910"/>
      <c r="C3793" s="911"/>
      <c r="D3793" s="911"/>
      <c r="E3793" s="911"/>
      <c r="F3793" s="911"/>
      <c r="G3793" s="912"/>
    </row>
    <row r="3794" spans="1:7" ht="15" hidden="1" thickBot="1">
      <c r="A3794" s="909"/>
      <c r="B3794" s="913"/>
      <c r="C3794" s="914"/>
      <c r="D3794" s="95"/>
      <c r="E3794" s="242"/>
      <c r="F3794" s="286"/>
      <c r="G3794" s="113"/>
    </row>
    <row r="3795" spans="1:7" ht="15" hidden="1" thickBot="1">
      <c r="A3795" s="156"/>
      <c r="B3795" s="940"/>
      <c r="C3795" s="941"/>
      <c r="D3795" s="157"/>
      <c r="E3795" s="259"/>
      <c r="F3795" s="303"/>
      <c r="G3795" s="159"/>
    </row>
    <row r="3796" spans="1:7" ht="15" hidden="1" thickBot="1">
      <c r="A3796" s="944"/>
      <c r="B3796" s="945"/>
      <c r="C3796" s="946"/>
      <c r="D3796" s="947"/>
      <c r="E3796" s="948"/>
      <c r="F3796" s="949"/>
      <c r="G3796" s="11"/>
    </row>
    <row r="3797" spans="1:7" ht="15" hidden="1" thickBot="1">
      <c r="A3797" s="908"/>
      <c r="B3797" s="910"/>
      <c r="C3797" s="911"/>
      <c r="D3797" s="911"/>
      <c r="E3797" s="911"/>
      <c r="F3797" s="911"/>
      <c r="G3797" s="912"/>
    </row>
    <row r="3798" spans="1:7" ht="15" hidden="1" thickBot="1">
      <c r="A3798" s="909"/>
      <c r="B3798" s="913"/>
      <c r="C3798" s="914"/>
      <c r="D3798" s="95"/>
      <c r="E3798" s="242"/>
      <c r="F3798" s="286"/>
      <c r="G3798" s="113"/>
    </row>
    <row r="3799" spans="1:7" ht="15" hidden="1" thickBot="1">
      <c r="A3799" s="122"/>
      <c r="B3799" s="1075"/>
      <c r="C3799" s="1076"/>
      <c r="D3799" s="109"/>
      <c r="E3799" s="254"/>
      <c r="F3799" s="304"/>
      <c r="G3799" s="129"/>
    </row>
    <row r="3800" spans="1:7" ht="15" hidden="1" thickBot="1">
      <c r="A3800" s="915"/>
      <c r="B3800" s="916"/>
      <c r="C3800" s="917"/>
      <c r="D3800" s="918"/>
      <c r="E3800" s="919"/>
      <c r="F3800" s="920"/>
      <c r="G3800" s="12"/>
    </row>
    <row r="3801" spans="1:7" ht="15" hidden="1" thickBot="1">
      <c r="A3801" s="921"/>
      <c r="B3801" s="922"/>
      <c r="C3801" s="922"/>
      <c r="D3801" s="923"/>
      <c r="E3801" s="924"/>
      <c r="F3801" s="925"/>
      <c r="G3801" s="112"/>
    </row>
    <row r="3802" spans="1:7" ht="15.75" hidden="1" thickBot="1">
      <c r="A3802" s="162"/>
      <c r="B3802" s="162"/>
      <c r="C3802" s="162"/>
      <c r="D3802" s="162"/>
      <c r="E3802" s="258"/>
      <c r="F3802" s="301"/>
      <c r="G3802" s="162"/>
    </row>
    <row r="3803" spans="1:7" ht="15" hidden="1" thickBot="1">
      <c r="A3803" s="1027"/>
      <c r="B3803" s="1028"/>
      <c r="C3803" s="1028"/>
      <c r="D3803" s="1028"/>
      <c r="E3803" s="1028"/>
      <c r="F3803" s="1028"/>
      <c r="G3803" s="1029"/>
    </row>
    <row r="3804" spans="1:7" ht="15" hidden="1" thickBot="1">
      <c r="A3804" s="950"/>
      <c r="B3804" s="951"/>
      <c r="C3804" s="951"/>
      <c r="D3804" s="951"/>
      <c r="E3804" s="952"/>
      <c r="F3804" s="272"/>
      <c r="G3804" s="43"/>
    </row>
    <row r="3805" spans="1:7" ht="15" hidden="1" customHeight="1" thickBot="1">
      <c r="A3805" s="953"/>
      <c r="B3805" s="954"/>
      <c r="C3805" s="954"/>
      <c r="D3805" s="954"/>
      <c r="E3805" s="955"/>
      <c r="F3805" s="273"/>
      <c r="G3805" s="45"/>
    </row>
    <row r="3806" spans="1:7" ht="15" hidden="1" thickBot="1">
      <c r="A3806" s="956"/>
      <c r="B3806" s="957"/>
      <c r="C3806" s="957"/>
      <c r="D3806" s="957"/>
      <c r="E3806" s="958"/>
      <c r="F3806" s="273"/>
      <c r="G3806" s="46"/>
    </row>
    <row r="3807" spans="1:7" ht="15" hidden="1" thickBot="1">
      <c r="A3807" s="959"/>
      <c r="B3807" s="960"/>
      <c r="C3807" s="960"/>
      <c r="D3807" s="960"/>
      <c r="E3807" s="961"/>
      <c r="F3807" s="274"/>
      <c r="G3807" s="48"/>
    </row>
    <row r="3808" spans="1:7" ht="15" hidden="1" thickBot="1">
      <c r="A3808" s="962"/>
      <c r="B3808" s="963"/>
      <c r="C3808" s="964"/>
      <c r="D3808" s="964"/>
      <c r="E3808" s="964"/>
      <c r="F3808" s="964"/>
      <c r="G3808" s="965"/>
    </row>
    <row r="3809" spans="1:7" ht="15" hidden="1" thickBot="1">
      <c r="A3809" s="909"/>
      <c r="B3809" s="913"/>
      <c r="C3809" s="914"/>
      <c r="D3809" s="95"/>
      <c r="E3809" s="242"/>
      <c r="F3809" s="286"/>
      <c r="G3809" s="113"/>
    </row>
    <row r="3810" spans="1:7" ht="15" hidden="1" thickBot="1">
      <c r="A3810" s="114"/>
      <c r="B3810" s="966"/>
      <c r="C3810" s="967"/>
      <c r="D3810" s="88"/>
      <c r="E3810" s="251"/>
      <c r="F3810" s="284"/>
      <c r="G3810" s="117"/>
    </row>
    <row r="3811" spans="1:7" ht="15" hidden="1" thickBot="1">
      <c r="A3811" s="114"/>
      <c r="B3811" s="966"/>
      <c r="C3811" s="967"/>
      <c r="D3811" s="88"/>
      <c r="E3811" s="251"/>
      <c r="F3811" s="284"/>
      <c r="G3811" s="117"/>
    </row>
    <row r="3812" spans="1:7" ht="15" hidden="1" thickBot="1">
      <c r="A3812" s="970"/>
      <c r="B3812" s="971"/>
      <c r="C3812" s="972"/>
      <c r="D3812" s="973"/>
      <c r="E3812" s="974"/>
      <c r="F3812" s="975"/>
      <c r="G3812" s="11"/>
    </row>
    <row r="3813" spans="1:7" ht="15" hidden="1" thickBot="1">
      <c r="A3813" s="908"/>
      <c r="B3813" s="910"/>
      <c r="C3813" s="911"/>
      <c r="D3813" s="911"/>
      <c r="E3813" s="911"/>
      <c r="F3813" s="911"/>
      <c r="G3813" s="912"/>
    </row>
    <row r="3814" spans="1:7" ht="15" hidden="1" thickBot="1">
      <c r="A3814" s="909"/>
      <c r="B3814" s="913"/>
      <c r="C3814" s="914"/>
      <c r="D3814" s="95"/>
      <c r="E3814" s="242"/>
      <c r="F3814" s="292"/>
      <c r="G3814" s="113"/>
    </row>
    <row r="3815" spans="1:7" ht="15" hidden="1" thickBot="1">
      <c r="A3815" s="114"/>
      <c r="B3815" s="966"/>
      <c r="C3815" s="967"/>
      <c r="D3815" s="88"/>
      <c r="E3815" s="251"/>
      <c r="F3815" s="284"/>
      <c r="G3815" s="117"/>
    </row>
    <row r="3816" spans="1:7" ht="15" hidden="1" thickBot="1">
      <c r="A3816" s="114"/>
      <c r="B3816" s="966"/>
      <c r="C3816" s="967"/>
      <c r="D3816" s="88"/>
      <c r="E3816" s="251"/>
      <c r="F3816" s="284"/>
      <c r="G3816" s="117"/>
    </row>
    <row r="3817" spans="1:7" ht="15" hidden="1" thickBot="1">
      <c r="A3817" s="114"/>
      <c r="B3817" s="966"/>
      <c r="C3817" s="967"/>
      <c r="D3817" s="88"/>
      <c r="E3817" s="251"/>
      <c r="F3817" s="284"/>
      <c r="G3817" s="117"/>
    </row>
    <row r="3818" spans="1:7" ht="15" hidden="1" thickBot="1">
      <c r="A3818" s="114"/>
      <c r="B3818" s="966"/>
      <c r="C3818" s="967"/>
      <c r="D3818" s="88"/>
      <c r="E3818" s="251"/>
      <c r="F3818" s="284"/>
      <c r="G3818" s="117"/>
    </row>
    <row r="3819" spans="1:7" ht="15" hidden="1" thickBot="1">
      <c r="A3819" s="114"/>
      <c r="B3819" s="966"/>
      <c r="C3819" s="967"/>
      <c r="D3819" s="88"/>
      <c r="E3819" s="251"/>
      <c r="F3819" s="284"/>
      <c r="G3819" s="117"/>
    </row>
    <row r="3820" spans="1:7" ht="15" hidden="1" thickBot="1">
      <c r="A3820" s="932"/>
      <c r="B3820" s="933"/>
      <c r="C3820" s="934"/>
      <c r="D3820" s="935"/>
      <c r="E3820" s="936"/>
      <c r="F3820" s="937"/>
      <c r="G3820" s="18"/>
    </row>
    <row r="3821" spans="1:7" ht="15" hidden="1" thickBot="1">
      <c r="A3821" s="908"/>
      <c r="B3821" s="910"/>
      <c r="C3821" s="911"/>
      <c r="D3821" s="911"/>
      <c r="E3821" s="911"/>
      <c r="F3821" s="911"/>
      <c r="G3821" s="912"/>
    </row>
    <row r="3822" spans="1:7" ht="15" hidden="1" thickBot="1">
      <c r="A3822" s="909"/>
      <c r="B3822" s="913"/>
      <c r="C3822" s="914"/>
      <c r="D3822" s="95"/>
      <c r="E3822" s="242"/>
      <c r="F3822" s="286"/>
      <c r="G3822" s="113"/>
    </row>
    <row r="3823" spans="1:7" ht="15" hidden="1" thickBot="1">
      <c r="A3823" s="156"/>
      <c r="B3823" s="940"/>
      <c r="C3823" s="941"/>
      <c r="D3823" s="157"/>
      <c r="E3823" s="259"/>
      <c r="F3823" s="303"/>
      <c r="G3823" s="159"/>
    </row>
    <row r="3824" spans="1:7" ht="15" hidden="1" thickBot="1">
      <c r="A3824" s="944"/>
      <c r="B3824" s="945"/>
      <c r="C3824" s="946"/>
      <c r="D3824" s="947"/>
      <c r="E3824" s="948"/>
      <c r="F3824" s="949"/>
      <c r="G3824" s="11"/>
    </row>
    <row r="3825" spans="1:7" ht="15" hidden="1" thickBot="1">
      <c r="A3825" s="908"/>
      <c r="B3825" s="910"/>
      <c r="C3825" s="911"/>
      <c r="D3825" s="911"/>
      <c r="E3825" s="911"/>
      <c r="F3825" s="911"/>
      <c r="G3825" s="912"/>
    </row>
    <row r="3826" spans="1:7" ht="15" hidden="1" thickBot="1">
      <c r="A3826" s="909"/>
      <c r="B3826" s="913"/>
      <c r="C3826" s="914"/>
      <c r="D3826" s="95"/>
      <c r="E3826" s="242"/>
      <c r="F3826" s="286"/>
      <c r="G3826" s="113"/>
    </row>
    <row r="3827" spans="1:7" ht="15" hidden="1" thickBot="1">
      <c r="A3827" s="122"/>
      <c r="B3827" s="1075"/>
      <c r="C3827" s="1076"/>
      <c r="D3827" s="109"/>
      <c r="E3827" s="254"/>
      <c r="F3827" s="304"/>
      <c r="G3827" s="129"/>
    </row>
    <row r="3828" spans="1:7" ht="15" hidden="1" thickBot="1">
      <c r="A3828" s="915"/>
      <c r="B3828" s="916"/>
      <c r="C3828" s="917"/>
      <c r="D3828" s="918"/>
      <c r="E3828" s="919"/>
      <c r="F3828" s="920"/>
      <c r="G3828" s="12"/>
    </row>
    <row r="3829" spans="1:7" ht="15" hidden="1" thickBot="1">
      <c r="A3829" s="921"/>
      <c r="B3829" s="922"/>
      <c r="C3829" s="922"/>
      <c r="D3829" s="923"/>
      <c r="E3829" s="924"/>
      <c r="F3829" s="925"/>
      <c r="G3829" s="112"/>
    </row>
    <row r="3830" spans="1:7" ht="15.75" hidden="1" thickBot="1">
      <c r="A3830" s="162"/>
      <c r="B3830" s="162"/>
      <c r="C3830" s="162"/>
      <c r="D3830" s="162"/>
      <c r="E3830" s="258"/>
      <c r="F3830" s="301"/>
      <c r="G3830" s="162"/>
    </row>
    <row r="3831" spans="1:7" ht="15" hidden="1" thickBot="1">
      <c r="A3831" s="1027"/>
      <c r="B3831" s="1028"/>
      <c r="C3831" s="1028"/>
      <c r="D3831" s="1028"/>
      <c r="E3831" s="1028"/>
      <c r="F3831" s="1028"/>
      <c r="G3831" s="1029"/>
    </row>
    <row r="3832" spans="1:7" ht="15" hidden="1" thickBot="1">
      <c r="A3832" s="950"/>
      <c r="B3832" s="951"/>
      <c r="C3832" s="951"/>
      <c r="D3832" s="951"/>
      <c r="E3832" s="952"/>
      <c r="F3832" s="272"/>
      <c r="G3832" s="43"/>
    </row>
    <row r="3833" spans="1:7" ht="15" hidden="1" customHeight="1" thickBot="1">
      <c r="A3833" s="953"/>
      <c r="B3833" s="954"/>
      <c r="C3833" s="954"/>
      <c r="D3833" s="954"/>
      <c r="E3833" s="955"/>
      <c r="F3833" s="273"/>
      <c r="G3833" s="45"/>
    </row>
    <row r="3834" spans="1:7" ht="15" hidden="1" thickBot="1">
      <c r="A3834" s="956"/>
      <c r="B3834" s="957"/>
      <c r="C3834" s="957"/>
      <c r="D3834" s="957"/>
      <c r="E3834" s="958"/>
      <c r="F3834" s="273"/>
      <c r="G3834" s="46"/>
    </row>
    <row r="3835" spans="1:7" ht="15" hidden="1" thickBot="1">
      <c r="A3835" s="959"/>
      <c r="B3835" s="960"/>
      <c r="C3835" s="960"/>
      <c r="D3835" s="960"/>
      <c r="E3835" s="961"/>
      <c r="F3835" s="274"/>
      <c r="G3835" s="48"/>
    </row>
    <row r="3836" spans="1:7" ht="15" hidden="1" thickBot="1">
      <c r="A3836" s="962"/>
      <c r="B3836" s="963"/>
      <c r="C3836" s="964"/>
      <c r="D3836" s="964"/>
      <c r="E3836" s="964"/>
      <c r="F3836" s="964"/>
      <c r="G3836" s="965"/>
    </row>
    <row r="3837" spans="1:7" ht="15" hidden="1" thickBot="1">
      <c r="A3837" s="909"/>
      <c r="B3837" s="913"/>
      <c r="C3837" s="914"/>
      <c r="D3837" s="95"/>
      <c r="E3837" s="242"/>
      <c r="F3837" s="286"/>
      <c r="G3837" s="113"/>
    </row>
    <row r="3838" spans="1:7" ht="15" hidden="1" thickBot="1">
      <c r="A3838" s="114"/>
      <c r="B3838" s="966"/>
      <c r="C3838" s="967"/>
      <c r="D3838" s="88"/>
      <c r="E3838" s="251"/>
      <c r="F3838" s="284"/>
      <c r="G3838" s="117"/>
    </row>
    <row r="3839" spans="1:7" ht="15" hidden="1" thickBot="1">
      <c r="A3839" s="114"/>
      <c r="B3839" s="966"/>
      <c r="C3839" s="967"/>
      <c r="D3839" s="88"/>
      <c r="E3839" s="251"/>
      <c r="F3839" s="284"/>
      <c r="G3839" s="117"/>
    </row>
    <row r="3840" spans="1:7" ht="15" hidden="1" thickBot="1">
      <c r="A3840" s="970"/>
      <c r="B3840" s="971"/>
      <c r="C3840" s="972"/>
      <c r="D3840" s="973"/>
      <c r="E3840" s="974"/>
      <c r="F3840" s="975"/>
      <c r="G3840" s="11"/>
    </row>
    <row r="3841" spans="1:7" ht="15" hidden="1" thickBot="1">
      <c r="A3841" s="908"/>
      <c r="B3841" s="910"/>
      <c r="C3841" s="911"/>
      <c r="D3841" s="911"/>
      <c r="E3841" s="911"/>
      <c r="F3841" s="911"/>
      <c r="G3841" s="912"/>
    </row>
    <row r="3842" spans="1:7" ht="15" hidden="1" thickBot="1">
      <c r="A3842" s="909"/>
      <c r="B3842" s="913"/>
      <c r="C3842" s="914"/>
      <c r="D3842" s="95"/>
      <c r="E3842" s="242"/>
      <c r="F3842" s="292"/>
      <c r="G3842" s="113"/>
    </row>
    <row r="3843" spans="1:7" ht="15" hidden="1" thickBot="1">
      <c r="A3843" s="114"/>
      <c r="B3843" s="966"/>
      <c r="C3843" s="967"/>
      <c r="D3843" s="88"/>
      <c r="E3843" s="251"/>
      <c r="F3843" s="284"/>
      <c r="G3843" s="117"/>
    </row>
    <row r="3844" spans="1:7" ht="15" hidden="1" thickBot="1">
      <c r="A3844" s="114"/>
      <c r="B3844" s="966"/>
      <c r="C3844" s="967"/>
      <c r="D3844" s="88"/>
      <c r="E3844" s="251"/>
      <c r="F3844" s="284"/>
      <c r="G3844" s="117"/>
    </row>
    <row r="3845" spans="1:7" ht="15" hidden="1" thickBot="1">
      <c r="A3845" s="114"/>
      <c r="B3845" s="966"/>
      <c r="C3845" s="967"/>
      <c r="D3845" s="88"/>
      <c r="E3845" s="251"/>
      <c r="F3845" s="284"/>
      <c r="G3845" s="117"/>
    </row>
    <row r="3846" spans="1:7" ht="15" hidden="1" thickBot="1">
      <c r="A3846" s="114"/>
      <c r="B3846" s="966"/>
      <c r="C3846" s="967"/>
      <c r="D3846" s="88"/>
      <c r="E3846" s="251"/>
      <c r="F3846" s="284"/>
      <c r="G3846" s="117"/>
    </row>
    <row r="3847" spans="1:7" ht="15" hidden="1" thickBot="1">
      <c r="A3847" s="114"/>
      <c r="B3847" s="966"/>
      <c r="C3847" s="967"/>
      <c r="D3847" s="88"/>
      <c r="E3847" s="251"/>
      <c r="F3847" s="284"/>
      <c r="G3847" s="117"/>
    </row>
    <row r="3848" spans="1:7" ht="15" hidden="1" thickBot="1">
      <c r="A3848" s="932"/>
      <c r="B3848" s="933"/>
      <c r="C3848" s="934"/>
      <c r="D3848" s="935"/>
      <c r="E3848" s="936"/>
      <c r="F3848" s="937"/>
      <c r="G3848" s="18"/>
    </row>
    <row r="3849" spans="1:7" ht="15" hidden="1" thickBot="1">
      <c r="A3849" s="908"/>
      <c r="B3849" s="910"/>
      <c r="C3849" s="911"/>
      <c r="D3849" s="911"/>
      <c r="E3849" s="911"/>
      <c r="F3849" s="911"/>
      <c r="G3849" s="912"/>
    </row>
    <row r="3850" spans="1:7" ht="15" hidden="1" thickBot="1">
      <c r="A3850" s="909"/>
      <c r="B3850" s="913"/>
      <c r="C3850" s="914"/>
      <c r="D3850" s="95"/>
      <c r="E3850" s="242"/>
      <c r="F3850" s="286"/>
      <c r="G3850" s="113"/>
    </row>
    <row r="3851" spans="1:7" ht="15" hidden="1" thickBot="1">
      <c r="A3851" s="156"/>
      <c r="B3851" s="940"/>
      <c r="C3851" s="941"/>
      <c r="D3851" s="157"/>
      <c r="E3851" s="259"/>
      <c r="F3851" s="303"/>
      <c r="G3851" s="159"/>
    </row>
    <row r="3852" spans="1:7" ht="15" hidden="1" thickBot="1">
      <c r="A3852" s="944"/>
      <c r="B3852" s="945"/>
      <c r="C3852" s="946"/>
      <c r="D3852" s="947"/>
      <c r="E3852" s="948"/>
      <c r="F3852" s="949"/>
      <c r="G3852" s="11"/>
    </row>
    <row r="3853" spans="1:7" ht="15" hidden="1" thickBot="1">
      <c r="A3853" s="908"/>
      <c r="B3853" s="910"/>
      <c r="C3853" s="911"/>
      <c r="D3853" s="911"/>
      <c r="E3853" s="911"/>
      <c r="F3853" s="911"/>
      <c r="G3853" s="912"/>
    </row>
    <row r="3854" spans="1:7" ht="15" hidden="1" thickBot="1">
      <c r="A3854" s="909"/>
      <c r="B3854" s="913"/>
      <c r="C3854" s="914"/>
      <c r="D3854" s="95"/>
      <c r="E3854" s="242"/>
      <c r="F3854" s="286"/>
      <c r="G3854" s="113"/>
    </row>
    <row r="3855" spans="1:7" ht="15" hidden="1" thickBot="1">
      <c r="A3855" s="122"/>
      <c r="B3855" s="1075"/>
      <c r="C3855" s="1076"/>
      <c r="D3855" s="109"/>
      <c r="E3855" s="254"/>
      <c r="F3855" s="304"/>
      <c r="G3855" s="129"/>
    </row>
    <row r="3856" spans="1:7" ht="15" hidden="1" thickBot="1">
      <c r="A3856" s="915"/>
      <c r="B3856" s="916"/>
      <c r="C3856" s="917"/>
      <c r="D3856" s="918"/>
      <c r="E3856" s="919"/>
      <c r="F3856" s="920"/>
      <c r="G3856" s="12"/>
    </row>
    <row r="3857" spans="1:7" ht="15" hidden="1" thickBot="1">
      <c r="A3857" s="921"/>
      <c r="B3857" s="922"/>
      <c r="C3857" s="922"/>
      <c r="D3857" s="923"/>
      <c r="E3857" s="924"/>
      <c r="F3857" s="925"/>
      <c r="G3857" s="112"/>
    </row>
    <row r="3858" spans="1:7" hidden="1">
      <c r="A3858" s="40"/>
      <c r="B3858" s="40"/>
      <c r="C3858" s="40"/>
      <c r="D3858" s="146"/>
      <c r="E3858" s="250"/>
      <c r="F3858" s="298"/>
      <c r="G3858" s="147"/>
    </row>
    <row r="3859" spans="1:7" ht="15" hidden="1" thickBot="1">
      <c r="A3859" s="83"/>
      <c r="B3859" s="84"/>
      <c r="C3859" s="84"/>
      <c r="D3859" s="85"/>
      <c r="E3859" s="249"/>
      <c r="F3859" s="291"/>
      <c r="G3859" s="86"/>
    </row>
    <row r="3860" spans="1:7" ht="15" hidden="1" thickBot="1">
      <c r="A3860" s="1006"/>
      <c r="B3860" s="1007"/>
      <c r="C3860" s="1007"/>
      <c r="D3860" s="1007"/>
      <c r="E3860" s="1007"/>
      <c r="F3860" s="272"/>
      <c r="G3860" s="43"/>
    </row>
    <row r="3861" spans="1:7" ht="15" hidden="1" customHeight="1" thickBot="1">
      <c r="A3861" s="953"/>
      <c r="B3861" s="954"/>
      <c r="C3861" s="954"/>
      <c r="D3861" s="954"/>
      <c r="E3861" s="955"/>
      <c r="F3861" s="273"/>
      <c r="G3861" s="45"/>
    </row>
    <row r="3862" spans="1:7" ht="22.5" hidden="1" customHeight="1" thickBot="1">
      <c r="A3862" s="956"/>
      <c r="B3862" s="957"/>
      <c r="C3862" s="957"/>
      <c r="D3862" s="957"/>
      <c r="E3862" s="958"/>
      <c r="F3862" s="273"/>
      <c r="G3862" s="46"/>
    </row>
    <row r="3863" spans="1:7" ht="15" hidden="1" collapsed="1" thickBot="1">
      <c r="A3863" s="959"/>
      <c r="B3863" s="960"/>
      <c r="C3863" s="960"/>
      <c r="D3863" s="960"/>
      <c r="E3863" s="961"/>
      <c r="F3863" s="274"/>
      <c r="G3863" s="48"/>
    </row>
    <row r="3864" spans="1:7" ht="15" hidden="1" thickBot="1">
      <c r="A3864" s="909"/>
      <c r="B3864" s="1009"/>
      <c r="C3864" s="1009"/>
      <c r="D3864" s="1009"/>
      <c r="E3864" s="1009"/>
      <c r="F3864" s="1009"/>
      <c r="G3864" s="1011"/>
    </row>
    <row r="3865" spans="1:7" ht="15" hidden="1" thickBot="1">
      <c r="A3865" s="1002"/>
      <c r="B3865" s="913"/>
      <c r="C3865" s="914"/>
      <c r="D3865" s="95"/>
      <c r="E3865" s="242"/>
      <c r="F3865" s="292"/>
      <c r="G3865" s="113"/>
    </row>
    <row r="3866" spans="1:7" hidden="1">
      <c r="A3866" s="114"/>
      <c r="B3866" s="930"/>
      <c r="C3866" s="931"/>
      <c r="D3866" s="88"/>
      <c r="E3866" s="243"/>
      <c r="F3866" s="293"/>
      <c r="G3866" s="117"/>
    </row>
    <row r="3867" spans="1:7" ht="15" hidden="1" thickBot="1">
      <c r="A3867" s="118"/>
      <c r="B3867" s="1012"/>
      <c r="C3867" s="1013"/>
      <c r="D3867" s="119"/>
      <c r="E3867" s="244"/>
      <c r="F3867" s="294"/>
      <c r="G3867" s="121"/>
    </row>
    <row r="3868" spans="1:7" ht="15" hidden="1" thickBot="1">
      <c r="A3868" s="1014"/>
      <c r="B3868" s="995"/>
      <c r="C3868" s="995"/>
      <c r="D3868" s="981"/>
      <c r="E3868" s="981"/>
      <c r="F3868" s="981"/>
      <c r="G3868" s="11"/>
    </row>
    <row r="3869" spans="1:7" ht="18.75" hidden="1" customHeight="1" thickBot="1">
      <c r="A3869" s="1002"/>
      <c r="B3869" s="983"/>
      <c r="C3869" s="983"/>
      <c r="D3869" s="983"/>
      <c r="E3869" s="983"/>
      <c r="F3869" s="983"/>
      <c r="G3869" s="1003"/>
    </row>
    <row r="3870" spans="1:7" s="7" customFormat="1" ht="13.5" hidden="1" thickBot="1">
      <c r="A3870" s="1002"/>
      <c r="B3870" s="913"/>
      <c r="C3870" s="914"/>
      <c r="D3870" s="95"/>
      <c r="E3870" s="242"/>
      <c r="F3870" s="292"/>
      <c r="G3870" s="113"/>
    </row>
    <row r="3871" spans="1:7" ht="15" hidden="1" thickBot="1">
      <c r="A3871" s="122"/>
      <c r="B3871" s="930"/>
      <c r="C3871" s="931"/>
      <c r="D3871" s="88"/>
      <c r="E3871" s="243"/>
      <c r="F3871" s="293"/>
      <c r="G3871" s="117"/>
    </row>
    <row r="3872" spans="1:7" ht="15" hidden="1" thickBot="1">
      <c r="A3872" s="123"/>
      <c r="B3872" s="976"/>
      <c r="C3872" s="977"/>
      <c r="D3872" s="88"/>
      <c r="E3872" s="243"/>
      <c r="F3872" s="293"/>
      <c r="G3872" s="124"/>
    </row>
    <row r="3873" spans="1:11" ht="17.25" hidden="1" customHeight="1" thickBot="1">
      <c r="A3873" s="1017"/>
      <c r="B3873" s="997"/>
      <c r="C3873" s="998"/>
      <c r="D3873" s="981"/>
      <c r="E3873" s="981"/>
      <c r="F3873" s="981"/>
      <c r="G3873" s="11"/>
      <c r="J3873" s="125"/>
      <c r="K3873" s="126"/>
    </row>
    <row r="3874" spans="1:11" ht="15" hidden="1" thickBot="1">
      <c r="A3874" s="1002"/>
      <c r="B3874" s="983"/>
      <c r="C3874" s="983"/>
      <c r="D3874" s="983"/>
      <c r="E3874" s="983"/>
      <c r="F3874" s="983"/>
      <c r="G3874" s="1003"/>
    </row>
    <row r="3875" spans="1:11" ht="15" hidden="1" thickBot="1">
      <c r="A3875" s="1002"/>
      <c r="B3875" s="913"/>
      <c r="C3875" s="914"/>
      <c r="D3875" s="95"/>
      <c r="E3875" s="242"/>
      <c r="F3875" s="286"/>
      <c r="G3875" s="113"/>
    </row>
    <row r="3876" spans="1:11" ht="27.75" hidden="1" customHeight="1">
      <c r="A3876" s="127"/>
      <c r="B3876" s="999"/>
      <c r="C3876" s="1000"/>
      <c r="D3876" s="128"/>
      <c r="E3876" s="246"/>
      <c r="F3876" s="295"/>
      <c r="G3876" s="129"/>
    </row>
    <row r="3877" spans="1:11" ht="15" hidden="1" thickBot="1">
      <c r="A3877" s="130"/>
      <c r="B3877" s="942"/>
      <c r="C3877" s="943"/>
      <c r="D3877" s="104"/>
      <c r="E3877" s="247"/>
      <c r="F3877" s="288"/>
      <c r="G3877" s="131"/>
    </row>
    <row r="3878" spans="1:11" ht="15" hidden="1" thickBot="1">
      <c r="A3878" s="1001"/>
      <c r="B3878" s="979"/>
      <c r="C3878" s="980"/>
      <c r="D3878" s="981"/>
      <c r="E3878" s="981"/>
      <c r="F3878" s="981"/>
      <c r="G3878" s="11"/>
    </row>
    <row r="3879" spans="1:11" ht="15" hidden="1" thickBot="1">
      <c r="A3879" s="1002"/>
      <c r="B3879" s="983"/>
      <c r="C3879" s="983"/>
      <c r="D3879" s="983"/>
      <c r="E3879" s="983"/>
      <c r="F3879" s="983"/>
      <c r="G3879" s="1003"/>
    </row>
    <row r="3880" spans="1:11" ht="15" hidden="1" thickBot="1">
      <c r="A3880" s="1002"/>
      <c r="B3880" s="913"/>
      <c r="C3880" s="914"/>
      <c r="D3880" s="95"/>
      <c r="E3880" s="242"/>
      <c r="F3880" s="289"/>
      <c r="G3880" s="113"/>
    </row>
    <row r="3881" spans="1:11" ht="15" hidden="1" thickBot="1">
      <c r="A3881" s="127"/>
      <c r="B3881" s="1075"/>
      <c r="C3881" s="1076"/>
      <c r="D3881" s="128"/>
      <c r="E3881" s="243"/>
      <c r="F3881" s="295"/>
      <c r="G3881" s="129"/>
    </row>
    <row r="3882" spans="1:11" hidden="1">
      <c r="A3882" s="132"/>
      <c r="B3882" s="133"/>
      <c r="C3882" s="134"/>
      <c r="D3882" s="135"/>
      <c r="E3882" s="248"/>
      <c r="F3882" s="296"/>
      <c r="G3882" s="129"/>
    </row>
    <row r="3883" spans="1:11" ht="15" hidden="1" thickBot="1">
      <c r="A3883" s="1004"/>
      <c r="B3883" s="988"/>
      <c r="C3883" s="989"/>
      <c r="D3883" s="990"/>
      <c r="E3883" s="990"/>
      <c r="F3883" s="990"/>
      <c r="G3883" s="12"/>
    </row>
    <row r="3884" spans="1:11" ht="15" hidden="1" thickBot="1">
      <c r="A3884" s="1005"/>
      <c r="B3884" s="1005"/>
      <c r="C3884" s="921"/>
      <c r="D3884" s="1041"/>
      <c r="E3884" s="1041"/>
      <c r="F3884" s="1041"/>
      <c r="G3884" s="137"/>
    </row>
    <row r="3885" spans="1:11" hidden="1">
      <c r="A3885" s="80"/>
      <c r="B3885" s="81"/>
      <c r="C3885" s="81"/>
      <c r="D3885" s="81"/>
      <c r="E3885" s="241"/>
      <c r="F3885" s="271"/>
      <c r="G3885" s="81"/>
    </row>
    <row r="3886" spans="1:11" ht="15" hidden="1" thickBot="1">
      <c r="A3886" s="83"/>
      <c r="B3886" s="84"/>
      <c r="C3886" s="84"/>
      <c r="D3886" s="85"/>
      <c r="E3886" s="249"/>
      <c r="F3886" s="291"/>
      <c r="G3886" s="86"/>
    </row>
    <row r="3887" spans="1:11" ht="15" hidden="1" thickBot="1">
      <c r="A3887" s="1006"/>
      <c r="B3887" s="1007"/>
      <c r="C3887" s="1007"/>
      <c r="D3887" s="1007"/>
      <c r="E3887" s="1007"/>
      <c r="F3887" s="272"/>
      <c r="G3887" s="43"/>
    </row>
    <row r="3888" spans="1:11" ht="15" hidden="1" customHeight="1" thickBot="1">
      <c r="A3888" s="953"/>
      <c r="B3888" s="954"/>
      <c r="C3888" s="954"/>
      <c r="D3888" s="954"/>
      <c r="E3888" s="955"/>
      <c r="F3888" s="273"/>
      <c r="G3888" s="45"/>
    </row>
    <row r="3889" spans="1:11" ht="22.5" hidden="1" customHeight="1" thickBot="1">
      <c r="A3889" s="956"/>
      <c r="B3889" s="957"/>
      <c r="C3889" s="957"/>
      <c r="D3889" s="957"/>
      <c r="E3889" s="958"/>
      <c r="F3889" s="273"/>
      <c r="G3889" s="46"/>
    </row>
    <row r="3890" spans="1:11" ht="15" hidden="1" collapsed="1" thickBot="1">
      <c r="A3890" s="959"/>
      <c r="B3890" s="960"/>
      <c r="C3890" s="960"/>
      <c r="D3890" s="960"/>
      <c r="E3890" s="961"/>
      <c r="F3890" s="274"/>
      <c r="G3890" s="48"/>
    </row>
    <row r="3891" spans="1:11" ht="15" hidden="1" thickBot="1">
      <c r="A3891" s="909"/>
      <c r="B3891" s="1009"/>
      <c r="C3891" s="1009"/>
      <c r="D3891" s="1009"/>
      <c r="E3891" s="1009"/>
      <c r="F3891" s="1009"/>
      <c r="G3891" s="1011"/>
    </row>
    <row r="3892" spans="1:11" ht="15" hidden="1" thickBot="1">
      <c r="A3892" s="1002"/>
      <c r="B3892" s="913"/>
      <c r="C3892" s="914"/>
      <c r="D3892" s="95"/>
      <c r="E3892" s="242"/>
      <c r="F3892" s="292"/>
      <c r="G3892" s="113"/>
    </row>
    <row r="3893" spans="1:11" hidden="1">
      <c r="A3893" s="114"/>
      <c r="B3893" s="930"/>
      <c r="C3893" s="931"/>
      <c r="D3893" s="88"/>
      <c r="E3893" s="243"/>
      <c r="F3893" s="293"/>
      <c r="G3893" s="117"/>
    </row>
    <row r="3894" spans="1:11" ht="15" hidden="1" thickBot="1">
      <c r="A3894" s="118"/>
      <c r="B3894" s="1012"/>
      <c r="C3894" s="1013"/>
      <c r="D3894" s="119"/>
      <c r="E3894" s="244"/>
      <c r="F3894" s="294"/>
      <c r="G3894" s="121"/>
    </row>
    <row r="3895" spans="1:11" ht="15" hidden="1" thickBot="1">
      <c r="A3895" s="1014"/>
      <c r="B3895" s="995"/>
      <c r="C3895" s="995"/>
      <c r="D3895" s="981"/>
      <c r="E3895" s="981"/>
      <c r="F3895" s="981"/>
      <c r="G3895" s="11"/>
    </row>
    <row r="3896" spans="1:11" ht="18.75" hidden="1" customHeight="1" thickBot="1">
      <c r="A3896" s="1002"/>
      <c r="B3896" s="983"/>
      <c r="C3896" s="983"/>
      <c r="D3896" s="983"/>
      <c r="E3896" s="983"/>
      <c r="F3896" s="983"/>
      <c r="G3896" s="1003"/>
    </row>
    <row r="3897" spans="1:11" s="7" customFormat="1" ht="13.5" hidden="1" thickBot="1">
      <c r="A3897" s="1002"/>
      <c r="B3897" s="913"/>
      <c r="C3897" s="914"/>
      <c r="D3897" s="95"/>
      <c r="E3897" s="242"/>
      <c r="F3897" s="292"/>
      <c r="G3897" s="113"/>
    </row>
    <row r="3898" spans="1:11" ht="15" hidden="1" thickBot="1">
      <c r="A3898" s="122"/>
      <c r="B3898" s="930"/>
      <c r="C3898" s="931"/>
      <c r="D3898" s="88"/>
      <c r="E3898" s="243"/>
      <c r="F3898" s="293"/>
      <c r="G3898" s="117"/>
    </row>
    <row r="3899" spans="1:11" ht="15" hidden="1" thickBot="1">
      <c r="A3899" s="123"/>
      <c r="B3899" s="976"/>
      <c r="C3899" s="977"/>
      <c r="D3899" s="88"/>
      <c r="E3899" s="243"/>
      <c r="F3899" s="293"/>
      <c r="G3899" s="124"/>
    </row>
    <row r="3900" spans="1:11" ht="17.25" hidden="1" customHeight="1" thickBot="1">
      <c r="A3900" s="1017"/>
      <c r="B3900" s="997"/>
      <c r="C3900" s="998"/>
      <c r="D3900" s="981"/>
      <c r="E3900" s="981"/>
      <c r="F3900" s="981"/>
      <c r="G3900" s="11"/>
      <c r="J3900" s="125"/>
      <c r="K3900" s="126"/>
    </row>
    <row r="3901" spans="1:11" ht="15" hidden="1" thickBot="1">
      <c r="A3901" s="1002"/>
      <c r="B3901" s="983"/>
      <c r="C3901" s="983"/>
      <c r="D3901" s="983"/>
      <c r="E3901" s="983"/>
      <c r="F3901" s="983"/>
      <c r="G3901" s="1003"/>
    </row>
    <row r="3902" spans="1:11" ht="15" hidden="1" thickBot="1">
      <c r="A3902" s="1002"/>
      <c r="B3902" s="913"/>
      <c r="C3902" s="914"/>
      <c r="D3902" s="95"/>
      <c r="E3902" s="242"/>
      <c r="F3902" s="286"/>
      <c r="G3902" s="113"/>
    </row>
    <row r="3903" spans="1:11" ht="27.75" hidden="1" customHeight="1">
      <c r="A3903" s="127"/>
      <c r="B3903" s="999"/>
      <c r="C3903" s="1000"/>
      <c r="D3903" s="128"/>
      <c r="E3903" s="246"/>
      <c r="F3903" s="295"/>
      <c r="G3903" s="129"/>
    </row>
    <row r="3904" spans="1:11" ht="15" hidden="1" thickBot="1">
      <c r="A3904" s="130"/>
      <c r="B3904" s="942"/>
      <c r="C3904" s="943"/>
      <c r="D3904" s="104"/>
      <c r="E3904" s="247"/>
      <c r="F3904" s="288"/>
      <c r="G3904" s="131"/>
    </row>
    <row r="3905" spans="1:7" ht="15" hidden="1" thickBot="1">
      <c r="A3905" s="1001"/>
      <c r="B3905" s="979"/>
      <c r="C3905" s="980"/>
      <c r="D3905" s="981"/>
      <c r="E3905" s="981"/>
      <c r="F3905" s="981"/>
      <c r="G3905" s="11"/>
    </row>
    <row r="3906" spans="1:7" ht="15" hidden="1" thickBot="1">
      <c r="A3906" s="1002"/>
      <c r="B3906" s="983"/>
      <c r="C3906" s="983"/>
      <c r="D3906" s="983"/>
      <c r="E3906" s="983"/>
      <c r="F3906" s="983"/>
      <c r="G3906" s="1003"/>
    </row>
    <row r="3907" spans="1:7" ht="15" hidden="1" thickBot="1">
      <c r="A3907" s="1002"/>
      <c r="B3907" s="913"/>
      <c r="C3907" s="914"/>
      <c r="D3907" s="95"/>
      <c r="E3907" s="242"/>
      <c r="F3907" s="289"/>
      <c r="G3907" s="113"/>
    </row>
    <row r="3908" spans="1:7" ht="15" hidden="1" thickBot="1">
      <c r="A3908" s="127"/>
      <c r="B3908" s="1075"/>
      <c r="C3908" s="1076"/>
      <c r="D3908" s="128"/>
      <c r="E3908" s="243"/>
      <c r="F3908" s="295"/>
      <c r="G3908" s="129"/>
    </row>
    <row r="3909" spans="1:7" hidden="1">
      <c r="A3909" s="132"/>
      <c r="B3909" s="133"/>
      <c r="C3909" s="134"/>
      <c r="D3909" s="135"/>
      <c r="E3909" s="248"/>
      <c r="F3909" s="296"/>
      <c r="G3909" s="129"/>
    </row>
    <row r="3910" spans="1:7" ht="15" hidden="1" thickBot="1">
      <c r="A3910" s="1004"/>
      <c r="B3910" s="988"/>
      <c r="C3910" s="989"/>
      <c r="D3910" s="990"/>
      <c r="E3910" s="990"/>
      <c r="F3910" s="990"/>
      <c r="G3910" s="12"/>
    </row>
    <row r="3911" spans="1:7" ht="15" hidden="1" thickBot="1">
      <c r="A3911" s="1005"/>
      <c r="B3911" s="1005"/>
      <c r="C3911" s="921"/>
      <c r="D3911" s="1041"/>
      <c r="E3911" s="1041"/>
      <c r="F3911" s="1041"/>
      <c r="G3911" s="137"/>
    </row>
    <row r="3912" spans="1:7" hidden="1">
      <c r="A3912" s="80"/>
      <c r="B3912" s="81"/>
      <c r="C3912" s="81"/>
      <c r="D3912" s="81"/>
      <c r="E3912" s="241"/>
      <c r="F3912" s="271"/>
      <c r="G3912" s="81"/>
    </row>
    <row r="3913" spans="1:7" ht="15" hidden="1" thickBot="1">
      <c r="A3913" s="83"/>
      <c r="B3913" s="84"/>
      <c r="C3913" s="84"/>
      <c r="D3913" s="85"/>
      <c r="E3913" s="249"/>
      <c r="F3913" s="291"/>
      <c r="G3913" s="86"/>
    </row>
    <row r="3914" spans="1:7" ht="15" hidden="1" thickBot="1">
      <c r="A3914" s="1006"/>
      <c r="B3914" s="1007"/>
      <c r="C3914" s="1007"/>
      <c r="D3914" s="1007"/>
      <c r="E3914" s="1007"/>
      <c r="F3914" s="272"/>
      <c r="G3914" s="43"/>
    </row>
    <row r="3915" spans="1:7" ht="15" hidden="1" customHeight="1" thickBot="1">
      <c r="A3915" s="953"/>
      <c r="B3915" s="954"/>
      <c r="C3915" s="954"/>
      <c r="D3915" s="954"/>
      <c r="E3915" s="955"/>
      <c r="F3915" s="273"/>
      <c r="G3915" s="45"/>
    </row>
    <row r="3916" spans="1:7" ht="22.5" hidden="1" customHeight="1" thickBot="1">
      <c r="A3916" s="956"/>
      <c r="B3916" s="957"/>
      <c r="C3916" s="957"/>
      <c r="D3916" s="957"/>
      <c r="E3916" s="958"/>
      <c r="F3916" s="273"/>
      <c r="G3916" s="46"/>
    </row>
    <row r="3917" spans="1:7" ht="15" hidden="1" collapsed="1" thickBot="1">
      <c r="A3917" s="959"/>
      <c r="B3917" s="960"/>
      <c r="C3917" s="960"/>
      <c r="D3917" s="960"/>
      <c r="E3917" s="961"/>
      <c r="F3917" s="274"/>
      <c r="G3917" s="48"/>
    </row>
    <row r="3918" spans="1:7" ht="15" hidden="1" thickBot="1">
      <c r="A3918" s="909"/>
      <c r="B3918" s="1009"/>
      <c r="C3918" s="1009"/>
      <c r="D3918" s="1009"/>
      <c r="E3918" s="1009"/>
      <c r="F3918" s="1009"/>
      <c r="G3918" s="1011"/>
    </row>
    <row r="3919" spans="1:7" ht="15" hidden="1" thickBot="1">
      <c r="A3919" s="1002"/>
      <c r="B3919" s="913"/>
      <c r="C3919" s="914"/>
      <c r="D3919" s="95"/>
      <c r="E3919" s="242"/>
      <c r="F3919" s="292"/>
      <c r="G3919" s="113"/>
    </row>
    <row r="3920" spans="1:7" ht="15" hidden="1" thickBot="1">
      <c r="A3920" s="114"/>
      <c r="B3920" s="930"/>
      <c r="C3920" s="931"/>
      <c r="D3920" s="88"/>
      <c r="E3920" s="243"/>
      <c r="F3920" s="293"/>
      <c r="G3920" s="117"/>
    </row>
    <row r="3921" spans="1:11" ht="15" hidden="1" thickBot="1">
      <c r="A3921" s="118"/>
      <c r="B3921" s="1012"/>
      <c r="C3921" s="1013"/>
      <c r="D3921" s="119"/>
      <c r="E3921" s="243"/>
      <c r="F3921" s="293"/>
      <c r="G3921" s="121"/>
    </row>
    <row r="3922" spans="1:11" ht="15" hidden="1" thickBot="1">
      <c r="A3922" s="1014"/>
      <c r="B3922" s="995"/>
      <c r="C3922" s="995"/>
      <c r="D3922" s="981"/>
      <c r="E3922" s="981"/>
      <c r="F3922" s="981"/>
      <c r="G3922" s="11"/>
    </row>
    <row r="3923" spans="1:11" ht="18.75" hidden="1" customHeight="1" thickBot="1">
      <c r="A3923" s="1002"/>
      <c r="B3923" s="983"/>
      <c r="C3923" s="983"/>
      <c r="D3923" s="983"/>
      <c r="E3923" s="983"/>
      <c r="F3923" s="983"/>
      <c r="G3923" s="1003"/>
    </row>
    <row r="3924" spans="1:11" s="7" customFormat="1" ht="13.5" hidden="1" thickBot="1">
      <c r="A3924" s="1002"/>
      <c r="B3924" s="913"/>
      <c r="C3924" s="914"/>
      <c r="D3924" s="95"/>
      <c r="E3924" s="242"/>
      <c r="F3924" s="292"/>
      <c r="G3924" s="113"/>
    </row>
    <row r="3925" spans="1:11" ht="15" hidden="1" thickBot="1">
      <c r="A3925" s="122"/>
      <c r="B3925" s="930"/>
      <c r="C3925" s="931"/>
      <c r="D3925" s="88"/>
      <c r="E3925" s="243"/>
      <c r="F3925" s="293"/>
      <c r="G3925" s="117"/>
    </row>
    <row r="3926" spans="1:11" ht="15" hidden="1" thickBot="1">
      <c r="A3926" s="123"/>
      <c r="B3926" s="976"/>
      <c r="C3926" s="977"/>
      <c r="D3926" s="88"/>
      <c r="E3926" s="243"/>
      <c r="F3926" s="293"/>
      <c r="G3926" s="124"/>
    </row>
    <row r="3927" spans="1:11" ht="17.25" hidden="1" customHeight="1" thickBot="1">
      <c r="A3927" s="1017"/>
      <c r="B3927" s="997"/>
      <c r="C3927" s="998"/>
      <c r="D3927" s="981"/>
      <c r="E3927" s="981"/>
      <c r="F3927" s="981"/>
      <c r="G3927" s="11"/>
      <c r="J3927" s="125"/>
      <c r="K3927" s="126"/>
    </row>
    <row r="3928" spans="1:11" ht="15" hidden="1" thickBot="1">
      <c r="A3928" s="1002"/>
      <c r="B3928" s="983"/>
      <c r="C3928" s="983"/>
      <c r="D3928" s="983"/>
      <c r="E3928" s="983"/>
      <c r="F3928" s="983"/>
      <c r="G3928" s="1003"/>
    </row>
    <row r="3929" spans="1:11" ht="15" hidden="1" thickBot="1">
      <c r="A3929" s="1002"/>
      <c r="B3929" s="913"/>
      <c r="C3929" s="914"/>
      <c r="D3929" s="95"/>
      <c r="E3929" s="242"/>
      <c r="F3929" s="286"/>
      <c r="G3929" s="113"/>
    </row>
    <row r="3930" spans="1:11" ht="27.75" hidden="1" customHeight="1">
      <c r="A3930" s="127"/>
      <c r="B3930" s="999"/>
      <c r="C3930" s="1000"/>
      <c r="D3930" s="128"/>
      <c r="E3930" s="246"/>
      <c r="F3930" s="295"/>
      <c r="G3930" s="129"/>
    </row>
    <row r="3931" spans="1:11" ht="15" hidden="1" thickBot="1">
      <c r="A3931" s="130"/>
      <c r="B3931" s="942"/>
      <c r="C3931" s="943"/>
      <c r="D3931" s="104"/>
      <c r="E3931" s="247"/>
      <c r="F3931" s="288"/>
      <c r="G3931" s="131"/>
    </row>
    <row r="3932" spans="1:11" ht="15" hidden="1" thickBot="1">
      <c r="A3932" s="1001"/>
      <c r="B3932" s="979"/>
      <c r="C3932" s="980"/>
      <c r="D3932" s="981"/>
      <c r="E3932" s="981"/>
      <c r="F3932" s="981"/>
      <c r="G3932" s="11"/>
    </row>
    <row r="3933" spans="1:11" ht="15" hidden="1" thickBot="1">
      <c r="A3933" s="1002"/>
      <c r="B3933" s="983"/>
      <c r="C3933" s="983"/>
      <c r="D3933" s="983"/>
      <c r="E3933" s="983"/>
      <c r="F3933" s="983"/>
      <c r="G3933" s="1003"/>
    </row>
    <row r="3934" spans="1:11" ht="15" hidden="1" thickBot="1">
      <c r="A3934" s="1002"/>
      <c r="B3934" s="913"/>
      <c r="C3934" s="914"/>
      <c r="D3934" s="95"/>
      <c r="E3934" s="242"/>
      <c r="F3934" s="289"/>
      <c r="G3934" s="113"/>
    </row>
    <row r="3935" spans="1:11" ht="15" hidden="1" thickBot="1">
      <c r="A3935" s="127"/>
      <c r="B3935" s="1075"/>
      <c r="C3935" s="1076"/>
      <c r="D3935" s="128"/>
      <c r="E3935" s="243"/>
      <c r="F3935" s="295"/>
      <c r="G3935" s="129"/>
    </row>
    <row r="3936" spans="1:11" hidden="1">
      <c r="A3936" s="132"/>
      <c r="B3936" s="133"/>
      <c r="C3936" s="134"/>
      <c r="D3936" s="135"/>
      <c r="E3936" s="248"/>
      <c r="F3936" s="296"/>
      <c r="G3936" s="129"/>
    </row>
    <row r="3937" spans="1:7" ht="15" hidden="1" thickBot="1">
      <c r="A3937" s="1004"/>
      <c r="B3937" s="988"/>
      <c r="C3937" s="989"/>
      <c r="D3937" s="990"/>
      <c r="E3937" s="990"/>
      <c r="F3937" s="990"/>
      <c r="G3937" s="12"/>
    </row>
    <row r="3938" spans="1:7" ht="15" hidden="1" thickBot="1">
      <c r="A3938" s="1005"/>
      <c r="B3938" s="1005"/>
      <c r="C3938" s="921"/>
      <c r="D3938" s="1041"/>
      <c r="E3938" s="1041"/>
      <c r="F3938" s="1041"/>
      <c r="G3938" s="137"/>
    </row>
    <row r="3939" spans="1:7" hidden="1">
      <c r="A3939" s="80"/>
      <c r="B3939" s="81"/>
      <c r="C3939" s="81"/>
      <c r="D3939" s="81"/>
      <c r="E3939" s="241"/>
      <c r="F3939" s="271"/>
      <c r="G3939" s="81"/>
    </row>
    <row r="3940" spans="1:7" hidden="1"/>
    <row r="3941" spans="1:7" hidden="1">
      <c r="A3941" s="80"/>
      <c r="B3941" s="81"/>
      <c r="C3941" s="81"/>
      <c r="D3941" s="81"/>
      <c r="E3941" s="241"/>
      <c r="F3941" s="271"/>
      <c r="G3941" s="81"/>
    </row>
    <row r="3942" spans="1:7" ht="15" hidden="1" thickBot="1">
      <c r="A3942" s="83"/>
      <c r="B3942" s="84"/>
      <c r="C3942" s="84"/>
      <c r="D3942" s="85"/>
      <c r="E3942" s="249"/>
      <c r="F3942" s="291"/>
      <c r="G3942" s="86"/>
    </row>
    <row r="3943" spans="1:7" ht="15" hidden="1" thickBot="1">
      <c r="A3943" s="1006"/>
      <c r="B3943" s="1007"/>
      <c r="C3943" s="1007"/>
      <c r="D3943" s="1007"/>
      <c r="E3943" s="1007"/>
      <c r="F3943" s="272"/>
      <c r="G3943" s="43"/>
    </row>
    <row r="3944" spans="1:7" ht="15" hidden="1" customHeight="1" thickBot="1">
      <c r="A3944" s="953"/>
      <c r="B3944" s="954"/>
      <c r="C3944" s="954"/>
      <c r="D3944" s="954"/>
      <c r="E3944" s="955"/>
      <c r="F3944" s="273"/>
      <c r="G3944" s="45"/>
    </row>
    <row r="3945" spans="1:7" ht="22.5" hidden="1" customHeight="1" thickBot="1">
      <c r="A3945" s="956"/>
      <c r="B3945" s="957"/>
      <c r="C3945" s="957"/>
      <c r="D3945" s="957"/>
      <c r="E3945" s="958"/>
      <c r="F3945" s="273"/>
      <c r="G3945" s="46"/>
    </row>
    <row r="3946" spans="1:7" ht="15" hidden="1" collapsed="1" thickBot="1">
      <c r="A3946" s="959"/>
      <c r="B3946" s="960"/>
      <c r="C3946" s="960"/>
      <c r="D3946" s="960"/>
      <c r="E3946" s="961"/>
      <c r="F3946" s="274"/>
      <c r="G3946" s="48"/>
    </row>
    <row r="3947" spans="1:7" ht="15" hidden="1" thickBot="1">
      <c r="A3947" s="909"/>
      <c r="B3947" s="1009"/>
      <c r="C3947" s="1009"/>
      <c r="D3947" s="1009"/>
      <c r="E3947" s="1009"/>
      <c r="F3947" s="1009"/>
      <c r="G3947" s="1011"/>
    </row>
    <row r="3948" spans="1:7" ht="15" hidden="1" thickBot="1">
      <c r="A3948" s="1002"/>
      <c r="B3948" s="913"/>
      <c r="C3948" s="914"/>
      <c r="D3948" s="95"/>
      <c r="E3948" s="242"/>
      <c r="F3948" s="292"/>
      <c r="G3948" s="113"/>
    </row>
    <row r="3949" spans="1:7" ht="15" hidden="1" thickBot="1">
      <c r="A3949" s="114"/>
      <c r="B3949" s="930"/>
      <c r="C3949" s="931"/>
      <c r="D3949" s="88"/>
      <c r="E3949" s="243"/>
      <c r="F3949" s="293"/>
      <c r="G3949" s="117"/>
    </row>
    <row r="3950" spans="1:7" ht="15" hidden="1" thickBot="1">
      <c r="A3950" s="118"/>
      <c r="B3950" s="1012"/>
      <c r="C3950" s="1013"/>
      <c r="D3950" s="119"/>
      <c r="E3950" s="243"/>
      <c r="F3950" s="293"/>
      <c r="G3950" s="121"/>
    </row>
    <row r="3951" spans="1:7" ht="15" hidden="1" thickBot="1">
      <c r="A3951" s="1014"/>
      <c r="B3951" s="995"/>
      <c r="C3951" s="995"/>
      <c r="D3951" s="981"/>
      <c r="E3951" s="981"/>
      <c r="F3951" s="981"/>
      <c r="G3951" s="11"/>
    </row>
    <row r="3952" spans="1:7" ht="18.75" hidden="1" customHeight="1" thickBot="1">
      <c r="A3952" s="1002"/>
      <c r="B3952" s="983"/>
      <c r="C3952" s="983"/>
      <c r="D3952" s="983"/>
      <c r="E3952" s="983"/>
      <c r="F3952" s="983"/>
      <c r="G3952" s="1003"/>
    </row>
    <row r="3953" spans="1:11" s="7" customFormat="1" ht="13.5" hidden="1" thickBot="1">
      <c r="A3953" s="1002"/>
      <c r="B3953" s="913"/>
      <c r="C3953" s="914"/>
      <c r="D3953" s="95"/>
      <c r="E3953" s="242"/>
      <c r="F3953" s="292"/>
      <c r="G3953" s="113"/>
    </row>
    <row r="3954" spans="1:11" ht="15" hidden="1" thickBot="1">
      <c r="A3954" s="122"/>
      <c r="B3954" s="930"/>
      <c r="C3954" s="931"/>
      <c r="D3954" s="88"/>
      <c r="E3954" s="243"/>
      <c r="F3954" s="293"/>
      <c r="G3954" s="117"/>
    </row>
    <row r="3955" spans="1:11" ht="15" hidden="1" thickBot="1">
      <c r="A3955" s="123"/>
      <c r="B3955" s="976"/>
      <c r="C3955" s="977"/>
      <c r="D3955" s="88"/>
      <c r="E3955" s="243"/>
      <c r="F3955" s="293"/>
      <c r="G3955" s="124"/>
    </row>
    <row r="3956" spans="1:11" ht="17.25" hidden="1" customHeight="1" thickBot="1">
      <c r="A3956" s="1017"/>
      <c r="B3956" s="997"/>
      <c r="C3956" s="998"/>
      <c r="D3956" s="981"/>
      <c r="E3956" s="981"/>
      <c r="F3956" s="981"/>
      <c r="G3956" s="11"/>
      <c r="J3956" s="125"/>
      <c r="K3956" s="126"/>
    </row>
    <row r="3957" spans="1:11" ht="15" hidden="1" thickBot="1">
      <c r="A3957" s="1002"/>
      <c r="B3957" s="983"/>
      <c r="C3957" s="983"/>
      <c r="D3957" s="983"/>
      <c r="E3957" s="983"/>
      <c r="F3957" s="983"/>
      <c r="G3957" s="1003"/>
    </row>
    <row r="3958" spans="1:11" ht="15" hidden="1" thickBot="1">
      <c r="A3958" s="1002"/>
      <c r="B3958" s="913"/>
      <c r="C3958" s="914"/>
      <c r="D3958" s="95"/>
      <c r="E3958" s="242"/>
      <c r="F3958" s="286"/>
      <c r="G3958" s="113"/>
    </row>
    <row r="3959" spans="1:11" ht="27.75" hidden="1" customHeight="1">
      <c r="A3959" s="127"/>
      <c r="B3959" s="999"/>
      <c r="C3959" s="1000"/>
      <c r="D3959" s="128"/>
      <c r="E3959" s="246"/>
      <c r="F3959" s="295"/>
      <c r="G3959" s="129"/>
    </row>
    <row r="3960" spans="1:11" ht="15" hidden="1" thickBot="1">
      <c r="A3960" s="130"/>
      <c r="B3960" s="942"/>
      <c r="C3960" s="943"/>
      <c r="D3960" s="104"/>
      <c r="E3960" s="247"/>
      <c r="F3960" s="288"/>
      <c r="G3960" s="131"/>
    </row>
    <row r="3961" spans="1:11" ht="15" hidden="1" thickBot="1">
      <c r="A3961" s="1001"/>
      <c r="B3961" s="979"/>
      <c r="C3961" s="980"/>
      <c r="D3961" s="981"/>
      <c r="E3961" s="981"/>
      <c r="F3961" s="981"/>
      <c r="G3961" s="11"/>
    </row>
    <row r="3962" spans="1:11" ht="15" hidden="1" thickBot="1">
      <c r="A3962" s="1002"/>
      <c r="B3962" s="983"/>
      <c r="C3962" s="983"/>
      <c r="D3962" s="983"/>
      <c r="E3962" s="983"/>
      <c r="F3962" s="983"/>
      <c r="G3962" s="1003"/>
    </row>
    <row r="3963" spans="1:11" ht="15" hidden="1" thickBot="1">
      <c r="A3963" s="1002"/>
      <c r="B3963" s="913"/>
      <c r="C3963" s="914"/>
      <c r="D3963" s="95"/>
      <c r="E3963" s="242"/>
      <c r="F3963" s="289"/>
      <c r="G3963" s="113"/>
    </row>
    <row r="3964" spans="1:11" ht="15" hidden="1" thickBot="1">
      <c r="A3964" s="127"/>
      <c r="B3964" s="1075"/>
      <c r="C3964" s="1076"/>
      <c r="D3964" s="128"/>
      <c r="E3964" s="243"/>
      <c r="F3964" s="295"/>
      <c r="G3964" s="129"/>
    </row>
    <row r="3965" spans="1:11" hidden="1">
      <c r="A3965" s="132"/>
      <c r="B3965" s="133"/>
      <c r="C3965" s="134"/>
      <c r="D3965" s="135"/>
      <c r="E3965" s="248"/>
      <c r="F3965" s="296"/>
      <c r="G3965" s="129"/>
    </row>
    <row r="3966" spans="1:11" ht="15" hidden="1" thickBot="1">
      <c r="A3966" s="1004"/>
      <c r="B3966" s="988"/>
      <c r="C3966" s="989"/>
      <c r="D3966" s="990"/>
      <c r="E3966" s="990"/>
      <c r="F3966" s="990"/>
      <c r="G3966" s="12"/>
    </row>
    <row r="3967" spans="1:11" ht="15" hidden="1" thickBot="1">
      <c r="A3967" s="1005"/>
      <c r="B3967" s="1005"/>
      <c r="C3967" s="921"/>
      <c r="D3967" s="1041"/>
      <c r="E3967" s="1041"/>
      <c r="F3967" s="1041"/>
      <c r="G3967" s="137"/>
    </row>
    <row r="3968" spans="1:11" hidden="1">
      <c r="A3968" s="80"/>
      <c r="B3968" s="81"/>
      <c r="C3968" s="81"/>
      <c r="D3968" s="81"/>
      <c r="E3968" s="241"/>
      <c r="F3968" s="271"/>
      <c r="G3968" s="81"/>
    </row>
    <row r="3969" spans="1:11" ht="15" hidden="1" thickBot="1">
      <c r="A3969" s="83"/>
      <c r="B3969" s="84"/>
      <c r="C3969" s="84"/>
      <c r="D3969" s="85"/>
      <c r="E3969" s="249"/>
      <c r="F3969" s="291"/>
      <c r="G3969" s="86"/>
    </row>
    <row r="3970" spans="1:11" ht="15" hidden="1" thickBot="1">
      <c r="A3970" s="1006"/>
      <c r="B3970" s="1007"/>
      <c r="C3970" s="1007"/>
      <c r="D3970" s="1007"/>
      <c r="E3970" s="1007"/>
      <c r="F3970" s="272"/>
      <c r="G3970" s="43"/>
    </row>
    <row r="3971" spans="1:11" ht="15" hidden="1" customHeight="1" thickBot="1">
      <c r="A3971" s="953"/>
      <c r="B3971" s="954"/>
      <c r="C3971" s="954"/>
      <c r="D3971" s="954"/>
      <c r="E3971" s="955"/>
      <c r="F3971" s="273"/>
      <c r="G3971" s="45"/>
    </row>
    <row r="3972" spans="1:11" ht="22.5" hidden="1" customHeight="1" thickBot="1">
      <c r="A3972" s="956"/>
      <c r="B3972" s="957"/>
      <c r="C3972" s="957"/>
      <c r="D3972" s="957"/>
      <c r="E3972" s="958"/>
      <c r="F3972" s="273"/>
      <c r="G3972" s="46"/>
    </row>
    <row r="3973" spans="1:11" ht="15" hidden="1" collapsed="1" thickBot="1">
      <c r="A3973" s="959"/>
      <c r="B3973" s="960"/>
      <c r="C3973" s="960"/>
      <c r="D3973" s="960"/>
      <c r="E3973" s="961"/>
      <c r="F3973" s="274"/>
      <c r="G3973" s="48"/>
    </row>
    <row r="3974" spans="1:11" ht="15" hidden="1" thickBot="1">
      <c r="A3974" s="909"/>
      <c r="B3974" s="1009"/>
      <c r="C3974" s="1009"/>
      <c r="D3974" s="1009"/>
      <c r="E3974" s="1009"/>
      <c r="F3974" s="1009"/>
      <c r="G3974" s="1011"/>
    </row>
    <row r="3975" spans="1:11" ht="15" hidden="1" thickBot="1">
      <c r="A3975" s="1002"/>
      <c r="B3975" s="913"/>
      <c r="C3975" s="914"/>
      <c r="D3975" s="95"/>
      <c r="E3975" s="242"/>
      <c r="F3975" s="292"/>
      <c r="G3975" s="113"/>
    </row>
    <row r="3976" spans="1:11" ht="15" hidden="1" thickBot="1">
      <c r="A3976" s="114"/>
      <c r="B3976" s="930"/>
      <c r="C3976" s="931"/>
      <c r="D3976" s="88"/>
      <c r="E3976" s="243"/>
      <c r="F3976" s="293"/>
      <c r="G3976" s="117"/>
    </row>
    <row r="3977" spans="1:11" ht="15" hidden="1" thickBot="1">
      <c r="A3977" s="118"/>
      <c r="B3977" s="1012"/>
      <c r="C3977" s="1013"/>
      <c r="D3977" s="119"/>
      <c r="E3977" s="243"/>
      <c r="F3977" s="293"/>
      <c r="G3977" s="121"/>
    </row>
    <row r="3978" spans="1:11" ht="15" hidden="1" thickBot="1">
      <c r="A3978" s="1014"/>
      <c r="B3978" s="995"/>
      <c r="C3978" s="995"/>
      <c r="D3978" s="981"/>
      <c r="E3978" s="981"/>
      <c r="F3978" s="981"/>
      <c r="G3978" s="11"/>
    </row>
    <row r="3979" spans="1:11" ht="18.75" hidden="1" customHeight="1" thickBot="1">
      <c r="A3979" s="1002"/>
      <c r="B3979" s="983"/>
      <c r="C3979" s="983"/>
      <c r="D3979" s="983"/>
      <c r="E3979" s="983"/>
      <c r="F3979" s="983"/>
      <c r="G3979" s="1003"/>
    </row>
    <row r="3980" spans="1:11" s="7" customFormat="1" ht="13.5" hidden="1" thickBot="1">
      <c r="A3980" s="1002"/>
      <c r="B3980" s="913"/>
      <c r="C3980" s="914"/>
      <c r="D3980" s="95"/>
      <c r="E3980" s="242"/>
      <c r="F3980" s="292"/>
      <c r="G3980" s="113"/>
    </row>
    <row r="3981" spans="1:11" ht="15" hidden="1" thickBot="1">
      <c r="A3981" s="122"/>
      <c r="B3981" s="930"/>
      <c r="C3981" s="931"/>
      <c r="D3981" s="88"/>
      <c r="E3981" s="243"/>
      <c r="F3981" s="293"/>
      <c r="G3981" s="117"/>
    </row>
    <row r="3982" spans="1:11" ht="15" hidden="1" thickBot="1">
      <c r="A3982" s="123"/>
      <c r="B3982" s="976"/>
      <c r="C3982" s="977"/>
      <c r="D3982" s="88"/>
      <c r="E3982" s="243"/>
      <c r="F3982" s="293"/>
      <c r="G3982" s="124"/>
    </row>
    <row r="3983" spans="1:11" ht="17.25" hidden="1" customHeight="1" thickBot="1">
      <c r="A3983" s="1017"/>
      <c r="B3983" s="997"/>
      <c r="C3983" s="998"/>
      <c r="D3983" s="981"/>
      <c r="E3983" s="981"/>
      <c r="F3983" s="981"/>
      <c r="G3983" s="11"/>
      <c r="J3983" s="125"/>
      <c r="K3983" s="126"/>
    </row>
    <row r="3984" spans="1:11" ht="15" hidden="1" thickBot="1">
      <c r="A3984" s="1002"/>
      <c r="B3984" s="983"/>
      <c r="C3984" s="983"/>
      <c r="D3984" s="983"/>
      <c r="E3984" s="983"/>
      <c r="F3984" s="983"/>
      <c r="G3984" s="1003"/>
    </row>
    <row r="3985" spans="1:7" ht="15" hidden="1" thickBot="1">
      <c r="A3985" s="1002"/>
      <c r="B3985" s="913"/>
      <c r="C3985" s="914"/>
      <c r="D3985" s="95"/>
      <c r="E3985" s="242"/>
      <c r="F3985" s="286"/>
      <c r="G3985" s="113"/>
    </row>
    <row r="3986" spans="1:7" ht="27.75" hidden="1" customHeight="1">
      <c r="A3986" s="127"/>
      <c r="B3986" s="999"/>
      <c r="C3986" s="1000"/>
      <c r="D3986" s="128"/>
      <c r="E3986" s="246"/>
      <c r="F3986" s="295"/>
      <c r="G3986" s="129"/>
    </row>
    <row r="3987" spans="1:7" ht="15" hidden="1" thickBot="1">
      <c r="A3987" s="130"/>
      <c r="B3987" s="942"/>
      <c r="C3987" s="943"/>
      <c r="D3987" s="104"/>
      <c r="E3987" s="247"/>
      <c r="F3987" s="288"/>
      <c r="G3987" s="131"/>
    </row>
    <row r="3988" spans="1:7" ht="15" hidden="1" thickBot="1">
      <c r="A3988" s="1001"/>
      <c r="B3988" s="979"/>
      <c r="C3988" s="980"/>
      <c r="D3988" s="981"/>
      <c r="E3988" s="981"/>
      <c r="F3988" s="981"/>
      <c r="G3988" s="11"/>
    </row>
    <row r="3989" spans="1:7" ht="15" hidden="1" thickBot="1">
      <c r="A3989" s="1002"/>
      <c r="B3989" s="983"/>
      <c r="C3989" s="983"/>
      <c r="D3989" s="983"/>
      <c r="E3989" s="983"/>
      <c r="F3989" s="983"/>
      <c r="G3989" s="1003"/>
    </row>
    <row r="3990" spans="1:7" ht="15" hidden="1" thickBot="1">
      <c r="A3990" s="1002"/>
      <c r="B3990" s="913"/>
      <c r="C3990" s="914"/>
      <c r="D3990" s="95"/>
      <c r="E3990" s="242"/>
      <c r="F3990" s="289"/>
      <c r="G3990" s="113"/>
    </row>
    <row r="3991" spans="1:7" ht="15" hidden="1" thickBot="1">
      <c r="A3991" s="127"/>
      <c r="B3991" s="1075"/>
      <c r="C3991" s="1076"/>
      <c r="D3991" s="128"/>
      <c r="E3991" s="243"/>
      <c r="F3991" s="295"/>
      <c r="G3991" s="129"/>
    </row>
    <row r="3992" spans="1:7" hidden="1">
      <c r="A3992" s="132"/>
      <c r="B3992" s="133"/>
      <c r="C3992" s="134"/>
      <c r="D3992" s="135"/>
      <c r="E3992" s="248"/>
      <c r="F3992" s="296"/>
      <c r="G3992" s="129"/>
    </row>
    <row r="3993" spans="1:7" ht="15" hidden="1" thickBot="1">
      <c r="A3993" s="1004"/>
      <c r="B3993" s="988"/>
      <c r="C3993" s="989"/>
      <c r="D3993" s="990"/>
      <c r="E3993" s="990"/>
      <c r="F3993" s="990"/>
      <c r="G3993" s="12"/>
    </row>
    <row r="3994" spans="1:7" ht="15" hidden="1" thickBot="1">
      <c r="A3994" s="1005"/>
      <c r="B3994" s="1005"/>
      <c r="C3994" s="921"/>
      <c r="D3994" s="1041"/>
      <c r="E3994" s="1041"/>
      <c r="F3994" s="1041"/>
      <c r="G3994" s="137"/>
    </row>
    <row r="3995" spans="1:7" hidden="1">
      <c r="A3995" s="80"/>
      <c r="B3995" s="81"/>
      <c r="C3995" s="81"/>
      <c r="D3995" s="81"/>
      <c r="E3995" s="241"/>
      <c r="F3995" s="271"/>
      <c r="G3995" s="81"/>
    </row>
    <row r="3996" spans="1:7" ht="15" hidden="1" thickBot="1">
      <c r="A3996" s="83"/>
      <c r="B3996" s="84"/>
      <c r="C3996" s="84"/>
      <c r="D3996" s="85"/>
      <c r="E3996" s="249"/>
      <c r="F3996" s="291"/>
      <c r="G3996" s="86"/>
    </row>
    <row r="3997" spans="1:7" ht="15" hidden="1" thickBot="1">
      <c r="A3997" s="1006"/>
      <c r="B3997" s="1007"/>
      <c r="C3997" s="1007"/>
      <c r="D3997" s="1007"/>
      <c r="E3997" s="1007"/>
      <c r="F3997" s="272"/>
      <c r="G3997" s="43"/>
    </row>
    <row r="3998" spans="1:7" ht="15" hidden="1" customHeight="1" thickBot="1">
      <c r="A3998" s="953"/>
      <c r="B3998" s="954"/>
      <c r="C3998" s="954"/>
      <c r="D3998" s="954"/>
      <c r="E3998" s="955"/>
      <c r="F3998" s="273"/>
      <c r="G3998" s="45"/>
    </row>
    <row r="3999" spans="1:7" ht="22.5" hidden="1" customHeight="1" thickBot="1">
      <c r="A3999" s="956"/>
      <c r="B3999" s="957"/>
      <c r="C3999" s="957"/>
      <c r="D3999" s="957"/>
      <c r="E3999" s="958"/>
      <c r="F3999" s="273"/>
      <c r="G3999" s="46"/>
    </row>
    <row r="4000" spans="1:7" ht="15" hidden="1" collapsed="1" thickBot="1">
      <c r="A4000" s="959"/>
      <c r="B4000" s="960"/>
      <c r="C4000" s="960"/>
      <c r="D4000" s="960"/>
      <c r="E4000" s="961"/>
      <c r="F4000" s="274"/>
      <c r="G4000" s="48"/>
    </row>
    <row r="4001" spans="1:11" ht="15" hidden="1" thickBot="1">
      <c r="A4001" s="909"/>
      <c r="B4001" s="1009"/>
      <c r="C4001" s="1009"/>
      <c r="D4001" s="1009"/>
      <c r="E4001" s="1009"/>
      <c r="F4001" s="1009"/>
      <c r="G4001" s="1011"/>
    </row>
    <row r="4002" spans="1:11" ht="15" hidden="1" thickBot="1">
      <c r="A4002" s="1002"/>
      <c r="B4002" s="913"/>
      <c r="C4002" s="914"/>
      <c r="D4002" s="95"/>
      <c r="E4002" s="242"/>
      <c r="F4002" s="292"/>
      <c r="G4002" s="113"/>
    </row>
    <row r="4003" spans="1:11" ht="15" hidden="1" thickBot="1">
      <c r="A4003" s="114"/>
      <c r="B4003" s="930"/>
      <c r="C4003" s="931"/>
      <c r="D4003" s="88"/>
      <c r="E4003" s="243"/>
      <c r="F4003" s="293"/>
      <c r="G4003" s="117"/>
    </row>
    <row r="4004" spans="1:11" ht="15" hidden="1" thickBot="1">
      <c r="A4004" s="118"/>
      <c r="B4004" s="1012"/>
      <c r="C4004" s="1013"/>
      <c r="D4004" s="119"/>
      <c r="E4004" s="243"/>
      <c r="F4004" s="293"/>
      <c r="G4004" s="121"/>
    </row>
    <row r="4005" spans="1:11" ht="15" hidden="1" thickBot="1">
      <c r="A4005" s="1014"/>
      <c r="B4005" s="995"/>
      <c r="C4005" s="995"/>
      <c r="D4005" s="981"/>
      <c r="E4005" s="981"/>
      <c r="F4005" s="981"/>
      <c r="G4005" s="11"/>
    </row>
    <row r="4006" spans="1:11" ht="18.75" hidden="1" customHeight="1" thickBot="1">
      <c r="A4006" s="1002"/>
      <c r="B4006" s="983"/>
      <c r="C4006" s="983"/>
      <c r="D4006" s="983"/>
      <c r="E4006" s="983"/>
      <c r="F4006" s="983"/>
      <c r="G4006" s="1003"/>
    </row>
    <row r="4007" spans="1:11" s="7" customFormat="1" ht="13.5" hidden="1" thickBot="1">
      <c r="A4007" s="1002"/>
      <c r="B4007" s="913"/>
      <c r="C4007" s="914"/>
      <c r="D4007" s="95"/>
      <c r="E4007" s="242"/>
      <c r="F4007" s="292"/>
      <c r="G4007" s="113"/>
    </row>
    <row r="4008" spans="1:11" ht="15" hidden="1" thickBot="1">
      <c r="A4008" s="122"/>
      <c r="B4008" s="930"/>
      <c r="C4008" s="931"/>
      <c r="D4008" s="88"/>
      <c r="E4008" s="243"/>
      <c r="F4008" s="293"/>
      <c r="G4008" s="117"/>
    </row>
    <row r="4009" spans="1:11" ht="15" hidden="1" thickBot="1">
      <c r="A4009" s="123"/>
      <c r="B4009" s="976"/>
      <c r="C4009" s="977"/>
      <c r="D4009" s="88"/>
      <c r="E4009" s="243"/>
      <c r="F4009" s="293"/>
      <c r="G4009" s="124"/>
    </row>
    <row r="4010" spans="1:11" ht="17.25" hidden="1" customHeight="1" thickBot="1">
      <c r="A4010" s="1017"/>
      <c r="B4010" s="997"/>
      <c r="C4010" s="998"/>
      <c r="D4010" s="981"/>
      <c r="E4010" s="981"/>
      <c r="F4010" s="981"/>
      <c r="G4010" s="11"/>
      <c r="J4010" s="125"/>
      <c r="K4010" s="126"/>
    </row>
    <row r="4011" spans="1:11" ht="15" hidden="1" thickBot="1">
      <c r="A4011" s="1002"/>
      <c r="B4011" s="983"/>
      <c r="C4011" s="983"/>
      <c r="D4011" s="983"/>
      <c r="E4011" s="983"/>
      <c r="F4011" s="983"/>
      <c r="G4011" s="1003"/>
    </row>
    <row r="4012" spans="1:11" ht="15" hidden="1" thickBot="1">
      <c r="A4012" s="1002"/>
      <c r="B4012" s="913"/>
      <c r="C4012" s="914"/>
      <c r="D4012" s="95"/>
      <c r="E4012" s="242"/>
      <c r="F4012" s="286"/>
      <c r="G4012" s="113"/>
    </row>
    <row r="4013" spans="1:11" ht="27.75" hidden="1" customHeight="1">
      <c r="A4013" s="127"/>
      <c r="B4013" s="999"/>
      <c r="C4013" s="1000"/>
      <c r="D4013" s="128"/>
      <c r="E4013" s="246"/>
      <c r="F4013" s="295"/>
      <c r="G4013" s="129"/>
    </row>
    <row r="4014" spans="1:11" ht="15" hidden="1" thickBot="1">
      <c r="A4014" s="130"/>
      <c r="B4014" s="942"/>
      <c r="C4014" s="943"/>
      <c r="D4014" s="104"/>
      <c r="E4014" s="247"/>
      <c r="F4014" s="288"/>
      <c r="G4014" s="131"/>
    </row>
    <row r="4015" spans="1:11" ht="15" hidden="1" thickBot="1">
      <c r="A4015" s="1001"/>
      <c r="B4015" s="979"/>
      <c r="C4015" s="980"/>
      <c r="D4015" s="981"/>
      <c r="E4015" s="981"/>
      <c r="F4015" s="981"/>
      <c r="G4015" s="11"/>
    </row>
    <row r="4016" spans="1:11" ht="15" hidden="1" thickBot="1">
      <c r="A4016" s="1002"/>
      <c r="B4016" s="983"/>
      <c r="C4016" s="983"/>
      <c r="D4016" s="983"/>
      <c r="E4016" s="983"/>
      <c r="F4016" s="983"/>
      <c r="G4016" s="1003"/>
    </row>
    <row r="4017" spans="1:7" ht="15" hidden="1" thickBot="1">
      <c r="A4017" s="1002"/>
      <c r="B4017" s="913"/>
      <c r="C4017" s="914"/>
      <c r="D4017" s="95"/>
      <c r="E4017" s="242"/>
      <c r="F4017" s="289"/>
      <c r="G4017" s="113"/>
    </row>
    <row r="4018" spans="1:7" ht="15" hidden="1" thickBot="1">
      <c r="A4018" s="127"/>
      <c r="B4018" s="1075"/>
      <c r="C4018" s="1076"/>
      <c r="D4018" s="128"/>
      <c r="E4018" s="243"/>
      <c r="F4018" s="295"/>
      <c r="G4018" s="129"/>
    </row>
    <row r="4019" spans="1:7" hidden="1">
      <c r="A4019" s="132"/>
      <c r="B4019" s="133"/>
      <c r="C4019" s="134"/>
      <c r="D4019" s="135"/>
      <c r="E4019" s="248"/>
      <c r="F4019" s="296"/>
      <c r="G4019" s="129"/>
    </row>
    <row r="4020" spans="1:7" ht="15" hidden="1" thickBot="1">
      <c r="A4020" s="1004"/>
      <c r="B4020" s="988"/>
      <c r="C4020" s="989"/>
      <c r="D4020" s="990"/>
      <c r="E4020" s="990"/>
      <c r="F4020" s="990"/>
      <c r="G4020" s="12"/>
    </row>
    <row r="4021" spans="1:7" ht="15" hidden="1" thickBot="1">
      <c r="A4021" s="1005"/>
      <c r="B4021" s="1005"/>
      <c r="C4021" s="921"/>
      <c r="D4021" s="1041"/>
      <c r="E4021" s="1041"/>
      <c r="F4021" s="1041"/>
      <c r="G4021" s="137"/>
    </row>
    <row r="4022" spans="1:7" hidden="1">
      <c r="A4022" s="80"/>
      <c r="B4022" s="81"/>
      <c r="C4022" s="81"/>
      <c r="D4022" s="81"/>
      <c r="E4022" s="241"/>
      <c r="F4022" s="271"/>
      <c r="G4022" s="81"/>
    </row>
    <row r="4023" spans="1:7" ht="15" hidden="1" thickBot="1">
      <c r="A4023" s="83"/>
      <c r="B4023" s="84"/>
      <c r="C4023" s="84"/>
      <c r="D4023" s="85"/>
      <c r="E4023" s="249"/>
      <c r="F4023" s="291"/>
      <c r="G4023" s="86"/>
    </row>
    <row r="4024" spans="1:7" ht="15" hidden="1" thickBot="1">
      <c r="A4024" s="1006"/>
      <c r="B4024" s="1007"/>
      <c r="C4024" s="1007"/>
      <c r="D4024" s="1007"/>
      <c r="E4024" s="1007"/>
      <c r="F4024" s="272"/>
      <c r="G4024" s="43"/>
    </row>
    <row r="4025" spans="1:7" ht="15" hidden="1" customHeight="1" thickBot="1">
      <c r="A4025" s="953"/>
      <c r="B4025" s="954"/>
      <c r="C4025" s="954"/>
      <c r="D4025" s="954"/>
      <c r="E4025" s="955"/>
      <c r="F4025" s="273"/>
      <c r="G4025" s="45"/>
    </row>
    <row r="4026" spans="1:7" ht="22.5" hidden="1" customHeight="1" thickBot="1">
      <c r="A4026" s="956"/>
      <c r="B4026" s="957"/>
      <c r="C4026" s="957"/>
      <c r="D4026" s="957"/>
      <c r="E4026" s="958"/>
      <c r="F4026" s="273"/>
      <c r="G4026" s="46"/>
    </row>
    <row r="4027" spans="1:7" ht="15" hidden="1" collapsed="1" thickBot="1">
      <c r="A4027" s="959"/>
      <c r="B4027" s="960"/>
      <c r="C4027" s="960"/>
      <c r="D4027" s="960"/>
      <c r="E4027" s="961"/>
      <c r="F4027" s="274"/>
      <c r="G4027" s="48"/>
    </row>
    <row r="4028" spans="1:7" ht="15" hidden="1" thickBot="1">
      <c r="A4028" s="909"/>
      <c r="B4028" s="1009"/>
      <c r="C4028" s="1009"/>
      <c r="D4028" s="1009"/>
      <c r="E4028" s="1009"/>
      <c r="F4028" s="1009"/>
      <c r="G4028" s="1011"/>
    </row>
    <row r="4029" spans="1:7" ht="15" hidden="1" thickBot="1">
      <c r="A4029" s="1002"/>
      <c r="B4029" s="913"/>
      <c r="C4029" s="914"/>
      <c r="D4029" s="95"/>
      <c r="E4029" s="242"/>
      <c r="F4029" s="292"/>
      <c r="G4029" s="113"/>
    </row>
    <row r="4030" spans="1:7" ht="15" hidden="1" thickBot="1">
      <c r="A4030" s="114"/>
      <c r="B4030" s="930"/>
      <c r="C4030" s="931"/>
      <c r="D4030" s="88"/>
      <c r="E4030" s="243"/>
      <c r="F4030" s="293"/>
      <c r="G4030" s="117"/>
    </row>
    <row r="4031" spans="1:7" ht="15" hidden="1" thickBot="1">
      <c r="A4031" s="118"/>
      <c r="B4031" s="1097"/>
      <c r="C4031" s="1098"/>
      <c r="D4031" s="232"/>
      <c r="E4031" s="266"/>
      <c r="F4031" s="311"/>
      <c r="G4031" s="121"/>
    </row>
    <row r="4032" spans="1:7" ht="15" hidden="1" thickBot="1">
      <c r="A4032" s="1014"/>
      <c r="B4032" s="995"/>
      <c r="C4032" s="995"/>
      <c r="D4032" s="981"/>
      <c r="E4032" s="981"/>
      <c r="F4032" s="981"/>
      <c r="G4032" s="11"/>
    </row>
    <row r="4033" spans="1:11" ht="18.75" hidden="1" customHeight="1" thickBot="1">
      <c r="A4033" s="1002"/>
      <c r="B4033" s="983"/>
      <c r="C4033" s="983"/>
      <c r="D4033" s="983"/>
      <c r="E4033" s="983"/>
      <c r="F4033" s="983"/>
      <c r="G4033" s="1003"/>
    </row>
    <row r="4034" spans="1:11" s="7" customFormat="1" ht="13.5" hidden="1" thickBot="1">
      <c r="A4034" s="1002"/>
      <c r="B4034" s="913"/>
      <c r="C4034" s="914"/>
      <c r="D4034" s="95"/>
      <c r="E4034" s="242"/>
      <c r="F4034" s="292"/>
      <c r="G4034" s="113"/>
    </row>
    <row r="4035" spans="1:11" ht="15" hidden="1" thickBot="1">
      <c r="A4035" s="122"/>
      <c r="B4035" s="930"/>
      <c r="C4035" s="931"/>
      <c r="D4035" s="88"/>
      <c r="E4035" s="243"/>
      <c r="F4035" s="293"/>
      <c r="G4035" s="117"/>
    </row>
    <row r="4036" spans="1:11" ht="15" hidden="1" thickBot="1">
      <c r="A4036" s="123"/>
      <c r="B4036" s="976"/>
      <c r="C4036" s="977"/>
      <c r="D4036" s="88"/>
      <c r="E4036" s="243"/>
      <c r="F4036" s="293"/>
      <c r="G4036" s="124"/>
    </row>
    <row r="4037" spans="1:11" ht="17.25" hidden="1" customHeight="1" thickBot="1">
      <c r="A4037" s="1017"/>
      <c r="B4037" s="997"/>
      <c r="C4037" s="998"/>
      <c r="D4037" s="981"/>
      <c r="E4037" s="981"/>
      <c r="F4037" s="981"/>
      <c r="G4037" s="11"/>
      <c r="J4037" s="125"/>
      <c r="K4037" s="126"/>
    </row>
    <row r="4038" spans="1:11" ht="15" hidden="1" thickBot="1">
      <c r="A4038" s="1002"/>
      <c r="B4038" s="983"/>
      <c r="C4038" s="983"/>
      <c r="D4038" s="983"/>
      <c r="E4038" s="983"/>
      <c r="F4038" s="983"/>
      <c r="G4038" s="1003"/>
    </row>
    <row r="4039" spans="1:11" ht="15" hidden="1" thickBot="1">
      <c r="A4039" s="1002"/>
      <c r="B4039" s="913"/>
      <c r="C4039" s="914"/>
      <c r="D4039" s="95"/>
      <c r="E4039" s="242"/>
      <c r="F4039" s="286"/>
      <c r="G4039" s="113"/>
    </row>
    <row r="4040" spans="1:11" ht="27.75" hidden="1" customHeight="1">
      <c r="A4040" s="127"/>
      <c r="B4040" s="999"/>
      <c r="C4040" s="1000"/>
      <c r="D4040" s="128"/>
      <c r="E4040" s="246"/>
      <c r="F4040" s="295"/>
      <c r="G4040" s="129"/>
    </row>
    <row r="4041" spans="1:11" ht="15" hidden="1" thickBot="1">
      <c r="A4041" s="130"/>
      <c r="B4041" s="942"/>
      <c r="C4041" s="943"/>
      <c r="D4041" s="104"/>
      <c r="E4041" s="247"/>
      <c r="F4041" s="288"/>
      <c r="G4041" s="131"/>
    </row>
    <row r="4042" spans="1:11" ht="15" hidden="1" thickBot="1">
      <c r="A4042" s="1001"/>
      <c r="B4042" s="979"/>
      <c r="C4042" s="980"/>
      <c r="D4042" s="981"/>
      <c r="E4042" s="981"/>
      <c r="F4042" s="981"/>
      <c r="G4042" s="11"/>
    </row>
    <row r="4043" spans="1:11" ht="15" hidden="1" thickBot="1">
      <c r="A4043" s="1002"/>
      <c r="B4043" s="983"/>
      <c r="C4043" s="983"/>
      <c r="D4043" s="983"/>
      <c r="E4043" s="983"/>
      <c r="F4043" s="983"/>
      <c r="G4043" s="1003"/>
    </row>
    <row r="4044" spans="1:11" ht="15" hidden="1" thickBot="1">
      <c r="A4044" s="1002"/>
      <c r="B4044" s="913"/>
      <c r="C4044" s="914"/>
      <c r="D4044" s="95"/>
      <c r="E4044" s="242"/>
      <c r="F4044" s="289"/>
      <c r="G4044" s="113"/>
    </row>
    <row r="4045" spans="1:11" ht="15" hidden="1" thickBot="1">
      <c r="A4045" s="127"/>
      <c r="B4045" s="1075"/>
      <c r="C4045" s="1076"/>
      <c r="D4045" s="128"/>
      <c r="E4045" s="243"/>
      <c r="F4045" s="295"/>
      <c r="G4045" s="129"/>
    </row>
    <row r="4046" spans="1:11" hidden="1">
      <c r="A4046" s="132"/>
      <c r="B4046" s="133"/>
      <c r="C4046" s="134"/>
      <c r="D4046" s="135"/>
      <c r="E4046" s="248"/>
      <c r="F4046" s="296"/>
      <c r="G4046" s="129"/>
    </row>
    <row r="4047" spans="1:11" ht="15" hidden="1" thickBot="1">
      <c r="A4047" s="1004"/>
      <c r="B4047" s="988"/>
      <c r="C4047" s="989"/>
      <c r="D4047" s="990"/>
      <c r="E4047" s="990"/>
      <c r="F4047" s="990"/>
      <c r="G4047" s="12"/>
    </row>
    <row r="4048" spans="1:11" ht="15" hidden="1" thickBot="1">
      <c r="A4048" s="1005"/>
      <c r="B4048" s="1005"/>
      <c r="C4048" s="921"/>
      <c r="D4048" s="1041"/>
      <c r="E4048" s="1041"/>
      <c r="F4048" s="1041"/>
      <c r="G4048" s="137"/>
    </row>
    <row r="4049" spans="1:11" hidden="1">
      <c r="A4049" s="80"/>
      <c r="B4049" s="81"/>
      <c r="C4049" s="81"/>
      <c r="D4049" s="81"/>
      <c r="E4049" s="241"/>
      <c r="F4049" s="271"/>
      <c r="G4049" s="81"/>
    </row>
    <row r="4050" spans="1:11" ht="15" hidden="1" thickBot="1">
      <c r="A4050" s="83"/>
      <c r="B4050" s="84"/>
      <c r="C4050" s="84"/>
      <c r="D4050" s="85"/>
      <c r="E4050" s="249"/>
      <c r="F4050" s="291"/>
      <c r="G4050" s="86"/>
    </row>
    <row r="4051" spans="1:11" ht="15" hidden="1" thickBot="1">
      <c r="A4051" s="1006"/>
      <c r="B4051" s="1007"/>
      <c r="C4051" s="1007"/>
      <c r="D4051" s="1007"/>
      <c r="E4051" s="1007"/>
      <c r="F4051" s="272"/>
      <c r="G4051" s="43"/>
    </row>
    <row r="4052" spans="1:11" ht="15" hidden="1" customHeight="1" thickBot="1">
      <c r="A4052" s="953"/>
      <c r="B4052" s="954"/>
      <c r="C4052" s="954"/>
      <c r="D4052" s="954"/>
      <c r="E4052" s="955"/>
      <c r="F4052" s="273"/>
      <c r="G4052" s="45"/>
    </row>
    <row r="4053" spans="1:11" ht="22.5" hidden="1" customHeight="1" thickBot="1">
      <c r="A4053" s="956"/>
      <c r="B4053" s="957"/>
      <c r="C4053" s="957"/>
      <c r="D4053" s="957"/>
      <c r="E4053" s="958"/>
      <c r="F4053" s="273"/>
      <c r="G4053" s="46"/>
    </row>
    <row r="4054" spans="1:11" ht="15" hidden="1" collapsed="1" thickBot="1">
      <c r="A4054" s="959"/>
      <c r="B4054" s="960"/>
      <c r="C4054" s="960"/>
      <c r="D4054" s="960"/>
      <c r="E4054" s="961"/>
      <c r="F4054" s="274"/>
      <c r="G4054" s="48"/>
    </row>
    <row r="4055" spans="1:11" s="7" customFormat="1" ht="15" hidden="1" thickBot="1">
      <c r="A4055" s="1063"/>
      <c r="B4055" s="1064"/>
      <c r="C4055" s="1064"/>
      <c r="D4055" s="1064"/>
      <c r="E4055" s="1064"/>
      <c r="F4055" s="1064"/>
      <c r="G4055" s="1065"/>
      <c r="H4055" s="49"/>
      <c r="I4055" s="49"/>
      <c r="J4055" s="49"/>
      <c r="K4055" s="49"/>
    </row>
    <row r="4056" spans="1:11" s="7" customFormat="1" ht="15" hidden="1" thickBot="1">
      <c r="A4056" s="1042"/>
      <c r="B4056" s="1045"/>
      <c r="C4056" s="1046"/>
      <c r="D4056" s="50"/>
      <c r="E4056" s="242"/>
      <c r="F4056" s="275"/>
      <c r="G4056" s="52"/>
      <c r="H4056" s="49"/>
      <c r="I4056" s="49"/>
      <c r="J4056" s="49"/>
      <c r="K4056" s="49"/>
    </row>
    <row r="4057" spans="1:11" s="7" customFormat="1" ht="15" hidden="1" thickBot="1">
      <c r="A4057" s="53"/>
      <c r="B4057" s="1066"/>
      <c r="C4057" s="1067"/>
      <c r="D4057" s="54"/>
      <c r="E4057" s="243"/>
      <c r="F4057" s="276"/>
      <c r="G4057" s="57"/>
      <c r="H4057" s="49"/>
      <c r="I4057" s="49"/>
      <c r="J4057" s="49"/>
      <c r="K4057" s="49"/>
    </row>
    <row r="4058" spans="1:11" s="7" customFormat="1" ht="15" hidden="1" thickBot="1">
      <c r="A4058" s="53"/>
      <c r="B4058" s="1066"/>
      <c r="C4058" s="1067"/>
      <c r="D4058" s="54"/>
      <c r="E4058" s="243"/>
      <c r="F4058" s="276"/>
      <c r="G4058" s="57"/>
      <c r="H4058" s="49"/>
      <c r="I4058" s="49"/>
      <c r="J4058" s="49"/>
      <c r="K4058" s="49"/>
    </row>
    <row r="4059" spans="1:11" s="7" customFormat="1" ht="15" hidden="1" thickBot="1">
      <c r="A4059" s="53"/>
      <c r="B4059" s="1066"/>
      <c r="C4059" s="1067"/>
      <c r="D4059" s="54"/>
      <c r="E4059" s="243"/>
      <c r="F4059" s="276"/>
      <c r="G4059" s="57"/>
      <c r="H4059" s="49"/>
      <c r="I4059" s="49"/>
      <c r="J4059" s="49"/>
      <c r="K4059" s="49"/>
    </row>
    <row r="4060" spans="1:11" s="7" customFormat="1" ht="15" hidden="1" thickBot="1">
      <c r="A4060" s="53"/>
      <c r="B4060" s="1066"/>
      <c r="C4060" s="1067"/>
      <c r="D4060" s="54"/>
      <c r="E4060" s="243"/>
      <c r="F4060" s="276"/>
      <c r="G4060" s="57"/>
      <c r="H4060" s="49"/>
      <c r="I4060" s="49"/>
      <c r="J4060" s="49"/>
      <c r="K4060" s="49"/>
    </row>
    <row r="4061" spans="1:11" s="7" customFormat="1" ht="15" hidden="1" thickBot="1">
      <c r="A4061" s="61"/>
      <c r="B4061" s="1068"/>
      <c r="C4061" s="1069"/>
      <c r="D4061" s="62"/>
      <c r="E4061" s="243"/>
      <c r="F4061" s="276"/>
      <c r="G4061" s="63"/>
      <c r="H4061" s="49"/>
      <c r="I4061" s="49"/>
      <c r="J4061" s="49"/>
      <c r="K4061" s="49"/>
    </row>
    <row r="4062" spans="1:11" s="7" customFormat="1" ht="15" hidden="1" thickBot="1">
      <c r="A4062" s="1070"/>
      <c r="B4062" s="1071"/>
      <c r="C4062" s="1071"/>
      <c r="D4062" s="1052"/>
      <c r="E4062" s="1052"/>
      <c r="F4062" s="1052"/>
      <c r="G4062" s="35"/>
      <c r="H4062" s="49"/>
      <c r="I4062" s="49"/>
      <c r="J4062" s="49"/>
      <c r="K4062" s="49"/>
    </row>
    <row r="4063" spans="1:11" s="7" customFormat="1" ht="15" hidden="1" thickBot="1">
      <c r="A4063" s="1042"/>
      <c r="B4063" s="1043"/>
      <c r="C4063" s="1043"/>
      <c r="D4063" s="1043"/>
      <c r="E4063" s="1043"/>
      <c r="F4063" s="1043"/>
      <c r="G4063" s="1044"/>
      <c r="H4063" s="49"/>
      <c r="I4063" s="49"/>
      <c r="J4063" s="49"/>
      <c r="K4063" s="49"/>
    </row>
    <row r="4064" spans="1:11" s="7" customFormat="1" ht="15" hidden="1" thickBot="1">
      <c r="A4064" s="1042"/>
      <c r="B4064" s="1045"/>
      <c r="C4064" s="1046"/>
      <c r="D4064" s="50"/>
      <c r="E4064" s="242"/>
      <c r="F4064" s="275"/>
      <c r="G4064" s="52"/>
      <c r="H4064" s="49"/>
      <c r="I4064" s="49"/>
      <c r="J4064" s="49"/>
      <c r="K4064" s="49"/>
    </row>
    <row r="4065" spans="1:11" s="7" customFormat="1" hidden="1">
      <c r="A4065" s="64"/>
      <c r="B4065" s="1066"/>
      <c r="C4065" s="1067"/>
      <c r="D4065" s="54"/>
      <c r="E4065" s="245"/>
      <c r="F4065" s="276"/>
      <c r="G4065" s="65"/>
      <c r="H4065" s="49"/>
      <c r="I4065" s="49"/>
      <c r="J4065" s="49"/>
      <c r="K4065" s="49"/>
    </row>
    <row r="4066" spans="1:11" s="7" customFormat="1" ht="15" hidden="1" thickBot="1">
      <c r="A4066" s="1072"/>
      <c r="B4066" s="1073"/>
      <c r="C4066" s="1074"/>
      <c r="D4066" s="1052"/>
      <c r="E4066" s="1052"/>
      <c r="F4066" s="1052"/>
      <c r="G4066" s="35"/>
      <c r="H4066" s="49"/>
      <c r="I4066" s="49"/>
      <c r="J4066" s="49"/>
      <c r="K4066" s="49"/>
    </row>
    <row r="4067" spans="1:11" s="7" customFormat="1" ht="15" hidden="1" thickBot="1">
      <c r="A4067" s="1042"/>
      <c r="B4067" s="1043"/>
      <c r="C4067" s="1043"/>
      <c r="D4067" s="1043"/>
      <c r="E4067" s="1043"/>
      <c r="F4067" s="1043"/>
      <c r="G4067" s="1044"/>
      <c r="H4067" s="49"/>
      <c r="I4067" s="49"/>
      <c r="J4067" s="49"/>
      <c r="K4067" s="49"/>
    </row>
    <row r="4068" spans="1:11" s="7" customFormat="1" ht="15" hidden="1" thickBot="1">
      <c r="A4068" s="1042"/>
      <c r="B4068" s="1045"/>
      <c r="C4068" s="1046"/>
      <c r="D4068" s="50"/>
      <c r="E4068" s="242"/>
      <c r="F4068" s="275"/>
      <c r="G4068" s="52"/>
      <c r="H4068" s="49"/>
      <c r="I4068" s="49"/>
      <c r="J4068" s="49"/>
      <c r="K4068" s="49"/>
    </row>
    <row r="4069" spans="1:11" s="7" customFormat="1" ht="15" hidden="1" thickBot="1">
      <c r="A4069" s="69"/>
      <c r="B4069" s="938"/>
      <c r="C4069" s="939"/>
      <c r="D4069" s="70"/>
      <c r="E4069" s="246"/>
      <c r="F4069" s="278"/>
      <c r="G4069" s="71"/>
      <c r="H4069" s="49"/>
      <c r="I4069" s="49"/>
      <c r="J4069" s="49"/>
      <c r="K4069" s="49"/>
    </row>
    <row r="4070" spans="1:11" s="7" customFormat="1" ht="15" hidden="1" thickBot="1">
      <c r="A4070" s="72"/>
      <c r="B4070" s="1047"/>
      <c r="C4070" s="1048"/>
      <c r="D4070" s="73"/>
      <c r="E4070" s="246"/>
      <c r="F4070" s="278"/>
      <c r="G4070" s="74"/>
      <c r="H4070" s="49"/>
      <c r="I4070" s="49"/>
      <c r="J4070" s="49"/>
      <c r="K4070" s="49"/>
    </row>
    <row r="4071" spans="1:11" s="7" customFormat="1" ht="15" hidden="1" thickBot="1">
      <c r="A4071" s="1049"/>
      <c r="B4071" s="1050"/>
      <c r="C4071" s="1051"/>
      <c r="D4071" s="1052"/>
      <c r="E4071" s="1052"/>
      <c r="F4071" s="1052"/>
      <c r="G4071" s="35"/>
      <c r="H4071" s="49"/>
      <c r="I4071" s="49"/>
      <c r="J4071" s="49"/>
      <c r="K4071" s="49"/>
    </row>
    <row r="4072" spans="1:11" s="7" customFormat="1" ht="15" hidden="1" thickBot="1">
      <c r="A4072" s="1042"/>
      <c r="B4072" s="1043"/>
      <c r="C4072" s="1043"/>
      <c r="D4072" s="1043"/>
      <c r="E4072" s="1043"/>
      <c r="F4072" s="1043"/>
      <c r="G4072" s="1044"/>
      <c r="H4072" s="49"/>
      <c r="I4072" s="49"/>
      <c r="J4072" s="49"/>
      <c r="K4072" s="49"/>
    </row>
    <row r="4073" spans="1:11" s="7" customFormat="1" ht="15" hidden="1" thickBot="1">
      <c r="A4073" s="1042"/>
      <c r="B4073" s="1045"/>
      <c r="C4073" s="1046"/>
      <c r="D4073" s="50"/>
      <c r="E4073" s="242"/>
      <c r="F4073" s="280"/>
      <c r="G4073" s="52"/>
      <c r="H4073" s="49"/>
      <c r="I4073" s="49"/>
      <c r="J4073" s="49"/>
      <c r="K4073" s="49"/>
    </row>
    <row r="4074" spans="1:11" s="7" customFormat="1" ht="15" hidden="1" thickBot="1">
      <c r="A4074" s="69"/>
      <c r="B4074" s="1053"/>
      <c r="C4074" s="1054"/>
      <c r="D4074" s="70"/>
      <c r="E4074" s="243"/>
      <c r="F4074" s="281"/>
      <c r="G4074" s="71"/>
      <c r="H4074" s="49"/>
      <c r="I4074" s="49"/>
      <c r="J4074" s="49"/>
      <c r="K4074" s="49"/>
    </row>
    <row r="4075" spans="1:11" s="7" customFormat="1" ht="15" hidden="1" thickBot="1">
      <c r="A4075" s="69"/>
      <c r="B4075" s="1053"/>
      <c r="C4075" s="1054"/>
      <c r="D4075" s="70"/>
      <c r="E4075" s="243"/>
      <c r="F4075" s="281"/>
      <c r="G4075" s="71"/>
      <c r="H4075" s="49"/>
      <c r="I4075" s="49"/>
      <c r="J4075" s="49"/>
      <c r="K4075" s="49"/>
    </row>
    <row r="4076" spans="1:11" s="7" customFormat="1" hidden="1">
      <c r="A4076" s="76"/>
      <c r="B4076" s="1053"/>
      <c r="C4076" s="1054"/>
      <c r="D4076" s="70"/>
      <c r="E4076" s="248"/>
      <c r="F4076" s="282"/>
      <c r="G4076" s="71"/>
      <c r="H4076" s="49"/>
      <c r="I4076" s="49"/>
      <c r="J4076" s="49"/>
      <c r="K4076" s="49"/>
    </row>
    <row r="4077" spans="1:11" s="7" customFormat="1" ht="15" hidden="1" thickBot="1">
      <c r="A4077" s="1055"/>
      <c r="B4077" s="1056"/>
      <c r="C4077" s="1057"/>
      <c r="D4077" s="1058"/>
      <c r="E4077" s="1058"/>
      <c r="F4077" s="1058"/>
      <c r="G4077" s="36"/>
      <c r="H4077" s="49"/>
      <c r="I4077" s="49"/>
      <c r="J4077" s="49"/>
      <c r="K4077" s="49"/>
    </row>
    <row r="4078" spans="1:11" s="7" customFormat="1" ht="15" hidden="1" thickBot="1">
      <c r="A4078" s="1059"/>
      <c r="B4078" s="1059"/>
      <c r="C4078" s="1060"/>
      <c r="D4078" s="1061"/>
      <c r="E4078" s="1062"/>
      <c r="F4078" s="1062"/>
      <c r="G4078" s="78"/>
      <c r="H4078" s="49"/>
      <c r="I4078" s="49"/>
      <c r="J4078" s="49"/>
      <c r="K4078" s="49"/>
    </row>
    <row r="4079" spans="1:11" hidden="1">
      <c r="A4079" s="80"/>
      <c r="B4079" s="81"/>
      <c r="C4079" s="81"/>
      <c r="D4079" s="81"/>
      <c r="E4079" s="241"/>
      <c r="F4079" s="271"/>
      <c r="G4079" s="81"/>
    </row>
    <row r="4080" spans="1:11" ht="15" hidden="1" thickBot="1">
      <c r="A4080" s="83"/>
      <c r="B4080" s="84"/>
      <c r="C4080" s="84"/>
      <c r="D4080" s="85"/>
      <c r="E4080" s="249"/>
      <c r="F4080" s="291"/>
      <c r="G4080" s="86"/>
    </row>
    <row r="4081" spans="1:11" ht="15" hidden="1" thickBot="1">
      <c r="A4081" s="1006"/>
      <c r="B4081" s="1007"/>
      <c r="C4081" s="1007"/>
      <c r="D4081" s="1007"/>
      <c r="E4081" s="1007"/>
      <c r="F4081" s="272"/>
      <c r="G4081" s="43"/>
    </row>
    <row r="4082" spans="1:11" ht="15" hidden="1" customHeight="1" thickBot="1">
      <c r="A4082" s="953"/>
      <c r="B4082" s="954"/>
      <c r="C4082" s="954"/>
      <c r="D4082" s="954"/>
      <c r="E4082" s="955"/>
      <c r="F4082" s="273"/>
      <c r="G4082" s="45"/>
    </row>
    <row r="4083" spans="1:11" ht="22.5" hidden="1" customHeight="1" thickBot="1">
      <c r="A4083" s="956"/>
      <c r="B4083" s="957"/>
      <c r="C4083" s="957"/>
      <c r="D4083" s="957"/>
      <c r="E4083" s="958"/>
      <c r="F4083" s="273"/>
      <c r="G4083" s="46"/>
    </row>
    <row r="4084" spans="1:11" ht="15" hidden="1" collapsed="1" thickBot="1">
      <c r="A4084" s="959"/>
      <c r="B4084" s="960"/>
      <c r="C4084" s="960"/>
      <c r="D4084" s="960"/>
      <c r="E4084" s="961"/>
      <c r="F4084" s="274"/>
      <c r="G4084" s="48"/>
    </row>
    <row r="4085" spans="1:11" ht="15" hidden="1" thickBot="1">
      <c r="A4085" s="909"/>
      <c r="B4085" s="1009"/>
      <c r="C4085" s="1009"/>
      <c r="D4085" s="1009"/>
      <c r="E4085" s="1009"/>
      <c r="F4085" s="1009"/>
      <c r="G4085" s="1011"/>
    </row>
    <row r="4086" spans="1:11" ht="15" hidden="1" thickBot="1">
      <c r="A4086" s="1002"/>
      <c r="B4086" s="913"/>
      <c r="C4086" s="914"/>
      <c r="D4086" s="95"/>
      <c r="E4086" s="242"/>
      <c r="F4086" s="292"/>
      <c r="G4086" s="113"/>
    </row>
    <row r="4087" spans="1:11" ht="15" hidden="1" thickBot="1">
      <c r="A4087" s="114"/>
      <c r="B4087" s="930"/>
      <c r="C4087" s="931"/>
      <c r="D4087" s="88"/>
      <c r="E4087" s="243"/>
      <c r="F4087" s="293"/>
      <c r="G4087" s="117"/>
    </row>
    <row r="4088" spans="1:11" ht="15" hidden="1" thickBot="1">
      <c r="A4088" s="118"/>
      <c r="B4088" s="1099"/>
      <c r="C4088" s="1100"/>
      <c r="D4088" s="233"/>
      <c r="E4088" s="267"/>
      <c r="F4088" s="312"/>
      <c r="G4088" s="121"/>
    </row>
    <row r="4089" spans="1:11" ht="15" hidden="1" thickBot="1">
      <c r="A4089" s="1014"/>
      <c r="B4089" s="995"/>
      <c r="C4089" s="995"/>
      <c r="D4089" s="981"/>
      <c r="E4089" s="981"/>
      <c r="F4089" s="981"/>
      <c r="G4089" s="11"/>
    </row>
    <row r="4090" spans="1:11" ht="18.75" hidden="1" customHeight="1" thickBot="1">
      <c r="A4090" s="1002"/>
      <c r="B4090" s="983"/>
      <c r="C4090" s="983"/>
      <c r="D4090" s="983"/>
      <c r="E4090" s="983"/>
      <c r="F4090" s="983"/>
      <c r="G4090" s="1003"/>
    </row>
    <row r="4091" spans="1:11" s="7" customFormat="1" ht="13.5" hidden="1" thickBot="1">
      <c r="A4091" s="1002"/>
      <c r="B4091" s="913"/>
      <c r="C4091" s="914"/>
      <c r="D4091" s="95"/>
      <c r="E4091" s="242"/>
      <c r="F4091" s="292"/>
      <c r="G4091" s="113"/>
    </row>
    <row r="4092" spans="1:11" ht="15" hidden="1" thickBot="1">
      <c r="A4092" s="122"/>
      <c r="B4092" s="930"/>
      <c r="C4092" s="931"/>
      <c r="D4092" s="88"/>
      <c r="E4092" s="243"/>
      <c r="F4092" s="293"/>
      <c r="G4092" s="117"/>
    </row>
    <row r="4093" spans="1:11" ht="15" hidden="1" thickBot="1">
      <c r="A4093" s="123"/>
      <c r="B4093" s="976"/>
      <c r="C4093" s="977"/>
      <c r="D4093" s="88"/>
      <c r="E4093" s="243"/>
      <c r="F4093" s="293"/>
      <c r="G4093" s="124"/>
    </row>
    <row r="4094" spans="1:11" ht="17.25" hidden="1" customHeight="1" thickBot="1">
      <c r="A4094" s="1017"/>
      <c r="B4094" s="997"/>
      <c r="C4094" s="998"/>
      <c r="D4094" s="981"/>
      <c r="E4094" s="981"/>
      <c r="F4094" s="981"/>
      <c r="G4094" s="11"/>
      <c r="J4094" s="125"/>
      <c r="K4094" s="126"/>
    </row>
    <row r="4095" spans="1:11" ht="15" hidden="1" thickBot="1">
      <c r="A4095" s="1002"/>
      <c r="B4095" s="983"/>
      <c r="C4095" s="983"/>
      <c r="D4095" s="983"/>
      <c r="E4095" s="983"/>
      <c r="F4095" s="983"/>
      <c r="G4095" s="1003"/>
    </row>
    <row r="4096" spans="1:11" ht="15" hidden="1" thickBot="1">
      <c r="A4096" s="1002"/>
      <c r="B4096" s="913"/>
      <c r="C4096" s="914"/>
      <c r="D4096" s="95"/>
      <c r="E4096" s="242"/>
      <c r="F4096" s="286"/>
      <c r="G4096" s="113"/>
    </row>
    <row r="4097" spans="1:7" ht="27.75" hidden="1" customHeight="1">
      <c r="A4097" s="127"/>
      <c r="B4097" s="999"/>
      <c r="C4097" s="1000"/>
      <c r="D4097" s="128"/>
      <c r="E4097" s="246"/>
      <c r="F4097" s="295"/>
      <c r="G4097" s="129"/>
    </row>
    <row r="4098" spans="1:7" ht="15" hidden="1" thickBot="1">
      <c r="A4098" s="130"/>
      <c r="B4098" s="942"/>
      <c r="C4098" s="943"/>
      <c r="D4098" s="104"/>
      <c r="E4098" s="247"/>
      <c r="F4098" s="288"/>
      <c r="G4098" s="131"/>
    </row>
    <row r="4099" spans="1:7" ht="15" hidden="1" thickBot="1">
      <c r="A4099" s="1001"/>
      <c r="B4099" s="979"/>
      <c r="C4099" s="980"/>
      <c r="D4099" s="981"/>
      <c r="E4099" s="981"/>
      <c r="F4099" s="981"/>
      <c r="G4099" s="11"/>
    </row>
    <row r="4100" spans="1:7" ht="15" hidden="1" thickBot="1">
      <c r="A4100" s="1002"/>
      <c r="B4100" s="983"/>
      <c r="C4100" s="983"/>
      <c r="D4100" s="983"/>
      <c r="E4100" s="983"/>
      <c r="F4100" s="983"/>
      <c r="G4100" s="1003"/>
    </row>
    <row r="4101" spans="1:7" ht="15" hidden="1" thickBot="1">
      <c r="A4101" s="1002"/>
      <c r="B4101" s="913"/>
      <c r="C4101" s="914"/>
      <c r="D4101" s="95"/>
      <c r="E4101" s="242"/>
      <c r="F4101" s="289"/>
      <c r="G4101" s="113"/>
    </row>
    <row r="4102" spans="1:7" ht="15" hidden="1" thickBot="1">
      <c r="A4102" s="127"/>
      <c r="B4102" s="1075"/>
      <c r="C4102" s="1076"/>
      <c r="D4102" s="128"/>
      <c r="E4102" s="246"/>
      <c r="F4102" s="295"/>
      <c r="G4102" s="129"/>
    </row>
    <row r="4103" spans="1:7" hidden="1">
      <c r="A4103" s="132"/>
      <c r="B4103" s="133"/>
      <c r="C4103" s="134"/>
      <c r="D4103" s="135"/>
      <c r="E4103" s="248"/>
      <c r="F4103" s="296"/>
      <c r="G4103" s="129"/>
    </row>
    <row r="4104" spans="1:7" ht="15" hidden="1" thickBot="1">
      <c r="A4104" s="1004"/>
      <c r="B4104" s="988"/>
      <c r="C4104" s="989"/>
      <c r="D4104" s="990"/>
      <c r="E4104" s="990"/>
      <c r="F4104" s="990"/>
      <c r="G4104" s="12"/>
    </row>
    <row r="4105" spans="1:7" ht="15" hidden="1" thickBot="1">
      <c r="A4105" s="1005"/>
      <c r="B4105" s="1005"/>
      <c r="C4105" s="921"/>
      <c r="D4105" s="1041"/>
      <c r="E4105" s="1041"/>
      <c r="F4105" s="1041"/>
      <c r="G4105" s="137"/>
    </row>
    <row r="4106" spans="1:7" hidden="1">
      <c r="A4106" s="83"/>
      <c r="B4106" s="84"/>
      <c r="C4106" s="84"/>
      <c r="D4106" s="85"/>
      <c r="E4106" s="249"/>
      <c r="F4106" s="291"/>
      <c r="G4106" s="86"/>
    </row>
    <row r="4107" spans="1:7" ht="15" hidden="1" thickBot="1">
      <c r="A4107" s="83"/>
      <c r="B4107" s="84"/>
      <c r="C4107" s="84"/>
      <c r="D4107" s="85"/>
      <c r="E4107" s="249"/>
      <c r="F4107" s="291"/>
      <c r="G4107" s="86"/>
    </row>
    <row r="4108" spans="1:7" ht="15" hidden="1" thickBot="1">
      <c r="A4108" s="1006"/>
      <c r="B4108" s="1007"/>
      <c r="C4108" s="1007"/>
      <c r="D4108" s="1007"/>
      <c r="E4108" s="1007"/>
      <c r="F4108" s="272"/>
      <c r="G4108" s="43"/>
    </row>
    <row r="4109" spans="1:7" ht="15" hidden="1" customHeight="1" thickBot="1">
      <c r="A4109" s="953"/>
      <c r="B4109" s="954"/>
      <c r="C4109" s="954"/>
      <c r="D4109" s="954"/>
      <c r="E4109" s="955"/>
      <c r="F4109" s="273"/>
      <c r="G4109" s="45"/>
    </row>
    <row r="4110" spans="1:7" ht="22.5" hidden="1" customHeight="1" thickBot="1">
      <c r="A4110" s="956"/>
      <c r="B4110" s="957"/>
      <c r="C4110" s="957"/>
      <c r="D4110" s="957"/>
      <c r="E4110" s="958"/>
      <c r="F4110" s="273"/>
      <c r="G4110" s="46"/>
    </row>
    <row r="4111" spans="1:7" ht="15" hidden="1" collapsed="1" thickBot="1">
      <c r="A4111" s="959"/>
      <c r="B4111" s="960"/>
      <c r="C4111" s="960"/>
      <c r="D4111" s="960"/>
      <c r="E4111" s="961"/>
      <c r="F4111" s="274"/>
      <c r="G4111" s="48"/>
    </row>
    <row r="4112" spans="1:7" ht="15" hidden="1" thickBot="1">
      <c r="A4112" s="909"/>
      <c r="B4112" s="1009"/>
      <c r="C4112" s="1009"/>
      <c r="D4112" s="1009"/>
      <c r="E4112" s="1009"/>
      <c r="F4112" s="1009"/>
      <c r="G4112" s="1011"/>
    </row>
    <row r="4113" spans="1:11" ht="15" hidden="1" thickBot="1">
      <c r="A4113" s="1002"/>
      <c r="B4113" s="913"/>
      <c r="C4113" s="914"/>
      <c r="D4113" s="95"/>
      <c r="E4113" s="242"/>
      <c r="F4113" s="292"/>
      <c r="G4113" s="113"/>
    </row>
    <row r="4114" spans="1:11" ht="15" hidden="1" thickBot="1">
      <c r="A4114" s="114"/>
      <c r="B4114" s="930"/>
      <c r="C4114" s="931"/>
      <c r="D4114" s="88"/>
      <c r="E4114" s="243"/>
      <c r="F4114" s="293"/>
      <c r="G4114" s="117"/>
    </row>
    <row r="4115" spans="1:11" ht="15" hidden="1" thickBot="1">
      <c r="A4115" s="118"/>
      <c r="B4115" s="1012"/>
      <c r="C4115" s="1013"/>
      <c r="D4115" s="119"/>
      <c r="E4115" s="243"/>
      <c r="F4115" s="293"/>
      <c r="G4115" s="121"/>
    </row>
    <row r="4116" spans="1:11" ht="15" hidden="1" thickBot="1">
      <c r="A4116" s="1014"/>
      <c r="B4116" s="995"/>
      <c r="C4116" s="995"/>
      <c r="D4116" s="981"/>
      <c r="E4116" s="981"/>
      <c r="F4116" s="981"/>
      <c r="G4116" s="11"/>
    </row>
    <row r="4117" spans="1:11" ht="18.75" hidden="1" customHeight="1" thickBot="1">
      <c r="A4117" s="1002"/>
      <c r="B4117" s="983"/>
      <c r="C4117" s="983"/>
      <c r="D4117" s="983"/>
      <c r="E4117" s="983"/>
      <c r="F4117" s="983"/>
      <c r="G4117" s="1003"/>
    </row>
    <row r="4118" spans="1:11" s="7" customFormat="1" ht="13.5" hidden="1" thickBot="1">
      <c r="A4118" s="1002"/>
      <c r="B4118" s="913"/>
      <c r="C4118" s="914"/>
      <c r="D4118" s="95"/>
      <c r="E4118" s="242"/>
      <c r="F4118" s="292"/>
      <c r="G4118" s="113"/>
    </row>
    <row r="4119" spans="1:11" ht="15" hidden="1" thickBot="1">
      <c r="A4119" s="122"/>
      <c r="B4119" s="930"/>
      <c r="C4119" s="931"/>
      <c r="D4119" s="88"/>
      <c r="E4119" s="243"/>
      <c r="F4119" s="293"/>
      <c r="G4119" s="117"/>
    </row>
    <row r="4120" spans="1:11" ht="15" hidden="1" thickBot="1">
      <c r="A4120" s="123"/>
      <c r="B4120" s="976"/>
      <c r="C4120" s="977"/>
      <c r="D4120" s="88"/>
      <c r="E4120" s="243"/>
      <c r="F4120" s="293"/>
      <c r="G4120" s="124"/>
    </row>
    <row r="4121" spans="1:11" ht="17.25" hidden="1" customHeight="1" thickBot="1">
      <c r="A4121" s="1017"/>
      <c r="B4121" s="997"/>
      <c r="C4121" s="998"/>
      <c r="D4121" s="981"/>
      <c r="E4121" s="981"/>
      <c r="F4121" s="981"/>
      <c r="G4121" s="11"/>
      <c r="J4121" s="125"/>
      <c r="K4121" s="126"/>
    </row>
    <row r="4122" spans="1:11" ht="15" hidden="1" thickBot="1">
      <c r="A4122" s="1002"/>
      <c r="B4122" s="983"/>
      <c r="C4122" s="983"/>
      <c r="D4122" s="983"/>
      <c r="E4122" s="983"/>
      <c r="F4122" s="983"/>
      <c r="G4122" s="1003"/>
    </row>
    <row r="4123" spans="1:11" ht="15" hidden="1" thickBot="1">
      <c r="A4123" s="1002"/>
      <c r="B4123" s="913"/>
      <c r="C4123" s="914"/>
      <c r="D4123" s="95"/>
      <c r="E4123" s="242"/>
      <c r="F4123" s="286"/>
      <c r="G4123" s="113"/>
    </row>
    <row r="4124" spans="1:11" ht="27.75" hidden="1" customHeight="1">
      <c r="A4124" s="127"/>
      <c r="B4124" s="999"/>
      <c r="C4124" s="1000"/>
      <c r="D4124" s="128"/>
      <c r="E4124" s="246"/>
      <c r="F4124" s="295"/>
      <c r="G4124" s="129"/>
    </row>
    <row r="4125" spans="1:11" ht="15" hidden="1" thickBot="1">
      <c r="A4125" s="130"/>
      <c r="B4125" s="942"/>
      <c r="C4125" s="943"/>
      <c r="D4125" s="104"/>
      <c r="E4125" s="247"/>
      <c r="F4125" s="288"/>
      <c r="G4125" s="131"/>
    </row>
    <row r="4126" spans="1:11" ht="15" hidden="1" thickBot="1">
      <c r="A4126" s="1001"/>
      <c r="B4126" s="979"/>
      <c r="C4126" s="980"/>
      <c r="D4126" s="981"/>
      <c r="E4126" s="981"/>
      <c r="F4126" s="981"/>
      <c r="G4126" s="11"/>
    </row>
    <row r="4127" spans="1:11" ht="15" hidden="1" thickBot="1">
      <c r="A4127" s="1002"/>
      <c r="B4127" s="983"/>
      <c r="C4127" s="983"/>
      <c r="D4127" s="983"/>
      <c r="E4127" s="983"/>
      <c r="F4127" s="983"/>
      <c r="G4127" s="1003"/>
    </row>
    <row r="4128" spans="1:11" ht="15" hidden="1" thickBot="1">
      <c r="A4128" s="1002"/>
      <c r="B4128" s="913"/>
      <c r="C4128" s="914"/>
      <c r="D4128" s="95"/>
      <c r="E4128" s="242"/>
      <c r="F4128" s="289"/>
      <c r="G4128" s="113"/>
    </row>
    <row r="4129" spans="1:7" ht="15" hidden="1" thickBot="1">
      <c r="A4129" s="127"/>
      <c r="B4129" s="1075"/>
      <c r="C4129" s="1076"/>
      <c r="D4129" s="128"/>
      <c r="E4129" s="243"/>
      <c r="F4129" s="295"/>
      <c r="G4129" s="129"/>
    </row>
    <row r="4130" spans="1:7" hidden="1">
      <c r="A4130" s="132"/>
      <c r="B4130" s="133"/>
      <c r="C4130" s="134"/>
      <c r="D4130" s="135"/>
      <c r="E4130" s="248"/>
      <c r="F4130" s="296"/>
      <c r="G4130" s="129"/>
    </row>
    <row r="4131" spans="1:7" ht="15" hidden="1" thickBot="1">
      <c r="A4131" s="1004"/>
      <c r="B4131" s="988"/>
      <c r="C4131" s="989"/>
      <c r="D4131" s="990"/>
      <c r="E4131" s="990"/>
      <c r="F4131" s="990"/>
      <c r="G4131" s="12"/>
    </row>
    <row r="4132" spans="1:7" ht="15" hidden="1" thickBot="1">
      <c r="A4132" s="1005"/>
      <c r="B4132" s="1005"/>
      <c r="C4132" s="921"/>
      <c r="D4132" s="1041"/>
      <c r="E4132" s="1041"/>
      <c r="F4132" s="1041"/>
      <c r="G4132" s="137"/>
    </row>
    <row r="4133" spans="1:7" hidden="1">
      <c r="A4133" s="80"/>
      <c r="B4133" s="81"/>
      <c r="C4133" s="81"/>
      <c r="D4133" s="81"/>
      <c r="E4133" s="241"/>
      <c r="F4133" s="271"/>
      <c r="G4133" s="81"/>
    </row>
    <row r="4134" spans="1:7" ht="15" hidden="1" thickBot="1">
      <c r="A4134" s="83"/>
      <c r="B4134" s="84"/>
      <c r="C4134" s="84"/>
      <c r="D4134" s="85"/>
      <c r="E4134" s="249"/>
      <c r="F4134" s="291"/>
      <c r="G4134" s="86"/>
    </row>
    <row r="4135" spans="1:7" ht="15" hidden="1" thickBot="1">
      <c r="A4135" s="1006"/>
      <c r="B4135" s="1007"/>
      <c r="C4135" s="1007"/>
      <c r="D4135" s="1007"/>
      <c r="E4135" s="1007"/>
      <c r="F4135" s="272"/>
      <c r="G4135" s="43"/>
    </row>
    <row r="4136" spans="1:7" ht="15" hidden="1" customHeight="1" thickBot="1">
      <c r="A4136" s="953"/>
      <c r="B4136" s="954"/>
      <c r="C4136" s="954"/>
      <c r="D4136" s="954"/>
      <c r="E4136" s="955"/>
      <c r="F4136" s="273"/>
      <c r="G4136" s="45"/>
    </row>
    <row r="4137" spans="1:7" ht="22.5" hidden="1" customHeight="1" thickBot="1">
      <c r="A4137" s="956"/>
      <c r="B4137" s="957"/>
      <c r="C4137" s="957"/>
      <c r="D4137" s="957"/>
      <c r="E4137" s="958"/>
      <c r="F4137" s="273"/>
      <c r="G4137" s="46"/>
    </row>
    <row r="4138" spans="1:7" ht="15" hidden="1" collapsed="1" thickBot="1">
      <c r="A4138" s="959"/>
      <c r="B4138" s="960"/>
      <c r="C4138" s="960"/>
      <c r="D4138" s="960"/>
      <c r="E4138" s="961"/>
      <c r="F4138" s="274"/>
      <c r="G4138" s="48"/>
    </row>
    <row r="4139" spans="1:7" ht="15" hidden="1" thickBot="1">
      <c r="A4139" s="909"/>
      <c r="B4139" s="1009"/>
      <c r="C4139" s="1009"/>
      <c r="D4139" s="1009"/>
      <c r="E4139" s="1009"/>
      <c r="F4139" s="1009"/>
      <c r="G4139" s="1011"/>
    </row>
    <row r="4140" spans="1:7" ht="15" hidden="1" thickBot="1">
      <c r="A4140" s="1002"/>
      <c r="B4140" s="913"/>
      <c r="C4140" s="914"/>
      <c r="D4140" s="95"/>
      <c r="E4140" s="242"/>
      <c r="F4140" s="292"/>
      <c r="G4140" s="113"/>
    </row>
    <row r="4141" spans="1:7" ht="15" hidden="1" thickBot="1">
      <c r="A4141" s="114"/>
      <c r="B4141" s="930"/>
      <c r="C4141" s="931"/>
      <c r="D4141" s="88"/>
      <c r="E4141" s="243"/>
      <c r="F4141" s="293"/>
      <c r="G4141" s="117"/>
    </row>
    <row r="4142" spans="1:7" ht="15" hidden="1" thickBot="1">
      <c r="A4142" s="118"/>
      <c r="B4142" s="1012"/>
      <c r="C4142" s="1013"/>
      <c r="D4142" s="119"/>
      <c r="E4142" s="243"/>
      <c r="F4142" s="293"/>
      <c r="G4142" s="121"/>
    </row>
    <row r="4143" spans="1:7" ht="15" hidden="1" thickBot="1">
      <c r="A4143" s="1014"/>
      <c r="B4143" s="995"/>
      <c r="C4143" s="995"/>
      <c r="D4143" s="981"/>
      <c r="E4143" s="981"/>
      <c r="F4143" s="981"/>
      <c r="G4143" s="11"/>
    </row>
    <row r="4144" spans="1:7" ht="18.75" hidden="1" customHeight="1" thickBot="1">
      <c r="A4144" s="1002"/>
      <c r="B4144" s="983"/>
      <c r="C4144" s="983"/>
      <c r="D4144" s="983"/>
      <c r="E4144" s="983"/>
      <c r="F4144" s="983"/>
      <c r="G4144" s="1003"/>
    </row>
    <row r="4145" spans="1:11" s="7" customFormat="1" ht="13.5" hidden="1" thickBot="1">
      <c r="A4145" s="1002"/>
      <c r="B4145" s="913"/>
      <c r="C4145" s="914"/>
      <c r="D4145" s="95"/>
      <c r="E4145" s="242"/>
      <c r="F4145" s="292"/>
      <c r="G4145" s="113"/>
    </row>
    <row r="4146" spans="1:11" ht="15" hidden="1" thickBot="1">
      <c r="A4146" s="122"/>
      <c r="B4146" s="930"/>
      <c r="C4146" s="931"/>
      <c r="D4146" s="88"/>
      <c r="E4146" s="243"/>
      <c r="F4146" s="293"/>
      <c r="G4146" s="117"/>
    </row>
    <row r="4147" spans="1:11" ht="15" hidden="1" thickBot="1">
      <c r="A4147" s="123"/>
      <c r="B4147" s="976"/>
      <c r="C4147" s="977"/>
      <c r="D4147" s="88"/>
      <c r="E4147" s="243"/>
      <c r="F4147" s="293"/>
      <c r="G4147" s="124"/>
    </row>
    <row r="4148" spans="1:11" ht="17.25" hidden="1" customHeight="1" thickBot="1">
      <c r="A4148" s="1017"/>
      <c r="B4148" s="997"/>
      <c r="C4148" s="998"/>
      <c r="D4148" s="981"/>
      <c r="E4148" s="981"/>
      <c r="F4148" s="981"/>
      <c r="G4148" s="11"/>
      <c r="J4148" s="125"/>
      <c r="K4148" s="126"/>
    </row>
    <row r="4149" spans="1:11" ht="15" hidden="1" thickBot="1">
      <c r="A4149" s="1002"/>
      <c r="B4149" s="983"/>
      <c r="C4149" s="983"/>
      <c r="D4149" s="983"/>
      <c r="E4149" s="983"/>
      <c r="F4149" s="983"/>
      <c r="G4149" s="1003"/>
    </row>
    <row r="4150" spans="1:11" ht="15" hidden="1" thickBot="1">
      <c r="A4150" s="1002"/>
      <c r="B4150" s="913"/>
      <c r="C4150" s="914"/>
      <c r="D4150" s="95"/>
      <c r="E4150" s="242"/>
      <c r="F4150" s="286"/>
      <c r="G4150" s="113"/>
    </row>
    <row r="4151" spans="1:11" ht="27.75" hidden="1" customHeight="1">
      <c r="A4151" s="127"/>
      <c r="B4151" s="999"/>
      <c r="C4151" s="1000"/>
      <c r="D4151" s="128"/>
      <c r="E4151" s="246"/>
      <c r="F4151" s="295"/>
      <c r="G4151" s="129"/>
    </row>
    <row r="4152" spans="1:11" ht="15" hidden="1" thickBot="1">
      <c r="A4152" s="130"/>
      <c r="B4152" s="942"/>
      <c r="C4152" s="943"/>
      <c r="D4152" s="104"/>
      <c r="E4152" s="247"/>
      <c r="F4152" s="288"/>
      <c r="G4152" s="131"/>
    </row>
    <row r="4153" spans="1:11" ht="15" hidden="1" thickBot="1">
      <c r="A4153" s="1001"/>
      <c r="B4153" s="979"/>
      <c r="C4153" s="980"/>
      <c r="D4153" s="981"/>
      <c r="E4153" s="981"/>
      <c r="F4153" s="981"/>
      <c r="G4153" s="11"/>
    </row>
    <row r="4154" spans="1:11" ht="15" hidden="1" thickBot="1">
      <c r="A4154" s="1002"/>
      <c r="B4154" s="983"/>
      <c r="C4154" s="983"/>
      <c r="D4154" s="983"/>
      <c r="E4154" s="983"/>
      <c r="F4154" s="983"/>
      <c r="G4154" s="1003"/>
    </row>
    <row r="4155" spans="1:11" ht="15" hidden="1" thickBot="1">
      <c r="A4155" s="1002"/>
      <c r="B4155" s="913"/>
      <c r="C4155" s="914"/>
      <c r="D4155" s="95"/>
      <c r="E4155" s="242"/>
      <c r="F4155" s="289"/>
      <c r="G4155" s="113"/>
    </row>
    <row r="4156" spans="1:11" ht="15" hidden="1" thickBot="1">
      <c r="A4156" s="127"/>
      <c r="B4156" s="1075"/>
      <c r="C4156" s="1076"/>
      <c r="D4156" s="128"/>
      <c r="E4156" s="243"/>
      <c r="F4156" s="295"/>
      <c r="G4156" s="129"/>
    </row>
    <row r="4157" spans="1:11" hidden="1">
      <c r="A4157" s="132"/>
      <c r="B4157" s="133"/>
      <c r="C4157" s="134"/>
      <c r="D4157" s="135"/>
      <c r="E4157" s="248"/>
      <c r="F4157" s="296"/>
      <c r="G4157" s="129"/>
    </row>
    <row r="4158" spans="1:11" ht="15" hidden="1" thickBot="1">
      <c r="A4158" s="1004"/>
      <c r="B4158" s="988"/>
      <c r="C4158" s="989"/>
      <c r="D4158" s="990"/>
      <c r="E4158" s="990"/>
      <c r="F4158" s="990"/>
      <c r="G4158" s="12"/>
    </row>
    <row r="4159" spans="1:11" ht="15" hidden="1" thickBot="1">
      <c r="A4159" s="1005"/>
      <c r="B4159" s="1005"/>
      <c r="C4159" s="921"/>
      <c r="D4159" s="1041"/>
      <c r="E4159" s="1041"/>
      <c r="F4159" s="1041"/>
      <c r="G4159" s="137"/>
    </row>
    <row r="4160" spans="1:11" hidden="1">
      <c r="A4160" s="80"/>
      <c r="B4160" s="81"/>
      <c r="C4160" s="81"/>
      <c r="D4160" s="81"/>
      <c r="E4160" s="241"/>
      <c r="F4160" s="271"/>
      <c r="G4160" s="81"/>
    </row>
    <row r="4161" spans="1:11" ht="15" hidden="1" thickBot="1">
      <c r="A4161" s="83"/>
      <c r="B4161" s="84"/>
      <c r="C4161" s="84"/>
      <c r="D4161" s="85"/>
      <c r="E4161" s="249"/>
      <c r="F4161" s="291"/>
      <c r="G4161" s="86"/>
    </row>
    <row r="4162" spans="1:11" ht="15" hidden="1" thickBot="1">
      <c r="A4162" s="1006"/>
      <c r="B4162" s="1007"/>
      <c r="C4162" s="1007"/>
      <c r="D4162" s="1007"/>
      <c r="E4162" s="1007"/>
      <c r="F4162" s="272"/>
      <c r="G4162" s="43"/>
    </row>
    <row r="4163" spans="1:11" ht="15" hidden="1" customHeight="1" thickBot="1">
      <c r="A4163" s="953"/>
      <c r="B4163" s="954"/>
      <c r="C4163" s="954"/>
      <c r="D4163" s="954"/>
      <c r="E4163" s="955"/>
      <c r="F4163" s="273"/>
      <c r="G4163" s="45"/>
    </row>
    <row r="4164" spans="1:11" ht="22.5" hidden="1" customHeight="1" thickBot="1">
      <c r="A4164" s="956"/>
      <c r="B4164" s="957"/>
      <c r="C4164" s="957"/>
      <c r="D4164" s="957"/>
      <c r="E4164" s="958"/>
      <c r="F4164" s="273"/>
      <c r="G4164" s="46"/>
    </row>
    <row r="4165" spans="1:11" ht="15" hidden="1" collapsed="1" thickBot="1">
      <c r="A4165" s="959"/>
      <c r="B4165" s="960"/>
      <c r="C4165" s="960"/>
      <c r="D4165" s="960"/>
      <c r="E4165" s="961"/>
      <c r="F4165" s="274"/>
      <c r="G4165" s="48"/>
    </row>
    <row r="4166" spans="1:11" ht="15" hidden="1" thickBot="1">
      <c r="A4166" s="909"/>
      <c r="B4166" s="1009"/>
      <c r="C4166" s="1009"/>
      <c r="D4166" s="1009"/>
      <c r="E4166" s="1009"/>
      <c r="F4166" s="1009"/>
      <c r="G4166" s="1011"/>
    </row>
    <row r="4167" spans="1:11" ht="15" hidden="1" thickBot="1">
      <c r="A4167" s="1002"/>
      <c r="B4167" s="913"/>
      <c r="C4167" s="914"/>
      <c r="D4167" s="95"/>
      <c r="E4167" s="242"/>
      <c r="F4167" s="292"/>
      <c r="G4167" s="113"/>
    </row>
    <row r="4168" spans="1:11" ht="15" hidden="1" thickBot="1">
      <c r="A4168" s="114"/>
      <c r="B4168" s="930"/>
      <c r="C4168" s="931"/>
      <c r="D4168" s="88"/>
      <c r="E4168" s="243"/>
      <c r="F4168" s="293"/>
      <c r="G4168" s="117"/>
    </row>
    <row r="4169" spans="1:11" ht="15" hidden="1" thickBot="1">
      <c r="A4169" s="118"/>
      <c r="B4169" s="1012"/>
      <c r="C4169" s="1013"/>
      <c r="D4169" s="119"/>
      <c r="E4169" s="243"/>
      <c r="F4169" s="293"/>
      <c r="G4169" s="121"/>
    </row>
    <row r="4170" spans="1:11" ht="15" hidden="1" thickBot="1">
      <c r="A4170" s="1014"/>
      <c r="B4170" s="995"/>
      <c r="C4170" s="995"/>
      <c r="D4170" s="981"/>
      <c r="E4170" s="981"/>
      <c r="F4170" s="981"/>
      <c r="G4170" s="11"/>
    </row>
    <row r="4171" spans="1:11" ht="18.75" hidden="1" customHeight="1" thickBot="1">
      <c r="A4171" s="1002"/>
      <c r="B4171" s="983"/>
      <c r="C4171" s="983"/>
      <c r="D4171" s="983"/>
      <c r="E4171" s="983"/>
      <c r="F4171" s="983"/>
      <c r="G4171" s="1003"/>
    </row>
    <row r="4172" spans="1:11" s="7" customFormat="1" ht="13.5" hidden="1" thickBot="1">
      <c r="A4172" s="1002"/>
      <c r="B4172" s="913"/>
      <c r="C4172" s="914"/>
      <c r="D4172" s="95"/>
      <c r="E4172" s="242"/>
      <c r="F4172" s="292"/>
      <c r="G4172" s="113"/>
    </row>
    <row r="4173" spans="1:11" ht="15" hidden="1" thickBot="1">
      <c r="A4173" s="122"/>
      <c r="B4173" s="930"/>
      <c r="C4173" s="931"/>
      <c r="D4173" s="88"/>
      <c r="E4173" s="243"/>
      <c r="F4173" s="293"/>
      <c r="G4173" s="117"/>
    </row>
    <row r="4174" spans="1:11" ht="15" hidden="1" thickBot="1">
      <c r="A4174" s="123"/>
      <c r="B4174" s="976"/>
      <c r="C4174" s="977"/>
      <c r="D4174" s="88"/>
      <c r="E4174" s="243"/>
      <c r="F4174" s="293"/>
      <c r="G4174" s="124"/>
    </row>
    <row r="4175" spans="1:11" ht="17.25" hidden="1" customHeight="1" thickBot="1">
      <c r="A4175" s="1017"/>
      <c r="B4175" s="997"/>
      <c r="C4175" s="998"/>
      <c r="D4175" s="981"/>
      <c r="E4175" s="981"/>
      <c r="F4175" s="981"/>
      <c r="G4175" s="11"/>
      <c r="J4175" s="125"/>
      <c r="K4175" s="126"/>
    </row>
    <row r="4176" spans="1:11" ht="15" hidden="1" thickBot="1">
      <c r="A4176" s="1002"/>
      <c r="B4176" s="983"/>
      <c r="C4176" s="983"/>
      <c r="D4176" s="983"/>
      <c r="E4176" s="983"/>
      <c r="F4176" s="983"/>
      <c r="G4176" s="1003"/>
    </row>
    <row r="4177" spans="1:7" ht="15" hidden="1" thickBot="1">
      <c r="A4177" s="1002"/>
      <c r="B4177" s="913"/>
      <c r="C4177" s="914"/>
      <c r="D4177" s="95"/>
      <c r="E4177" s="242"/>
      <c r="F4177" s="286"/>
      <c r="G4177" s="113"/>
    </row>
    <row r="4178" spans="1:7" ht="27.75" hidden="1" customHeight="1">
      <c r="A4178" s="127"/>
      <c r="B4178" s="999"/>
      <c r="C4178" s="1000"/>
      <c r="D4178" s="128"/>
      <c r="E4178" s="246"/>
      <c r="F4178" s="295"/>
      <c r="G4178" s="129"/>
    </row>
    <row r="4179" spans="1:7" ht="15" hidden="1" thickBot="1">
      <c r="A4179" s="130"/>
      <c r="B4179" s="942"/>
      <c r="C4179" s="943"/>
      <c r="D4179" s="104"/>
      <c r="E4179" s="247"/>
      <c r="F4179" s="288"/>
      <c r="G4179" s="131"/>
    </row>
    <row r="4180" spans="1:7" ht="15" hidden="1" thickBot="1">
      <c r="A4180" s="1001"/>
      <c r="B4180" s="979"/>
      <c r="C4180" s="980"/>
      <c r="D4180" s="981"/>
      <c r="E4180" s="981"/>
      <c r="F4180" s="981"/>
      <c r="G4180" s="11"/>
    </row>
    <row r="4181" spans="1:7" ht="15" hidden="1" thickBot="1">
      <c r="A4181" s="1002"/>
      <c r="B4181" s="983"/>
      <c r="C4181" s="983"/>
      <c r="D4181" s="983"/>
      <c r="E4181" s="983"/>
      <c r="F4181" s="983"/>
      <c r="G4181" s="1003"/>
    </row>
    <row r="4182" spans="1:7" ht="15" hidden="1" thickBot="1">
      <c r="A4182" s="1002"/>
      <c r="B4182" s="913"/>
      <c r="C4182" s="914"/>
      <c r="D4182" s="95"/>
      <c r="E4182" s="242"/>
      <c r="F4182" s="289"/>
      <c r="G4182" s="113"/>
    </row>
    <row r="4183" spans="1:7" ht="15" hidden="1" thickBot="1">
      <c r="A4183" s="127"/>
      <c r="B4183" s="1075"/>
      <c r="C4183" s="1076"/>
      <c r="D4183" s="128"/>
      <c r="E4183" s="243"/>
      <c r="F4183" s="295"/>
      <c r="G4183" s="129"/>
    </row>
    <row r="4184" spans="1:7" hidden="1">
      <c r="A4184" s="132"/>
      <c r="B4184" s="133"/>
      <c r="C4184" s="134"/>
      <c r="D4184" s="135"/>
      <c r="E4184" s="248"/>
      <c r="F4184" s="296"/>
      <c r="G4184" s="129"/>
    </row>
    <row r="4185" spans="1:7" ht="15" hidden="1" thickBot="1">
      <c r="A4185" s="1004"/>
      <c r="B4185" s="988"/>
      <c r="C4185" s="989"/>
      <c r="D4185" s="990"/>
      <c r="E4185" s="990"/>
      <c r="F4185" s="990"/>
      <c r="G4185" s="12"/>
    </row>
    <row r="4186" spans="1:7" ht="15" hidden="1" thickBot="1">
      <c r="A4186" s="1005"/>
      <c r="B4186" s="1005"/>
      <c r="C4186" s="921"/>
      <c r="D4186" s="1041"/>
      <c r="E4186" s="1041"/>
      <c r="F4186" s="1041"/>
      <c r="G4186" s="137"/>
    </row>
    <row r="4187" spans="1:7" hidden="1">
      <c r="A4187" s="80"/>
      <c r="B4187" s="81"/>
      <c r="C4187" s="81"/>
      <c r="D4187" s="81"/>
      <c r="E4187" s="241"/>
      <c r="F4187" s="271"/>
      <c r="G4187" s="81"/>
    </row>
    <row r="4188" spans="1:7" ht="15" hidden="1" thickBot="1">
      <c r="A4188" s="83"/>
      <c r="B4188" s="84"/>
      <c r="C4188" s="84"/>
      <c r="D4188" s="85"/>
      <c r="E4188" s="249"/>
      <c r="F4188" s="291"/>
      <c r="G4188" s="86"/>
    </row>
    <row r="4189" spans="1:7" ht="15" hidden="1" thickBot="1">
      <c r="A4189" s="1006"/>
      <c r="B4189" s="1007"/>
      <c r="C4189" s="1007"/>
      <c r="D4189" s="1007"/>
      <c r="E4189" s="1007"/>
      <c r="F4189" s="272"/>
      <c r="G4189" s="43"/>
    </row>
    <row r="4190" spans="1:7" ht="15" hidden="1" customHeight="1" thickBot="1">
      <c r="A4190" s="953"/>
      <c r="B4190" s="954"/>
      <c r="C4190" s="954"/>
      <c r="D4190" s="954"/>
      <c r="E4190" s="955"/>
      <c r="F4190" s="273"/>
      <c r="G4190" s="45"/>
    </row>
    <row r="4191" spans="1:7" ht="22.5" hidden="1" customHeight="1" thickBot="1">
      <c r="A4191" s="956"/>
      <c r="B4191" s="957"/>
      <c r="C4191" s="957"/>
      <c r="D4191" s="957"/>
      <c r="E4191" s="958"/>
      <c r="F4191" s="273"/>
      <c r="G4191" s="46"/>
    </row>
    <row r="4192" spans="1:7" ht="15" hidden="1" collapsed="1" thickBot="1">
      <c r="A4192" s="959"/>
      <c r="B4192" s="960"/>
      <c r="C4192" s="960"/>
      <c r="D4192" s="960"/>
      <c r="E4192" s="961"/>
      <c r="F4192" s="274"/>
      <c r="G4192" s="48"/>
    </row>
    <row r="4193" spans="1:11" ht="15" hidden="1" thickBot="1">
      <c r="A4193" s="909"/>
      <c r="B4193" s="1009"/>
      <c r="C4193" s="1009"/>
      <c r="D4193" s="1009"/>
      <c r="E4193" s="1009"/>
      <c r="F4193" s="1009"/>
      <c r="G4193" s="1011"/>
    </row>
    <row r="4194" spans="1:11" ht="15" hidden="1" thickBot="1">
      <c r="A4194" s="1002"/>
      <c r="B4194" s="913"/>
      <c r="C4194" s="914"/>
      <c r="D4194" s="95"/>
      <c r="E4194" s="242"/>
      <c r="F4194" s="292"/>
      <c r="G4194" s="113"/>
    </row>
    <row r="4195" spans="1:11" ht="15" hidden="1" thickBot="1">
      <c r="A4195" s="114"/>
      <c r="B4195" s="930"/>
      <c r="C4195" s="931"/>
      <c r="D4195" s="88"/>
      <c r="E4195" s="243"/>
      <c r="F4195" s="293"/>
      <c r="G4195" s="117"/>
    </row>
    <row r="4196" spans="1:11" ht="15" hidden="1" thickBot="1">
      <c r="A4196" s="118"/>
      <c r="B4196" s="1012"/>
      <c r="C4196" s="1013"/>
      <c r="D4196" s="119"/>
      <c r="E4196" s="243"/>
      <c r="F4196" s="293"/>
      <c r="G4196" s="121"/>
    </row>
    <row r="4197" spans="1:11" ht="15" hidden="1" thickBot="1">
      <c r="A4197" s="1014"/>
      <c r="B4197" s="995"/>
      <c r="C4197" s="995"/>
      <c r="D4197" s="981"/>
      <c r="E4197" s="981"/>
      <c r="F4197" s="981"/>
      <c r="G4197" s="11"/>
    </row>
    <row r="4198" spans="1:11" ht="18.75" hidden="1" customHeight="1" thickBot="1">
      <c r="A4198" s="1002"/>
      <c r="B4198" s="983"/>
      <c r="C4198" s="983"/>
      <c r="D4198" s="983"/>
      <c r="E4198" s="983"/>
      <c r="F4198" s="983"/>
      <c r="G4198" s="1003"/>
    </row>
    <row r="4199" spans="1:11" s="7" customFormat="1" ht="13.5" hidden="1" thickBot="1">
      <c r="A4199" s="1002"/>
      <c r="B4199" s="913"/>
      <c r="C4199" s="914"/>
      <c r="D4199" s="95"/>
      <c r="E4199" s="242"/>
      <c r="F4199" s="292"/>
      <c r="G4199" s="113"/>
    </row>
    <row r="4200" spans="1:11" ht="15" hidden="1" thickBot="1">
      <c r="A4200" s="122"/>
      <c r="B4200" s="930"/>
      <c r="C4200" s="931"/>
      <c r="D4200" s="88"/>
      <c r="E4200" s="243"/>
      <c r="F4200" s="293"/>
      <c r="G4200" s="117"/>
    </row>
    <row r="4201" spans="1:11" ht="15" hidden="1" thickBot="1">
      <c r="A4201" s="123"/>
      <c r="B4201" s="976"/>
      <c r="C4201" s="977"/>
      <c r="D4201" s="88"/>
      <c r="E4201" s="243"/>
      <c r="F4201" s="293"/>
      <c r="G4201" s="124"/>
    </row>
    <row r="4202" spans="1:11" ht="17.25" hidden="1" customHeight="1" thickBot="1">
      <c r="A4202" s="1017"/>
      <c r="B4202" s="997"/>
      <c r="C4202" s="998"/>
      <c r="D4202" s="981"/>
      <c r="E4202" s="981"/>
      <c r="F4202" s="981"/>
      <c r="G4202" s="11"/>
      <c r="J4202" s="125"/>
      <c r="K4202" s="126"/>
    </row>
    <row r="4203" spans="1:11" ht="15" hidden="1" thickBot="1">
      <c r="A4203" s="1002"/>
      <c r="B4203" s="983"/>
      <c r="C4203" s="983"/>
      <c r="D4203" s="983"/>
      <c r="E4203" s="983"/>
      <c r="F4203" s="983"/>
      <c r="G4203" s="1003"/>
    </row>
    <row r="4204" spans="1:11" ht="15" hidden="1" thickBot="1">
      <c r="A4204" s="1002"/>
      <c r="B4204" s="913"/>
      <c r="C4204" s="914"/>
      <c r="D4204" s="95"/>
      <c r="E4204" s="242"/>
      <c r="F4204" s="286"/>
      <c r="G4204" s="113"/>
    </row>
    <row r="4205" spans="1:11" ht="27.75" hidden="1" customHeight="1">
      <c r="A4205" s="127"/>
      <c r="B4205" s="999"/>
      <c r="C4205" s="1000"/>
      <c r="D4205" s="128"/>
      <c r="E4205" s="246"/>
      <c r="F4205" s="295"/>
      <c r="G4205" s="129"/>
    </row>
    <row r="4206" spans="1:11" ht="15" hidden="1" thickBot="1">
      <c r="A4206" s="130"/>
      <c r="B4206" s="942"/>
      <c r="C4206" s="943"/>
      <c r="D4206" s="104"/>
      <c r="E4206" s="247"/>
      <c r="F4206" s="288"/>
      <c r="G4206" s="131"/>
    </row>
    <row r="4207" spans="1:11" ht="15" hidden="1" thickBot="1">
      <c r="A4207" s="1001"/>
      <c r="B4207" s="979"/>
      <c r="C4207" s="980"/>
      <c r="D4207" s="981"/>
      <c r="E4207" s="981"/>
      <c r="F4207" s="981"/>
      <c r="G4207" s="11"/>
    </row>
    <row r="4208" spans="1:11" ht="15" hidden="1" thickBot="1">
      <c r="A4208" s="1002"/>
      <c r="B4208" s="983"/>
      <c r="C4208" s="983"/>
      <c r="D4208" s="983"/>
      <c r="E4208" s="983"/>
      <c r="F4208" s="983"/>
      <c r="G4208" s="1003"/>
    </row>
    <row r="4209" spans="1:7" ht="15" hidden="1" thickBot="1">
      <c r="A4209" s="1002"/>
      <c r="B4209" s="913"/>
      <c r="C4209" s="914"/>
      <c r="D4209" s="95"/>
      <c r="E4209" s="242"/>
      <c r="F4209" s="289"/>
      <c r="G4209" s="113"/>
    </row>
    <row r="4210" spans="1:7" ht="15" hidden="1" thickBot="1">
      <c r="A4210" s="127"/>
      <c r="B4210" s="1075"/>
      <c r="C4210" s="1076"/>
      <c r="D4210" s="128"/>
      <c r="E4210" s="243"/>
      <c r="F4210" s="295"/>
      <c r="G4210" s="129"/>
    </row>
    <row r="4211" spans="1:7" hidden="1">
      <c r="A4211" s="132"/>
      <c r="B4211" s="133"/>
      <c r="C4211" s="134"/>
      <c r="D4211" s="135"/>
      <c r="E4211" s="248"/>
      <c r="F4211" s="296"/>
      <c r="G4211" s="129"/>
    </row>
    <row r="4212" spans="1:7" ht="15" hidden="1" thickBot="1">
      <c r="A4212" s="1004"/>
      <c r="B4212" s="988"/>
      <c r="C4212" s="989"/>
      <c r="D4212" s="990"/>
      <c r="E4212" s="990"/>
      <c r="F4212" s="990"/>
      <c r="G4212" s="12"/>
    </row>
    <row r="4213" spans="1:7" ht="15" hidden="1" thickBot="1">
      <c r="A4213" s="1005"/>
      <c r="B4213" s="1005"/>
      <c r="C4213" s="921"/>
      <c r="D4213" s="1041"/>
      <c r="E4213" s="1041"/>
      <c r="F4213" s="1041"/>
      <c r="G4213" s="137"/>
    </row>
    <row r="4214" spans="1:7" hidden="1">
      <c r="A4214" s="80"/>
      <c r="B4214" s="81"/>
      <c r="C4214" s="81"/>
      <c r="D4214" s="81"/>
      <c r="E4214" s="241"/>
      <c r="F4214" s="271"/>
      <c r="G4214" s="81"/>
    </row>
    <row r="4215" spans="1:7" ht="15" hidden="1" thickBot="1">
      <c r="A4215" s="83"/>
      <c r="B4215" s="84"/>
      <c r="C4215" s="84"/>
      <c r="D4215" s="85"/>
      <c r="E4215" s="249"/>
      <c r="F4215" s="291"/>
      <c r="G4215" s="86"/>
    </row>
    <row r="4216" spans="1:7" ht="15" hidden="1" thickBot="1">
      <c r="A4216" s="1006"/>
      <c r="B4216" s="1007"/>
      <c r="C4216" s="1007"/>
      <c r="D4216" s="1007"/>
      <c r="E4216" s="1007"/>
      <c r="F4216" s="272"/>
      <c r="G4216" s="43"/>
    </row>
    <row r="4217" spans="1:7" ht="15" hidden="1" customHeight="1" thickBot="1">
      <c r="A4217" s="953"/>
      <c r="B4217" s="954"/>
      <c r="C4217" s="954"/>
      <c r="D4217" s="954"/>
      <c r="E4217" s="955"/>
      <c r="F4217" s="273"/>
      <c r="G4217" s="45"/>
    </row>
    <row r="4218" spans="1:7" ht="22.5" hidden="1" customHeight="1" thickBot="1">
      <c r="A4218" s="956"/>
      <c r="B4218" s="957"/>
      <c r="C4218" s="957"/>
      <c r="D4218" s="957"/>
      <c r="E4218" s="958"/>
      <c r="F4218" s="273"/>
      <c r="G4218" s="46"/>
    </row>
    <row r="4219" spans="1:7" ht="15" hidden="1" collapsed="1" thickBot="1">
      <c r="A4219" s="959"/>
      <c r="B4219" s="960"/>
      <c r="C4219" s="960"/>
      <c r="D4219" s="960"/>
      <c r="E4219" s="961"/>
      <c r="F4219" s="274"/>
      <c r="G4219" s="48"/>
    </row>
    <row r="4220" spans="1:7" ht="15" hidden="1" thickBot="1">
      <c r="A4220" s="909"/>
      <c r="B4220" s="1009"/>
      <c r="C4220" s="1009"/>
      <c r="D4220" s="1009"/>
      <c r="E4220" s="1009"/>
      <c r="F4220" s="1009"/>
      <c r="G4220" s="1011"/>
    </row>
    <row r="4221" spans="1:7" ht="15" hidden="1" thickBot="1">
      <c r="A4221" s="1002"/>
      <c r="B4221" s="913"/>
      <c r="C4221" s="914"/>
      <c r="D4221" s="95"/>
      <c r="E4221" s="242"/>
      <c r="F4221" s="292"/>
      <c r="G4221" s="113"/>
    </row>
    <row r="4222" spans="1:7" hidden="1">
      <c r="A4222" s="114"/>
      <c r="B4222" s="930"/>
      <c r="C4222" s="931"/>
      <c r="D4222" s="88"/>
      <c r="E4222" s="243"/>
      <c r="F4222" s="293"/>
      <c r="G4222" s="117"/>
    </row>
    <row r="4223" spans="1:7" ht="15" hidden="1" thickBot="1">
      <c r="A4223" s="118"/>
      <c r="B4223" s="1012"/>
      <c r="C4223" s="1013"/>
      <c r="D4223" s="119"/>
      <c r="E4223" s="244"/>
      <c r="F4223" s="294"/>
      <c r="G4223" s="121"/>
    </row>
    <row r="4224" spans="1:7" ht="15" hidden="1" thickBot="1">
      <c r="A4224" s="1014"/>
      <c r="B4224" s="995"/>
      <c r="C4224" s="995"/>
      <c r="D4224" s="981"/>
      <c r="E4224" s="981"/>
      <c r="F4224" s="981"/>
      <c r="G4224" s="11"/>
    </row>
    <row r="4225" spans="1:11" ht="18.75" hidden="1" customHeight="1" thickBot="1">
      <c r="A4225" s="1002"/>
      <c r="B4225" s="983"/>
      <c r="C4225" s="983"/>
      <c r="D4225" s="983"/>
      <c r="E4225" s="983"/>
      <c r="F4225" s="983"/>
      <c r="G4225" s="1003"/>
    </row>
    <row r="4226" spans="1:11" s="7" customFormat="1" ht="13.5" hidden="1" thickBot="1">
      <c r="A4226" s="1002"/>
      <c r="B4226" s="913"/>
      <c r="C4226" s="914"/>
      <c r="D4226" s="95"/>
      <c r="E4226" s="242"/>
      <c r="F4226" s="292"/>
      <c r="G4226" s="113"/>
    </row>
    <row r="4227" spans="1:11" ht="15" hidden="1" thickBot="1">
      <c r="A4227" s="122"/>
      <c r="B4227" s="930"/>
      <c r="C4227" s="931"/>
      <c r="D4227" s="88"/>
      <c r="E4227" s="243"/>
      <c r="F4227" s="293"/>
      <c r="G4227" s="117"/>
    </row>
    <row r="4228" spans="1:11" ht="15" hidden="1" thickBot="1">
      <c r="A4228" s="123"/>
      <c r="B4228" s="976"/>
      <c r="C4228" s="977"/>
      <c r="D4228" s="88"/>
      <c r="E4228" s="243"/>
      <c r="F4228" s="293"/>
      <c r="G4228" s="124"/>
    </row>
    <row r="4229" spans="1:11" ht="17.25" hidden="1" customHeight="1" thickBot="1">
      <c r="A4229" s="1017"/>
      <c r="B4229" s="997"/>
      <c r="C4229" s="998"/>
      <c r="D4229" s="981"/>
      <c r="E4229" s="981"/>
      <c r="F4229" s="981"/>
      <c r="G4229" s="11"/>
      <c r="J4229" s="125"/>
      <c r="K4229" s="126"/>
    </row>
    <row r="4230" spans="1:11" ht="15" hidden="1" thickBot="1">
      <c r="A4230" s="1002"/>
      <c r="B4230" s="983"/>
      <c r="C4230" s="983"/>
      <c r="D4230" s="983"/>
      <c r="E4230" s="983"/>
      <c r="F4230" s="983"/>
      <c r="G4230" s="1003"/>
    </row>
    <row r="4231" spans="1:11" ht="15" hidden="1" thickBot="1">
      <c r="A4231" s="1002"/>
      <c r="B4231" s="913"/>
      <c r="C4231" s="914"/>
      <c r="D4231" s="95"/>
      <c r="E4231" s="242"/>
      <c r="F4231" s="286"/>
      <c r="G4231" s="113"/>
    </row>
    <row r="4232" spans="1:11" ht="27.75" hidden="1" customHeight="1">
      <c r="A4232" s="127"/>
      <c r="B4232" s="999"/>
      <c r="C4232" s="1000"/>
      <c r="D4232" s="128"/>
      <c r="E4232" s="246"/>
      <c r="F4232" s="295"/>
      <c r="G4232" s="129"/>
    </row>
    <row r="4233" spans="1:11" ht="15" hidden="1" thickBot="1">
      <c r="A4233" s="130"/>
      <c r="B4233" s="942"/>
      <c r="C4233" s="943"/>
      <c r="D4233" s="104"/>
      <c r="E4233" s="247"/>
      <c r="F4233" s="288"/>
      <c r="G4233" s="131"/>
    </row>
    <row r="4234" spans="1:11" ht="15" hidden="1" thickBot="1">
      <c r="A4234" s="1001"/>
      <c r="B4234" s="979"/>
      <c r="C4234" s="980"/>
      <c r="D4234" s="981"/>
      <c r="E4234" s="981"/>
      <c r="F4234" s="981"/>
      <c r="G4234" s="11"/>
    </row>
    <row r="4235" spans="1:11" ht="15" hidden="1" thickBot="1">
      <c r="A4235" s="1002"/>
      <c r="B4235" s="983"/>
      <c r="C4235" s="983"/>
      <c r="D4235" s="983"/>
      <c r="E4235" s="983"/>
      <c r="F4235" s="983"/>
      <c r="G4235" s="1003"/>
    </row>
    <row r="4236" spans="1:11" ht="15" hidden="1" thickBot="1">
      <c r="A4236" s="1002"/>
      <c r="B4236" s="913"/>
      <c r="C4236" s="914"/>
      <c r="D4236" s="95"/>
      <c r="E4236" s="242"/>
      <c r="F4236" s="289"/>
      <c r="G4236" s="113"/>
    </row>
    <row r="4237" spans="1:11" ht="15" hidden="1" thickBot="1">
      <c r="A4237" s="127"/>
      <c r="B4237" s="1075"/>
      <c r="C4237" s="1076"/>
      <c r="D4237" s="128"/>
      <c r="E4237" s="243"/>
      <c r="F4237" s="295"/>
      <c r="G4237" s="129"/>
    </row>
    <row r="4238" spans="1:11" hidden="1">
      <c r="A4238" s="132"/>
      <c r="B4238" s="133"/>
      <c r="C4238" s="134"/>
      <c r="D4238" s="135"/>
      <c r="E4238" s="248"/>
      <c r="F4238" s="296"/>
      <c r="G4238" s="129"/>
    </row>
    <row r="4239" spans="1:11" ht="15" hidden="1" thickBot="1">
      <c r="A4239" s="1004"/>
      <c r="B4239" s="988"/>
      <c r="C4239" s="989"/>
      <c r="D4239" s="990"/>
      <c r="E4239" s="990"/>
      <c r="F4239" s="990"/>
      <c r="G4239" s="12"/>
    </row>
    <row r="4240" spans="1:11" ht="15" hidden="1" thickBot="1">
      <c r="A4240" s="1005"/>
      <c r="B4240" s="1005"/>
      <c r="C4240" s="921"/>
      <c r="D4240" s="1041"/>
      <c r="E4240" s="1041"/>
      <c r="F4240" s="1041"/>
      <c r="G4240" s="137"/>
    </row>
    <row r="4241" spans="1:7" s="7" customFormat="1" ht="15.75" hidden="1" thickBot="1">
      <c r="A4241" s="162"/>
      <c r="B4241" s="162"/>
      <c r="C4241" s="162"/>
      <c r="D4241" s="162"/>
      <c r="E4241" s="258"/>
      <c r="F4241" s="301"/>
      <c r="G4241" s="162"/>
    </row>
    <row r="4242" spans="1:7" ht="15" hidden="1" thickBot="1">
      <c r="A4242" s="1027"/>
      <c r="B4242" s="1028"/>
      <c r="C4242" s="1028"/>
      <c r="D4242" s="1028"/>
      <c r="E4242" s="1028"/>
      <c r="F4242" s="1028"/>
      <c r="G4242" s="1029"/>
    </row>
    <row r="4243" spans="1:7" ht="15" hidden="1" thickBot="1">
      <c r="A4243" s="950"/>
      <c r="B4243" s="951"/>
      <c r="C4243" s="951"/>
      <c r="D4243" s="951"/>
      <c r="E4243" s="952"/>
      <c r="F4243" s="272"/>
      <c r="G4243" s="43"/>
    </row>
    <row r="4244" spans="1:7" ht="15" hidden="1" customHeight="1" thickBot="1">
      <c r="A4244" s="953"/>
      <c r="B4244" s="954"/>
      <c r="C4244" s="954"/>
      <c r="D4244" s="954"/>
      <c r="E4244" s="955"/>
      <c r="F4244" s="273"/>
      <c r="G4244" s="45"/>
    </row>
    <row r="4245" spans="1:7" ht="15" hidden="1" thickBot="1">
      <c r="A4245" s="956"/>
      <c r="B4245" s="957"/>
      <c r="C4245" s="957"/>
      <c r="D4245" s="957"/>
      <c r="E4245" s="958"/>
      <c r="F4245" s="273"/>
      <c r="G4245" s="46"/>
    </row>
    <row r="4246" spans="1:7" ht="15" hidden="1" thickBot="1">
      <c r="A4246" s="959"/>
      <c r="B4246" s="960"/>
      <c r="C4246" s="960"/>
      <c r="D4246" s="960"/>
      <c r="E4246" s="961"/>
      <c r="F4246" s="274"/>
      <c r="G4246" s="48"/>
    </row>
    <row r="4247" spans="1:7" ht="15" hidden="1" thickBot="1">
      <c r="A4247" s="962"/>
      <c r="B4247" s="963"/>
      <c r="C4247" s="964"/>
      <c r="D4247" s="964"/>
      <c r="E4247" s="964"/>
      <c r="F4247" s="964"/>
      <c r="G4247" s="965"/>
    </row>
    <row r="4248" spans="1:7" ht="15" hidden="1" thickBot="1">
      <c r="A4248" s="909"/>
      <c r="B4248" s="913"/>
      <c r="C4248" s="914"/>
      <c r="D4248" s="95"/>
      <c r="E4248" s="242"/>
      <c r="F4248" s="286"/>
      <c r="G4248" s="113"/>
    </row>
    <row r="4249" spans="1:7" ht="15" hidden="1" thickBot="1">
      <c r="A4249" s="114"/>
      <c r="B4249" s="966"/>
      <c r="C4249" s="967"/>
      <c r="D4249" s="88"/>
      <c r="E4249" s="251"/>
      <c r="F4249" s="284"/>
      <c r="G4249" s="117"/>
    </row>
    <row r="4250" spans="1:7" hidden="1">
      <c r="A4250" s="154"/>
      <c r="B4250" s="968"/>
      <c r="C4250" s="969"/>
      <c r="D4250" s="171"/>
      <c r="E4250" s="260"/>
      <c r="F4250" s="285"/>
      <c r="G4250" s="149"/>
    </row>
    <row r="4251" spans="1:7" ht="15" hidden="1" thickBot="1">
      <c r="A4251" s="970"/>
      <c r="B4251" s="971"/>
      <c r="C4251" s="972"/>
      <c r="D4251" s="973"/>
      <c r="E4251" s="974"/>
      <c r="F4251" s="975"/>
      <c r="G4251" s="11"/>
    </row>
    <row r="4252" spans="1:7" ht="15" hidden="1" thickBot="1">
      <c r="A4252" s="908"/>
      <c r="B4252" s="910"/>
      <c r="C4252" s="911"/>
      <c r="D4252" s="911"/>
      <c r="E4252" s="911"/>
      <c r="F4252" s="911"/>
      <c r="G4252" s="912"/>
    </row>
    <row r="4253" spans="1:7" ht="15" hidden="1" thickBot="1">
      <c r="A4253" s="909"/>
      <c r="B4253" s="913"/>
      <c r="C4253" s="914"/>
      <c r="D4253" s="95"/>
      <c r="E4253" s="242"/>
      <c r="F4253" s="292"/>
      <c r="G4253" s="113"/>
    </row>
    <row r="4254" spans="1:7" ht="22.5" hidden="1" customHeight="1" thickBot="1">
      <c r="A4254" s="122"/>
      <c r="B4254" s="930"/>
      <c r="C4254" s="931"/>
      <c r="D4254" s="88"/>
      <c r="E4254" s="251"/>
      <c r="F4254" s="284"/>
      <c r="G4254" s="149"/>
    </row>
    <row r="4255" spans="1:7" hidden="1">
      <c r="A4255" s="155"/>
      <c r="B4255" s="930"/>
      <c r="C4255" s="931"/>
      <c r="D4255" s="88"/>
      <c r="E4255" s="251"/>
      <c r="F4255" s="284"/>
      <c r="G4255" s="149"/>
    </row>
    <row r="4256" spans="1:7" ht="15" hidden="1" thickBot="1">
      <c r="A4256" s="178"/>
      <c r="B4256" s="926"/>
      <c r="C4256" s="927"/>
      <c r="D4256" s="179"/>
      <c r="E4256" s="261"/>
      <c r="F4256" s="305"/>
      <c r="G4256" s="181"/>
    </row>
    <row r="4257" spans="1:7" ht="15" hidden="1" thickBot="1">
      <c r="A4257" s="932"/>
      <c r="B4257" s="933"/>
      <c r="C4257" s="934"/>
      <c r="D4257" s="935"/>
      <c r="E4257" s="936"/>
      <c r="F4257" s="937"/>
      <c r="G4257" s="18"/>
    </row>
    <row r="4258" spans="1:7" ht="15" hidden="1" thickBot="1">
      <c r="A4258" s="908"/>
      <c r="B4258" s="910"/>
      <c r="C4258" s="911"/>
      <c r="D4258" s="911"/>
      <c r="E4258" s="911"/>
      <c r="F4258" s="911"/>
      <c r="G4258" s="912"/>
    </row>
    <row r="4259" spans="1:7" ht="15" hidden="1" thickBot="1">
      <c r="A4259" s="909"/>
      <c r="B4259" s="913"/>
      <c r="C4259" s="914"/>
      <c r="D4259" s="95"/>
      <c r="E4259" s="242"/>
      <c r="F4259" s="286"/>
      <c r="G4259" s="113"/>
    </row>
    <row r="4260" spans="1:7" hidden="1">
      <c r="A4260" s="127"/>
      <c r="B4260" s="930"/>
      <c r="C4260" s="931"/>
      <c r="D4260" s="88"/>
      <c r="E4260" s="251"/>
      <c r="F4260" s="284"/>
      <c r="G4260" s="159"/>
    </row>
    <row r="4261" spans="1:7" hidden="1">
      <c r="A4261" s="156"/>
      <c r="B4261" s="940"/>
      <c r="C4261" s="941"/>
      <c r="D4261" s="157"/>
      <c r="E4261" s="259"/>
      <c r="F4261" s="303"/>
      <c r="G4261" s="159"/>
    </row>
    <row r="4262" spans="1:7" ht="15" hidden="1" thickBot="1">
      <c r="A4262" s="130"/>
      <c r="B4262" s="942"/>
      <c r="C4262" s="943"/>
      <c r="D4262" s="104"/>
      <c r="E4262" s="247"/>
      <c r="F4262" s="288"/>
      <c r="G4262" s="131"/>
    </row>
    <row r="4263" spans="1:7" ht="15" hidden="1" thickBot="1">
      <c r="A4263" s="944"/>
      <c r="B4263" s="945"/>
      <c r="C4263" s="946"/>
      <c r="D4263" s="947"/>
      <c r="E4263" s="948"/>
      <c r="F4263" s="949"/>
      <c r="G4263" s="11"/>
    </row>
    <row r="4264" spans="1:7" ht="15" hidden="1" thickBot="1">
      <c r="A4264" s="908"/>
      <c r="B4264" s="910"/>
      <c r="C4264" s="911"/>
      <c r="D4264" s="911"/>
      <c r="E4264" s="911"/>
      <c r="F4264" s="911"/>
      <c r="G4264" s="912"/>
    </row>
    <row r="4265" spans="1:7" ht="15" hidden="1" thickBot="1">
      <c r="A4265" s="909"/>
      <c r="B4265" s="913"/>
      <c r="C4265" s="914"/>
      <c r="D4265" s="95"/>
      <c r="E4265" s="242"/>
      <c r="F4265" s="286"/>
      <c r="G4265" s="113"/>
    </row>
    <row r="4266" spans="1:7" hidden="1">
      <c r="A4266" s="122"/>
      <c r="B4266" s="160"/>
      <c r="C4266" s="161"/>
      <c r="D4266" s="109"/>
      <c r="E4266" s="254"/>
      <c r="F4266" s="304"/>
      <c r="G4266" s="129"/>
    </row>
    <row r="4267" spans="1:7" hidden="1">
      <c r="A4267" s="155"/>
      <c r="B4267" s="184"/>
      <c r="C4267" s="185"/>
      <c r="D4267" s="92"/>
      <c r="E4267" s="252"/>
      <c r="F4267" s="287"/>
      <c r="G4267" s="164"/>
    </row>
    <row r="4268" spans="1:7" ht="15" hidden="1" thickBot="1">
      <c r="A4268" s="165"/>
      <c r="B4268" s="166"/>
      <c r="C4268" s="167"/>
      <c r="D4268" s="168"/>
      <c r="E4268" s="262"/>
      <c r="F4268" s="306"/>
      <c r="G4268" s="170"/>
    </row>
    <row r="4269" spans="1:7" ht="15" hidden="1" thickBot="1">
      <c r="A4269" s="915"/>
      <c r="B4269" s="916"/>
      <c r="C4269" s="917"/>
      <c r="D4269" s="918"/>
      <c r="E4269" s="919"/>
      <c r="F4269" s="920"/>
      <c r="G4269" s="12"/>
    </row>
    <row r="4270" spans="1:7" ht="18.75" hidden="1" customHeight="1" thickBot="1">
      <c r="A4270" s="921"/>
      <c r="B4270" s="922"/>
      <c r="C4270" s="922"/>
      <c r="D4270" s="923"/>
      <c r="E4270" s="924"/>
      <c r="F4270" s="925"/>
      <c r="G4270" s="112"/>
    </row>
    <row r="4271" spans="1:7" s="7" customFormat="1" ht="15.75" hidden="1" thickBot="1">
      <c r="A4271" s="162"/>
      <c r="B4271" s="162"/>
      <c r="C4271" s="162"/>
      <c r="D4271" s="162"/>
      <c r="E4271" s="258"/>
      <c r="F4271" s="301"/>
      <c r="G4271" s="162"/>
    </row>
    <row r="4272" spans="1:7" ht="15" hidden="1" thickBot="1">
      <c r="A4272" s="1027"/>
      <c r="B4272" s="1028"/>
      <c r="C4272" s="1028"/>
      <c r="D4272" s="1028"/>
      <c r="E4272" s="1028"/>
      <c r="F4272" s="1028"/>
      <c r="G4272" s="1029"/>
    </row>
    <row r="4273" spans="1:7" ht="15" hidden="1" thickBot="1">
      <c r="A4273" s="950"/>
      <c r="B4273" s="951"/>
      <c r="C4273" s="951"/>
      <c r="D4273" s="951"/>
      <c r="E4273" s="952"/>
      <c r="F4273" s="272"/>
      <c r="G4273" s="43"/>
    </row>
    <row r="4274" spans="1:7" ht="15" hidden="1" customHeight="1" thickBot="1">
      <c r="A4274" s="953"/>
      <c r="B4274" s="954"/>
      <c r="C4274" s="954"/>
      <c r="D4274" s="954"/>
      <c r="E4274" s="955"/>
      <c r="F4274" s="273"/>
      <c r="G4274" s="45"/>
    </row>
    <row r="4275" spans="1:7" ht="15" hidden="1" thickBot="1">
      <c r="A4275" s="956"/>
      <c r="B4275" s="957"/>
      <c r="C4275" s="957"/>
      <c r="D4275" s="957"/>
      <c r="E4275" s="958"/>
      <c r="F4275" s="273"/>
      <c r="G4275" s="46"/>
    </row>
    <row r="4276" spans="1:7" ht="15" hidden="1" collapsed="1" thickBot="1">
      <c r="A4276" s="959"/>
      <c r="B4276" s="960"/>
      <c r="C4276" s="960"/>
      <c r="D4276" s="960"/>
      <c r="E4276" s="961"/>
      <c r="F4276" s="274"/>
      <c r="G4276" s="48"/>
    </row>
    <row r="4277" spans="1:7" ht="15" hidden="1" thickBot="1">
      <c r="A4277" s="962"/>
      <c r="B4277" s="963"/>
      <c r="C4277" s="964"/>
      <c r="D4277" s="964"/>
      <c r="E4277" s="964"/>
      <c r="F4277" s="964"/>
      <c r="G4277" s="965"/>
    </row>
    <row r="4278" spans="1:7" ht="15" hidden="1" thickBot="1">
      <c r="A4278" s="909"/>
      <c r="B4278" s="913"/>
      <c r="C4278" s="914"/>
      <c r="D4278" s="95"/>
      <c r="E4278" s="242"/>
      <c r="F4278" s="286"/>
      <c r="G4278" s="113"/>
    </row>
    <row r="4279" spans="1:7" ht="15" hidden="1" thickBot="1">
      <c r="A4279" s="114"/>
      <c r="B4279" s="966"/>
      <c r="C4279" s="967"/>
      <c r="D4279" s="88"/>
      <c r="E4279" s="251"/>
      <c r="F4279" s="284"/>
      <c r="G4279" s="117"/>
    </row>
    <row r="4280" spans="1:7" hidden="1">
      <c r="A4280" s="154"/>
      <c r="B4280" s="968"/>
      <c r="C4280" s="969"/>
      <c r="D4280" s="171"/>
      <c r="E4280" s="260"/>
      <c r="F4280" s="285"/>
      <c r="G4280" s="149"/>
    </row>
    <row r="4281" spans="1:7" ht="15" hidden="1" thickBot="1">
      <c r="A4281" s="970"/>
      <c r="B4281" s="971"/>
      <c r="C4281" s="972"/>
      <c r="D4281" s="973"/>
      <c r="E4281" s="974"/>
      <c r="F4281" s="975"/>
      <c r="G4281" s="11"/>
    </row>
    <row r="4282" spans="1:7" ht="15" hidden="1" thickBot="1">
      <c r="A4282" s="908"/>
      <c r="B4282" s="910"/>
      <c r="C4282" s="911"/>
      <c r="D4282" s="911"/>
      <c r="E4282" s="911"/>
      <c r="F4282" s="911"/>
      <c r="G4282" s="912"/>
    </row>
    <row r="4283" spans="1:7" ht="15" hidden="1" thickBot="1">
      <c r="A4283" s="909"/>
      <c r="B4283" s="913"/>
      <c r="C4283" s="914"/>
      <c r="D4283" s="95"/>
      <c r="E4283" s="242"/>
      <c r="F4283" s="292"/>
      <c r="G4283" s="113"/>
    </row>
    <row r="4284" spans="1:7" ht="22.5" hidden="1" customHeight="1" thickBot="1">
      <c r="A4284" s="122"/>
      <c r="B4284" s="930"/>
      <c r="C4284" s="931"/>
      <c r="D4284" s="88"/>
      <c r="E4284" s="251"/>
      <c r="F4284" s="284"/>
      <c r="G4284" s="149"/>
    </row>
    <row r="4285" spans="1:7" hidden="1">
      <c r="A4285" s="155"/>
      <c r="B4285" s="930"/>
      <c r="C4285" s="931"/>
      <c r="D4285" s="88"/>
      <c r="E4285" s="251"/>
      <c r="F4285" s="284"/>
      <c r="G4285" s="149"/>
    </row>
    <row r="4286" spans="1:7" ht="15" hidden="1" thickBot="1">
      <c r="A4286" s="178"/>
      <c r="B4286" s="926"/>
      <c r="C4286" s="927"/>
      <c r="D4286" s="179"/>
      <c r="E4286" s="261"/>
      <c r="F4286" s="305"/>
      <c r="G4286" s="181"/>
    </row>
    <row r="4287" spans="1:7" ht="15" hidden="1" thickBot="1">
      <c r="A4287" s="932"/>
      <c r="B4287" s="933"/>
      <c r="C4287" s="934"/>
      <c r="D4287" s="935"/>
      <c r="E4287" s="936"/>
      <c r="F4287" s="937"/>
      <c r="G4287" s="18"/>
    </row>
    <row r="4288" spans="1:7" ht="15" hidden="1" thickBot="1">
      <c r="A4288" s="908"/>
      <c r="B4288" s="910"/>
      <c r="C4288" s="911"/>
      <c r="D4288" s="911"/>
      <c r="E4288" s="911"/>
      <c r="F4288" s="911"/>
      <c r="G4288" s="912"/>
    </row>
    <row r="4289" spans="1:7" ht="15" hidden="1" thickBot="1">
      <c r="A4289" s="909"/>
      <c r="B4289" s="913"/>
      <c r="C4289" s="914"/>
      <c r="D4289" s="95"/>
      <c r="E4289" s="242"/>
      <c r="F4289" s="286"/>
      <c r="G4289" s="113"/>
    </row>
    <row r="4290" spans="1:7" hidden="1">
      <c r="A4290" s="127"/>
      <c r="B4290" s="930"/>
      <c r="C4290" s="931"/>
      <c r="D4290" s="88"/>
      <c r="E4290" s="251"/>
      <c r="F4290" s="284"/>
      <c r="G4290" s="159"/>
    </row>
    <row r="4291" spans="1:7" hidden="1">
      <c r="A4291" s="156"/>
      <c r="B4291" s="940"/>
      <c r="C4291" s="941"/>
      <c r="D4291" s="157"/>
      <c r="E4291" s="259"/>
      <c r="F4291" s="303"/>
      <c r="G4291" s="159"/>
    </row>
    <row r="4292" spans="1:7" ht="15" hidden="1" thickBot="1">
      <c r="A4292" s="130"/>
      <c r="B4292" s="942"/>
      <c r="C4292" s="943"/>
      <c r="D4292" s="104"/>
      <c r="E4292" s="247"/>
      <c r="F4292" s="288"/>
      <c r="G4292" s="131"/>
    </row>
    <row r="4293" spans="1:7" ht="15" hidden="1" thickBot="1">
      <c r="A4293" s="944"/>
      <c r="B4293" s="945"/>
      <c r="C4293" s="946"/>
      <c r="D4293" s="947"/>
      <c r="E4293" s="948"/>
      <c r="F4293" s="949"/>
      <c r="G4293" s="11"/>
    </row>
    <row r="4294" spans="1:7" ht="15" hidden="1" thickBot="1">
      <c r="A4294" s="908"/>
      <c r="B4294" s="910"/>
      <c r="C4294" s="911"/>
      <c r="D4294" s="911"/>
      <c r="E4294" s="911"/>
      <c r="F4294" s="911"/>
      <c r="G4294" s="912"/>
    </row>
    <row r="4295" spans="1:7" ht="15" hidden="1" thickBot="1">
      <c r="A4295" s="909"/>
      <c r="B4295" s="913"/>
      <c r="C4295" s="914"/>
      <c r="D4295" s="95"/>
      <c r="E4295" s="242"/>
      <c r="F4295" s="286"/>
      <c r="G4295" s="113"/>
    </row>
    <row r="4296" spans="1:7" hidden="1">
      <c r="A4296" s="122"/>
      <c r="B4296" s="160"/>
      <c r="C4296" s="161"/>
      <c r="D4296" s="109"/>
      <c r="E4296" s="254"/>
      <c r="F4296" s="304"/>
      <c r="G4296" s="129"/>
    </row>
    <row r="4297" spans="1:7" hidden="1">
      <c r="A4297" s="155"/>
      <c r="B4297" s="184"/>
      <c r="C4297" s="185"/>
      <c r="D4297" s="92"/>
      <c r="E4297" s="252"/>
      <c r="F4297" s="287"/>
      <c r="G4297" s="164"/>
    </row>
    <row r="4298" spans="1:7" ht="15" hidden="1" thickBot="1">
      <c r="A4298" s="165"/>
      <c r="B4298" s="166"/>
      <c r="C4298" s="167"/>
      <c r="D4298" s="168"/>
      <c r="E4298" s="262"/>
      <c r="F4298" s="306"/>
      <c r="G4298" s="170"/>
    </row>
    <row r="4299" spans="1:7" ht="15" hidden="1" thickBot="1">
      <c r="A4299" s="915"/>
      <c r="B4299" s="916"/>
      <c r="C4299" s="917"/>
      <c r="D4299" s="918"/>
      <c r="E4299" s="919"/>
      <c r="F4299" s="920"/>
      <c r="G4299" s="12"/>
    </row>
    <row r="4300" spans="1:7" ht="18.75" hidden="1" customHeight="1" thickBot="1">
      <c r="A4300" s="921"/>
      <c r="B4300" s="922"/>
      <c r="C4300" s="922"/>
      <c r="D4300" s="923"/>
      <c r="E4300" s="924"/>
      <c r="F4300" s="925"/>
      <c r="G4300" s="78"/>
    </row>
    <row r="4301" spans="1:7" s="7" customFormat="1" ht="15.75" hidden="1" thickBot="1">
      <c r="A4301" s="162"/>
      <c r="B4301" s="162"/>
      <c r="C4301" s="162"/>
      <c r="D4301" s="162"/>
      <c r="E4301" s="258"/>
      <c r="F4301" s="301"/>
      <c r="G4301" s="162"/>
    </row>
    <row r="4302" spans="1:7" ht="15" hidden="1" thickBot="1">
      <c r="A4302" s="1027"/>
      <c r="B4302" s="1028"/>
      <c r="C4302" s="1028"/>
      <c r="D4302" s="1028"/>
      <c r="E4302" s="1028"/>
      <c r="F4302" s="1028"/>
      <c r="G4302" s="1029"/>
    </row>
    <row r="4303" spans="1:7" ht="15" hidden="1" thickBot="1">
      <c r="A4303" s="950"/>
      <c r="B4303" s="951"/>
      <c r="C4303" s="951"/>
      <c r="D4303" s="951"/>
      <c r="E4303" s="952"/>
      <c r="F4303" s="272"/>
      <c r="G4303" s="43"/>
    </row>
    <row r="4304" spans="1:7" ht="15" hidden="1" customHeight="1" thickBot="1">
      <c r="A4304" s="953"/>
      <c r="B4304" s="954"/>
      <c r="C4304" s="954"/>
      <c r="D4304" s="954"/>
      <c r="E4304" s="955"/>
      <c r="F4304" s="273"/>
      <c r="G4304" s="45"/>
    </row>
    <row r="4305" spans="1:7" ht="15" hidden="1" thickBot="1">
      <c r="A4305" s="956"/>
      <c r="B4305" s="957"/>
      <c r="C4305" s="957"/>
      <c r="D4305" s="957"/>
      <c r="E4305" s="958"/>
      <c r="F4305" s="273"/>
      <c r="G4305" s="46"/>
    </row>
    <row r="4306" spans="1:7" ht="15" hidden="1" collapsed="1" thickBot="1">
      <c r="A4306" s="959"/>
      <c r="B4306" s="960"/>
      <c r="C4306" s="960"/>
      <c r="D4306" s="960"/>
      <c r="E4306" s="961"/>
      <c r="F4306" s="274"/>
      <c r="G4306" s="48"/>
    </row>
    <row r="4307" spans="1:7" ht="15" hidden="1" thickBot="1">
      <c r="A4307" s="962"/>
      <c r="B4307" s="963"/>
      <c r="C4307" s="964"/>
      <c r="D4307" s="964"/>
      <c r="E4307" s="964"/>
      <c r="F4307" s="964"/>
      <c r="G4307" s="965"/>
    </row>
    <row r="4308" spans="1:7" ht="15" hidden="1" thickBot="1">
      <c r="A4308" s="909"/>
      <c r="B4308" s="913"/>
      <c r="C4308" s="914"/>
      <c r="D4308" s="95"/>
      <c r="E4308" s="242"/>
      <c r="F4308" s="286"/>
      <c r="G4308" s="113"/>
    </row>
    <row r="4309" spans="1:7" ht="15" hidden="1" thickBot="1">
      <c r="A4309" s="114"/>
      <c r="B4309" s="966"/>
      <c r="C4309" s="967"/>
      <c r="D4309" s="88"/>
      <c r="E4309" s="251"/>
      <c r="F4309" s="284"/>
      <c r="G4309" s="117"/>
    </row>
    <row r="4310" spans="1:7" ht="15" hidden="1" thickBot="1">
      <c r="A4310" s="114"/>
      <c r="B4310" s="966"/>
      <c r="C4310" s="967"/>
      <c r="D4310" s="88"/>
      <c r="E4310" s="251"/>
      <c r="F4310" s="284"/>
      <c r="G4310" s="117"/>
    </row>
    <row r="4311" spans="1:7" hidden="1">
      <c r="A4311" s="154"/>
      <c r="B4311" s="968"/>
      <c r="C4311" s="969"/>
      <c r="D4311" s="171"/>
      <c r="E4311" s="260"/>
      <c r="F4311" s="285"/>
      <c r="G4311" s="149"/>
    </row>
    <row r="4312" spans="1:7" hidden="1">
      <c r="A4312" s="154"/>
      <c r="B4312" s="968"/>
      <c r="C4312" s="969"/>
      <c r="D4312" s="171"/>
      <c r="E4312" s="260"/>
      <c r="F4312" s="285"/>
      <c r="G4312" s="149"/>
    </row>
    <row r="4313" spans="1:7" hidden="1">
      <c r="A4313" s="154"/>
      <c r="B4313" s="968"/>
      <c r="C4313" s="969"/>
      <c r="D4313" s="171"/>
      <c r="E4313" s="260"/>
      <c r="F4313" s="285"/>
      <c r="G4313" s="149"/>
    </row>
    <row r="4314" spans="1:7" ht="15" hidden="1" thickBot="1">
      <c r="A4314" s="970"/>
      <c r="B4314" s="971"/>
      <c r="C4314" s="972"/>
      <c r="D4314" s="973"/>
      <c r="E4314" s="974"/>
      <c r="F4314" s="975"/>
      <c r="G4314" s="11"/>
    </row>
    <row r="4315" spans="1:7" ht="15" hidden="1" thickBot="1">
      <c r="A4315" s="908"/>
      <c r="B4315" s="910"/>
      <c r="C4315" s="911"/>
      <c r="D4315" s="911"/>
      <c r="E4315" s="911"/>
      <c r="F4315" s="911"/>
      <c r="G4315" s="912"/>
    </row>
    <row r="4316" spans="1:7" ht="15" hidden="1" thickBot="1">
      <c r="A4316" s="909"/>
      <c r="B4316" s="913"/>
      <c r="C4316" s="914"/>
      <c r="D4316" s="95"/>
      <c r="E4316" s="242"/>
      <c r="F4316" s="292"/>
      <c r="G4316" s="113"/>
    </row>
    <row r="4317" spans="1:7" ht="22.5" hidden="1" customHeight="1" thickBot="1">
      <c r="A4317" s="122"/>
      <c r="B4317" s="976"/>
      <c r="C4317" s="977"/>
      <c r="D4317" s="88"/>
      <c r="E4317" s="251"/>
      <c r="F4317" s="284"/>
      <c r="G4317" s="149"/>
    </row>
    <row r="4318" spans="1:7" ht="15" hidden="1" thickBot="1">
      <c r="A4318" s="155"/>
      <c r="B4318" s="930"/>
      <c r="C4318" s="931"/>
      <c r="D4318" s="88"/>
      <c r="E4318" s="251"/>
      <c r="F4318" s="284"/>
      <c r="G4318" s="149"/>
    </row>
    <row r="4319" spans="1:7" hidden="1">
      <c r="A4319" s="155"/>
      <c r="B4319" s="930"/>
      <c r="C4319" s="931"/>
      <c r="D4319" s="88"/>
      <c r="E4319" s="251"/>
      <c r="F4319" s="284"/>
      <c r="G4319" s="149"/>
    </row>
    <row r="4320" spans="1:7" ht="15" hidden="1" thickBot="1">
      <c r="A4320" s="178"/>
      <c r="B4320" s="926"/>
      <c r="C4320" s="927"/>
      <c r="D4320" s="179"/>
      <c r="E4320" s="261"/>
      <c r="F4320" s="305"/>
      <c r="G4320" s="181"/>
    </row>
    <row r="4321" spans="1:7" ht="15" hidden="1" thickBot="1">
      <c r="A4321" s="932"/>
      <c r="B4321" s="933"/>
      <c r="C4321" s="934"/>
      <c r="D4321" s="935"/>
      <c r="E4321" s="936"/>
      <c r="F4321" s="937"/>
      <c r="G4321" s="18"/>
    </row>
    <row r="4322" spans="1:7" ht="15" hidden="1" thickBot="1">
      <c r="A4322" s="908"/>
      <c r="B4322" s="910"/>
      <c r="C4322" s="911"/>
      <c r="D4322" s="911"/>
      <c r="E4322" s="911"/>
      <c r="F4322" s="911"/>
      <c r="G4322" s="912"/>
    </row>
    <row r="4323" spans="1:7" ht="15" hidden="1" thickBot="1">
      <c r="A4323" s="909"/>
      <c r="B4323" s="913"/>
      <c r="C4323" s="914"/>
      <c r="D4323" s="95"/>
      <c r="E4323" s="242"/>
      <c r="F4323" s="286"/>
      <c r="G4323" s="113"/>
    </row>
    <row r="4324" spans="1:7" hidden="1">
      <c r="A4324" s="127"/>
      <c r="B4324" s="930"/>
      <c r="C4324" s="931"/>
      <c r="D4324" s="88"/>
      <c r="E4324" s="251"/>
      <c r="F4324" s="284"/>
      <c r="G4324" s="159"/>
    </row>
    <row r="4325" spans="1:7" hidden="1">
      <c r="A4325" s="156"/>
      <c r="B4325" s="940"/>
      <c r="C4325" s="941"/>
      <c r="D4325" s="157"/>
      <c r="E4325" s="259"/>
      <c r="F4325" s="303"/>
      <c r="G4325" s="159"/>
    </row>
    <row r="4326" spans="1:7" ht="15" hidden="1" thickBot="1">
      <c r="A4326" s="130"/>
      <c r="B4326" s="942"/>
      <c r="C4326" s="943"/>
      <c r="D4326" s="104"/>
      <c r="E4326" s="247"/>
      <c r="F4326" s="288"/>
      <c r="G4326" s="131"/>
    </row>
    <row r="4327" spans="1:7" ht="15" hidden="1" thickBot="1">
      <c r="A4327" s="944"/>
      <c r="B4327" s="945"/>
      <c r="C4327" s="946"/>
      <c r="D4327" s="947"/>
      <c r="E4327" s="948"/>
      <c r="F4327" s="949"/>
      <c r="G4327" s="11"/>
    </row>
    <row r="4328" spans="1:7" ht="15" hidden="1" thickBot="1">
      <c r="A4328" s="908"/>
      <c r="B4328" s="910"/>
      <c r="C4328" s="911"/>
      <c r="D4328" s="911"/>
      <c r="E4328" s="911"/>
      <c r="F4328" s="911"/>
      <c r="G4328" s="912"/>
    </row>
    <row r="4329" spans="1:7" ht="15" hidden="1" thickBot="1">
      <c r="A4329" s="909"/>
      <c r="B4329" s="913"/>
      <c r="C4329" s="914"/>
      <c r="D4329" s="95"/>
      <c r="E4329" s="242"/>
      <c r="F4329" s="286"/>
      <c r="G4329" s="113"/>
    </row>
    <row r="4330" spans="1:7" ht="15" hidden="1" thickBot="1">
      <c r="A4330" s="122"/>
      <c r="B4330" s="160"/>
      <c r="C4330" s="161"/>
      <c r="D4330" s="109"/>
      <c r="E4330" s="254"/>
      <c r="F4330" s="304"/>
      <c r="G4330" s="129"/>
    </row>
    <row r="4331" spans="1:7" ht="15" hidden="1" thickBot="1">
      <c r="A4331" s="915"/>
      <c r="B4331" s="916"/>
      <c r="C4331" s="917"/>
      <c r="D4331" s="918"/>
      <c r="E4331" s="919"/>
      <c r="F4331" s="920"/>
      <c r="G4331" s="12"/>
    </row>
    <row r="4332" spans="1:7" ht="18.75" hidden="1" customHeight="1" thickBot="1">
      <c r="A4332" s="921"/>
      <c r="B4332" s="922"/>
      <c r="C4332" s="922"/>
      <c r="D4332" s="923"/>
      <c r="E4332" s="924"/>
      <c r="F4332" s="925"/>
      <c r="G4332" s="153"/>
    </row>
    <row r="4333" spans="1:7" hidden="1">
      <c r="A4333" s="80"/>
      <c r="B4333" s="81"/>
      <c r="C4333" s="81"/>
      <c r="D4333" s="81"/>
      <c r="E4333" s="241"/>
      <c r="F4333" s="271"/>
      <c r="G4333" s="81"/>
    </row>
    <row r="4334" spans="1:7" s="7" customFormat="1" ht="15.75" hidden="1" thickBot="1">
      <c r="A4334" s="162"/>
      <c r="B4334" s="162"/>
      <c r="C4334" s="162"/>
      <c r="D4334" s="162"/>
      <c r="E4334" s="258"/>
      <c r="F4334" s="301"/>
      <c r="G4334" s="162"/>
    </row>
    <row r="4335" spans="1:7" ht="15" hidden="1" thickBot="1">
      <c r="A4335" s="1027"/>
      <c r="B4335" s="1028"/>
      <c r="C4335" s="1028"/>
      <c r="D4335" s="1028"/>
      <c r="E4335" s="1028"/>
      <c r="F4335" s="1028"/>
      <c r="G4335" s="1029"/>
    </row>
    <row r="4336" spans="1:7" ht="15" hidden="1" thickBot="1">
      <c r="A4336" s="950"/>
      <c r="B4336" s="951"/>
      <c r="C4336" s="951"/>
      <c r="D4336" s="951"/>
      <c r="E4336" s="952"/>
      <c r="F4336" s="272"/>
      <c r="G4336" s="43"/>
    </row>
    <row r="4337" spans="1:7" ht="15" hidden="1" customHeight="1" thickBot="1">
      <c r="A4337" s="953"/>
      <c r="B4337" s="954"/>
      <c r="C4337" s="954"/>
      <c r="D4337" s="954"/>
      <c r="E4337" s="955"/>
      <c r="F4337" s="273"/>
      <c r="G4337" s="45"/>
    </row>
    <row r="4338" spans="1:7" ht="15" hidden="1" thickBot="1">
      <c r="A4338" s="956"/>
      <c r="B4338" s="957"/>
      <c r="C4338" s="957"/>
      <c r="D4338" s="957"/>
      <c r="E4338" s="958"/>
      <c r="F4338" s="273"/>
      <c r="G4338" s="46"/>
    </row>
    <row r="4339" spans="1:7" ht="15" hidden="1" collapsed="1" thickBot="1">
      <c r="A4339" s="959"/>
      <c r="B4339" s="960"/>
      <c r="C4339" s="960"/>
      <c r="D4339" s="960"/>
      <c r="E4339" s="961"/>
      <c r="F4339" s="274"/>
      <c r="G4339" s="48"/>
    </row>
    <row r="4340" spans="1:7" ht="15" hidden="1" thickBot="1">
      <c r="A4340" s="962"/>
      <c r="B4340" s="963"/>
      <c r="C4340" s="964"/>
      <c r="D4340" s="964"/>
      <c r="E4340" s="964"/>
      <c r="F4340" s="964"/>
      <c r="G4340" s="965"/>
    </row>
    <row r="4341" spans="1:7" ht="15" hidden="1" thickBot="1">
      <c r="A4341" s="909"/>
      <c r="B4341" s="913"/>
      <c r="C4341" s="914"/>
      <c r="D4341" s="95"/>
      <c r="E4341" s="242"/>
      <c r="F4341" s="286"/>
      <c r="G4341" s="113"/>
    </row>
    <row r="4342" spans="1:7" ht="15" hidden="1" thickBot="1">
      <c r="A4342" s="114"/>
      <c r="B4342" s="966"/>
      <c r="C4342" s="967"/>
      <c r="D4342" s="88"/>
      <c r="E4342" s="251"/>
      <c r="F4342" s="284"/>
      <c r="G4342" s="117"/>
    </row>
    <row r="4343" spans="1:7" ht="15" hidden="1" thickBot="1">
      <c r="A4343" s="114"/>
      <c r="B4343" s="966"/>
      <c r="C4343" s="967"/>
      <c r="D4343" s="88"/>
      <c r="E4343" s="251"/>
      <c r="F4343" s="284"/>
      <c r="G4343" s="117"/>
    </row>
    <row r="4344" spans="1:7" hidden="1">
      <c r="A4344" s="154"/>
      <c r="B4344" s="968"/>
      <c r="C4344" s="969"/>
      <c r="D4344" s="171"/>
      <c r="E4344" s="260"/>
      <c r="F4344" s="285"/>
      <c r="G4344" s="149"/>
    </row>
    <row r="4345" spans="1:7" hidden="1">
      <c r="A4345" s="154"/>
      <c r="B4345" s="968"/>
      <c r="C4345" s="969"/>
      <c r="D4345" s="171"/>
      <c r="E4345" s="260"/>
      <c r="F4345" s="285"/>
      <c r="G4345" s="149"/>
    </row>
    <row r="4346" spans="1:7" hidden="1">
      <c r="A4346" s="154"/>
      <c r="B4346" s="968"/>
      <c r="C4346" s="969"/>
      <c r="D4346" s="171"/>
      <c r="E4346" s="260"/>
      <c r="F4346" s="285"/>
      <c r="G4346" s="149"/>
    </row>
    <row r="4347" spans="1:7" ht="15" hidden="1" thickBot="1">
      <c r="A4347" s="970"/>
      <c r="B4347" s="971"/>
      <c r="C4347" s="972"/>
      <c r="D4347" s="973"/>
      <c r="E4347" s="974"/>
      <c r="F4347" s="975"/>
      <c r="G4347" s="11"/>
    </row>
    <row r="4348" spans="1:7" ht="15" hidden="1" thickBot="1">
      <c r="A4348" s="908"/>
      <c r="B4348" s="910"/>
      <c r="C4348" s="911"/>
      <c r="D4348" s="911"/>
      <c r="E4348" s="911"/>
      <c r="F4348" s="911"/>
      <c r="G4348" s="912"/>
    </row>
    <row r="4349" spans="1:7" ht="15" hidden="1" thickBot="1">
      <c r="A4349" s="909"/>
      <c r="B4349" s="913"/>
      <c r="C4349" s="914"/>
      <c r="D4349" s="95"/>
      <c r="E4349" s="242"/>
      <c r="F4349" s="292"/>
      <c r="G4349" s="113"/>
    </row>
    <row r="4350" spans="1:7" ht="22.5" hidden="1" customHeight="1" thickBot="1">
      <c r="A4350" s="122"/>
      <c r="B4350" s="976"/>
      <c r="C4350" s="977"/>
      <c r="D4350" s="88"/>
      <c r="E4350" s="251"/>
      <c r="F4350" s="284"/>
      <c r="G4350" s="149"/>
    </row>
    <row r="4351" spans="1:7" ht="15" hidden="1" thickBot="1">
      <c r="A4351" s="155"/>
      <c r="B4351" s="930"/>
      <c r="C4351" s="931"/>
      <c r="D4351" s="88"/>
      <c r="E4351" s="251"/>
      <c r="F4351" s="284"/>
      <c r="G4351" s="149"/>
    </row>
    <row r="4352" spans="1:7" hidden="1">
      <c r="A4352" s="155"/>
      <c r="B4352" s="930"/>
      <c r="C4352" s="931"/>
      <c r="D4352" s="88"/>
      <c r="E4352" s="251"/>
      <c r="F4352" s="284"/>
      <c r="G4352" s="149"/>
    </row>
    <row r="4353" spans="1:7" ht="15" hidden="1" thickBot="1">
      <c r="A4353" s="178"/>
      <c r="B4353" s="926"/>
      <c r="C4353" s="927"/>
      <c r="D4353" s="179"/>
      <c r="E4353" s="261"/>
      <c r="F4353" s="305"/>
      <c r="G4353" s="181"/>
    </row>
    <row r="4354" spans="1:7" ht="15" hidden="1" thickBot="1">
      <c r="A4354" s="932"/>
      <c r="B4354" s="933"/>
      <c r="C4354" s="934"/>
      <c r="D4354" s="935"/>
      <c r="E4354" s="936"/>
      <c r="F4354" s="937"/>
      <c r="G4354" s="18"/>
    </row>
    <row r="4355" spans="1:7" ht="15" hidden="1" thickBot="1">
      <c r="A4355" s="908"/>
      <c r="B4355" s="910"/>
      <c r="C4355" s="911"/>
      <c r="D4355" s="911"/>
      <c r="E4355" s="911"/>
      <c r="F4355" s="911"/>
      <c r="G4355" s="912"/>
    </row>
    <row r="4356" spans="1:7" ht="15" hidden="1" thickBot="1">
      <c r="A4356" s="909"/>
      <c r="B4356" s="913"/>
      <c r="C4356" s="914"/>
      <c r="D4356" s="95"/>
      <c r="E4356" s="242"/>
      <c r="F4356" s="286"/>
      <c r="G4356" s="113"/>
    </row>
    <row r="4357" spans="1:7" hidden="1">
      <c r="A4357" s="127"/>
      <c r="B4357" s="930"/>
      <c r="C4357" s="931"/>
      <c r="D4357" s="88"/>
      <c r="E4357" s="251"/>
      <c r="F4357" s="284"/>
      <c r="G4357" s="159"/>
    </row>
    <row r="4358" spans="1:7" hidden="1">
      <c r="A4358" s="156"/>
      <c r="B4358" s="940"/>
      <c r="C4358" s="941"/>
      <c r="D4358" s="157"/>
      <c r="E4358" s="259"/>
      <c r="F4358" s="303"/>
      <c r="G4358" s="159"/>
    </row>
    <row r="4359" spans="1:7" ht="15" hidden="1" thickBot="1">
      <c r="A4359" s="130"/>
      <c r="B4359" s="942"/>
      <c r="C4359" s="943"/>
      <c r="D4359" s="104"/>
      <c r="E4359" s="247"/>
      <c r="F4359" s="288"/>
      <c r="G4359" s="131"/>
    </row>
    <row r="4360" spans="1:7" ht="15" hidden="1" thickBot="1">
      <c r="A4360" s="944"/>
      <c r="B4360" s="945"/>
      <c r="C4360" s="946"/>
      <c r="D4360" s="947"/>
      <c r="E4360" s="948"/>
      <c r="F4360" s="949"/>
      <c r="G4360" s="11"/>
    </row>
    <row r="4361" spans="1:7" ht="15" hidden="1" thickBot="1">
      <c r="A4361" s="908"/>
      <c r="B4361" s="910"/>
      <c r="C4361" s="911"/>
      <c r="D4361" s="911"/>
      <c r="E4361" s="911"/>
      <c r="F4361" s="911"/>
      <c r="G4361" s="912"/>
    </row>
    <row r="4362" spans="1:7" ht="15" hidden="1" thickBot="1">
      <c r="A4362" s="909"/>
      <c r="B4362" s="913"/>
      <c r="C4362" s="914"/>
      <c r="D4362" s="95"/>
      <c r="E4362" s="242"/>
      <c r="F4362" s="286"/>
      <c r="G4362" s="113"/>
    </row>
    <row r="4363" spans="1:7" ht="15" hidden="1" thickBot="1">
      <c r="A4363" s="122"/>
      <c r="B4363" s="160"/>
      <c r="C4363" s="161"/>
      <c r="D4363" s="109"/>
      <c r="E4363" s="254"/>
      <c r="F4363" s="304"/>
      <c r="G4363" s="129"/>
    </row>
    <row r="4364" spans="1:7" ht="15" hidden="1" thickBot="1">
      <c r="A4364" s="915"/>
      <c r="B4364" s="916"/>
      <c r="C4364" s="917"/>
      <c r="D4364" s="918"/>
      <c r="E4364" s="919"/>
      <c r="F4364" s="920"/>
      <c r="G4364" s="12"/>
    </row>
    <row r="4365" spans="1:7" ht="18.75" hidden="1" customHeight="1" thickBot="1">
      <c r="A4365" s="921"/>
      <c r="B4365" s="922"/>
      <c r="C4365" s="922"/>
      <c r="D4365" s="923"/>
      <c r="E4365" s="924"/>
      <c r="F4365" s="925"/>
      <c r="G4365" s="153"/>
    </row>
    <row r="4366" spans="1:7" hidden="1">
      <c r="A4366" s="80"/>
      <c r="B4366" s="81"/>
      <c r="C4366" s="81"/>
      <c r="D4366" s="81"/>
      <c r="E4366" s="241"/>
      <c r="F4366" s="271"/>
      <c r="G4366" s="81"/>
    </row>
    <row r="4367" spans="1:7" ht="18.75" hidden="1" customHeight="1">
      <c r="A4367" s="40"/>
      <c r="B4367" s="40"/>
      <c r="C4367" s="40"/>
      <c r="D4367" s="146"/>
      <c r="E4367" s="250"/>
      <c r="F4367" s="298"/>
      <c r="G4367" s="147"/>
    </row>
    <row r="4368" spans="1:7" s="7" customFormat="1" ht="15.75" hidden="1" thickBot="1">
      <c r="A4368" s="162"/>
      <c r="B4368" s="162"/>
      <c r="C4368" s="162"/>
      <c r="D4368" s="162"/>
      <c r="E4368" s="258"/>
      <c r="F4368" s="301"/>
      <c r="G4368" s="162"/>
    </row>
    <row r="4369" spans="1:7" ht="15" hidden="1" thickBot="1">
      <c r="A4369" s="1027"/>
      <c r="B4369" s="1028"/>
      <c r="C4369" s="1028"/>
      <c r="D4369" s="1028"/>
      <c r="E4369" s="1028"/>
      <c r="F4369" s="1028"/>
      <c r="G4369" s="1029"/>
    </row>
    <row r="4370" spans="1:7" ht="15" hidden="1" thickBot="1">
      <c r="A4370" s="950"/>
      <c r="B4370" s="951"/>
      <c r="C4370" s="951"/>
      <c r="D4370" s="951"/>
      <c r="E4370" s="952"/>
      <c r="F4370" s="272"/>
      <c r="G4370" s="43"/>
    </row>
    <row r="4371" spans="1:7" ht="15" hidden="1" customHeight="1" thickBot="1">
      <c r="A4371" s="953"/>
      <c r="B4371" s="954"/>
      <c r="C4371" s="954"/>
      <c r="D4371" s="954"/>
      <c r="E4371" s="955"/>
      <c r="F4371" s="273"/>
      <c r="G4371" s="45"/>
    </row>
    <row r="4372" spans="1:7" ht="15" hidden="1" thickBot="1">
      <c r="A4372" s="956"/>
      <c r="B4372" s="957"/>
      <c r="C4372" s="957"/>
      <c r="D4372" s="957"/>
      <c r="E4372" s="958"/>
      <c r="F4372" s="273"/>
      <c r="G4372" s="46"/>
    </row>
    <row r="4373" spans="1:7" ht="15" hidden="1" collapsed="1" thickBot="1">
      <c r="A4373" s="959"/>
      <c r="B4373" s="960"/>
      <c r="C4373" s="960"/>
      <c r="D4373" s="960"/>
      <c r="E4373" s="961"/>
      <c r="F4373" s="274"/>
      <c r="G4373" s="48"/>
    </row>
    <row r="4374" spans="1:7" ht="15" hidden="1" thickBot="1">
      <c r="A4374" s="962"/>
      <c r="B4374" s="963"/>
      <c r="C4374" s="964"/>
      <c r="D4374" s="964"/>
      <c r="E4374" s="964"/>
      <c r="F4374" s="964"/>
      <c r="G4374" s="965"/>
    </row>
    <row r="4375" spans="1:7" ht="15" hidden="1" thickBot="1">
      <c r="A4375" s="909"/>
      <c r="B4375" s="913"/>
      <c r="C4375" s="914"/>
      <c r="D4375" s="95"/>
      <c r="E4375" s="242"/>
      <c r="F4375" s="286"/>
      <c r="G4375" s="113"/>
    </row>
    <row r="4376" spans="1:7" ht="15" hidden="1" thickBot="1">
      <c r="A4376" s="114"/>
      <c r="B4376" s="966"/>
      <c r="C4376" s="967"/>
      <c r="D4376" s="88"/>
      <c r="E4376" s="251"/>
      <c r="F4376" s="284"/>
      <c r="G4376" s="117"/>
    </row>
    <row r="4377" spans="1:7" ht="15" hidden="1" thickBot="1">
      <c r="A4377" s="114"/>
      <c r="B4377" s="966"/>
      <c r="C4377" s="967"/>
      <c r="D4377" s="88"/>
      <c r="E4377" s="251"/>
      <c r="F4377" s="284"/>
      <c r="G4377" s="117"/>
    </row>
    <row r="4378" spans="1:7" hidden="1">
      <c r="A4378" s="154"/>
      <c r="B4378" s="968"/>
      <c r="C4378" s="969"/>
      <c r="D4378" s="171"/>
      <c r="E4378" s="260"/>
      <c r="F4378" s="285"/>
      <c r="G4378" s="149"/>
    </row>
    <row r="4379" spans="1:7" hidden="1">
      <c r="A4379" s="154"/>
      <c r="B4379" s="968"/>
      <c r="C4379" s="969"/>
      <c r="D4379" s="171"/>
      <c r="E4379" s="260"/>
      <c r="F4379" s="285"/>
      <c r="G4379" s="149"/>
    </row>
    <row r="4380" spans="1:7" hidden="1">
      <c r="A4380" s="154"/>
      <c r="B4380" s="968"/>
      <c r="C4380" s="969"/>
      <c r="D4380" s="171"/>
      <c r="E4380" s="260"/>
      <c r="F4380" s="285"/>
      <c r="G4380" s="149"/>
    </row>
    <row r="4381" spans="1:7" ht="15" hidden="1" thickBot="1">
      <c r="A4381" s="970"/>
      <c r="B4381" s="971"/>
      <c r="C4381" s="972"/>
      <c r="D4381" s="973"/>
      <c r="E4381" s="974"/>
      <c r="F4381" s="975"/>
      <c r="G4381" s="11"/>
    </row>
    <row r="4382" spans="1:7" ht="15" hidden="1" thickBot="1">
      <c r="A4382" s="908"/>
      <c r="B4382" s="910"/>
      <c r="C4382" s="911"/>
      <c r="D4382" s="911"/>
      <c r="E4382" s="911"/>
      <c r="F4382" s="911"/>
      <c r="G4382" s="912"/>
    </row>
    <row r="4383" spans="1:7" ht="15" hidden="1" thickBot="1">
      <c r="A4383" s="909"/>
      <c r="B4383" s="913"/>
      <c r="C4383" s="914"/>
      <c r="D4383" s="95"/>
      <c r="E4383" s="242"/>
      <c r="F4383" s="292"/>
      <c r="G4383" s="113"/>
    </row>
    <row r="4384" spans="1:7" ht="15" hidden="1" thickBot="1">
      <c r="A4384" s="122"/>
      <c r="B4384" s="976"/>
      <c r="C4384" s="977"/>
      <c r="D4384" s="88"/>
      <c r="E4384" s="251"/>
      <c r="F4384" s="284"/>
      <c r="G4384" s="149"/>
    </row>
    <row r="4385" spans="1:7" ht="15" hidden="1" thickBot="1">
      <c r="A4385" s="155"/>
      <c r="B4385" s="930"/>
      <c r="C4385" s="931"/>
      <c r="D4385" s="88"/>
      <c r="E4385" s="251"/>
      <c r="F4385" s="284"/>
      <c r="G4385" s="149"/>
    </row>
    <row r="4386" spans="1:7" hidden="1">
      <c r="A4386" s="155"/>
      <c r="B4386" s="930"/>
      <c r="C4386" s="931"/>
      <c r="D4386" s="88"/>
      <c r="E4386" s="251"/>
      <c r="F4386" s="284"/>
      <c r="G4386" s="149"/>
    </row>
    <row r="4387" spans="1:7" ht="15" hidden="1" thickBot="1">
      <c r="A4387" s="178"/>
      <c r="B4387" s="926"/>
      <c r="C4387" s="927"/>
      <c r="D4387" s="179"/>
      <c r="E4387" s="261"/>
      <c r="F4387" s="305"/>
      <c r="G4387" s="181"/>
    </row>
    <row r="4388" spans="1:7" ht="15" hidden="1" thickBot="1">
      <c r="A4388" s="932"/>
      <c r="B4388" s="933"/>
      <c r="C4388" s="934"/>
      <c r="D4388" s="935"/>
      <c r="E4388" s="936"/>
      <c r="F4388" s="937"/>
      <c r="G4388" s="18"/>
    </row>
    <row r="4389" spans="1:7" ht="15" hidden="1" thickBot="1">
      <c r="A4389" s="908"/>
      <c r="B4389" s="910"/>
      <c r="C4389" s="911"/>
      <c r="D4389" s="911"/>
      <c r="E4389" s="911"/>
      <c r="F4389" s="911"/>
      <c r="G4389" s="912"/>
    </row>
    <row r="4390" spans="1:7" ht="15" hidden="1" thickBot="1">
      <c r="A4390" s="909"/>
      <c r="B4390" s="913"/>
      <c r="C4390" s="914"/>
      <c r="D4390" s="95"/>
      <c r="E4390" s="242"/>
      <c r="F4390" s="286"/>
      <c r="G4390" s="113"/>
    </row>
    <row r="4391" spans="1:7" hidden="1">
      <c r="A4391" s="127"/>
      <c r="B4391" s="930"/>
      <c r="C4391" s="931"/>
      <c r="D4391" s="88"/>
      <c r="E4391" s="251"/>
      <c r="F4391" s="284"/>
      <c r="G4391" s="159"/>
    </row>
    <row r="4392" spans="1:7" hidden="1">
      <c r="A4392" s="156"/>
      <c r="B4392" s="940"/>
      <c r="C4392" s="941"/>
      <c r="D4392" s="157"/>
      <c r="E4392" s="259"/>
      <c r="F4392" s="303"/>
      <c r="G4392" s="159"/>
    </row>
    <row r="4393" spans="1:7" ht="15" hidden="1" thickBot="1">
      <c r="A4393" s="130"/>
      <c r="B4393" s="942"/>
      <c r="C4393" s="943"/>
      <c r="D4393" s="104"/>
      <c r="E4393" s="247"/>
      <c r="F4393" s="288"/>
      <c r="G4393" s="131"/>
    </row>
    <row r="4394" spans="1:7" ht="15" hidden="1" thickBot="1">
      <c r="A4394" s="944"/>
      <c r="B4394" s="945"/>
      <c r="C4394" s="946"/>
      <c r="D4394" s="947"/>
      <c r="E4394" s="948"/>
      <c r="F4394" s="949"/>
      <c r="G4394" s="11"/>
    </row>
    <row r="4395" spans="1:7" ht="15" hidden="1" thickBot="1">
      <c r="A4395" s="908"/>
      <c r="B4395" s="910"/>
      <c r="C4395" s="911"/>
      <c r="D4395" s="911"/>
      <c r="E4395" s="911"/>
      <c r="F4395" s="911"/>
      <c r="G4395" s="912"/>
    </row>
    <row r="4396" spans="1:7" ht="15" hidden="1" thickBot="1">
      <c r="A4396" s="909"/>
      <c r="B4396" s="913"/>
      <c r="C4396" s="914"/>
      <c r="D4396" s="95"/>
      <c r="E4396" s="242"/>
      <c r="F4396" s="286"/>
      <c r="G4396" s="113"/>
    </row>
    <row r="4397" spans="1:7" ht="15" hidden="1" thickBot="1">
      <c r="A4397" s="122"/>
      <c r="B4397" s="160"/>
      <c r="C4397" s="161"/>
      <c r="D4397" s="109"/>
      <c r="E4397" s="254"/>
      <c r="F4397" s="304"/>
      <c r="G4397" s="129"/>
    </row>
    <row r="4398" spans="1:7" ht="15" hidden="1" thickBot="1">
      <c r="A4398" s="915"/>
      <c r="B4398" s="916"/>
      <c r="C4398" s="917"/>
      <c r="D4398" s="918"/>
      <c r="E4398" s="919"/>
      <c r="F4398" s="920"/>
      <c r="G4398" s="12"/>
    </row>
    <row r="4399" spans="1:7" ht="18.75" hidden="1" customHeight="1" thickBot="1">
      <c r="A4399" s="921"/>
      <c r="B4399" s="922"/>
      <c r="C4399" s="922"/>
      <c r="D4399" s="923"/>
      <c r="E4399" s="924"/>
      <c r="F4399" s="925"/>
      <c r="G4399" s="153"/>
    </row>
    <row r="4400" spans="1:7" hidden="1">
      <c r="A4400" s="80"/>
      <c r="B4400" s="81"/>
      <c r="C4400" s="81"/>
      <c r="D4400" s="81"/>
      <c r="E4400" s="241"/>
      <c r="F4400" s="271"/>
      <c r="G4400" s="81"/>
    </row>
    <row r="4401" spans="1:7" ht="18.75" hidden="1" customHeight="1">
      <c r="A4401" s="49"/>
      <c r="B4401" s="49"/>
      <c r="C4401" s="49"/>
      <c r="D4401" s="49"/>
      <c r="F4401" s="307"/>
      <c r="G4401" s="49"/>
    </row>
    <row r="4402" spans="1:7" s="7" customFormat="1" ht="13.5" hidden="1" thickBot="1">
      <c r="A4402" s="1036"/>
      <c r="B4402" s="1037"/>
      <c r="C4402" s="1037"/>
      <c r="D4402" s="1037"/>
      <c r="E4402" s="1037"/>
      <c r="F4402" s="1037"/>
      <c r="G4402" s="1038"/>
    </row>
    <row r="4403" spans="1:7" ht="15" hidden="1" thickBot="1">
      <c r="A4403" s="1006"/>
      <c r="B4403" s="1007"/>
      <c r="C4403" s="1007"/>
      <c r="D4403" s="1007"/>
      <c r="E4403" s="1007"/>
      <c r="F4403" s="272"/>
      <c r="G4403" s="43"/>
    </row>
    <row r="4404" spans="1:7" ht="15" hidden="1" customHeight="1" thickBot="1">
      <c r="A4404" s="953"/>
      <c r="B4404" s="954"/>
      <c r="C4404" s="954"/>
      <c r="D4404" s="954"/>
      <c r="E4404" s="955"/>
      <c r="F4404" s="273"/>
      <c r="G4404" s="45"/>
    </row>
    <row r="4405" spans="1:7" ht="15" hidden="1" customHeight="1" thickBot="1">
      <c r="A4405" s="956"/>
      <c r="B4405" s="957"/>
      <c r="C4405" s="957"/>
      <c r="D4405" s="957"/>
      <c r="E4405" s="958"/>
      <c r="F4405" s="273"/>
      <c r="G4405" s="46"/>
    </row>
    <row r="4406" spans="1:7" ht="15" hidden="1" thickBot="1">
      <c r="A4406" s="959"/>
      <c r="B4406" s="960"/>
      <c r="C4406" s="960"/>
      <c r="D4406" s="960"/>
      <c r="E4406" s="961"/>
      <c r="F4406" s="274"/>
      <c r="G4406" s="48"/>
    </row>
    <row r="4407" spans="1:7" ht="15" hidden="1" collapsed="1" thickBot="1">
      <c r="A4407" s="1008"/>
      <c r="B4407" s="1009"/>
      <c r="C4407" s="1009"/>
      <c r="D4407" s="1009"/>
      <c r="E4407" s="1009"/>
      <c r="F4407" s="1009"/>
      <c r="G4407" s="1010"/>
    </row>
    <row r="4408" spans="1:7" ht="17.25" hidden="1" customHeight="1" thickBot="1">
      <c r="A4408" s="982"/>
      <c r="B4408" s="913"/>
      <c r="C4408" s="914"/>
      <c r="D4408" s="95"/>
      <c r="E4408" s="242"/>
      <c r="F4408" s="286"/>
      <c r="G4408" s="97"/>
    </row>
    <row r="4409" spans="1:7" ht="17.25" hidden="1" customHeight="1">
      <c r="A4409" s="87"/>
      <c r="B4409" s="930"/>
      <c r="C4409" s="931"/>
      <c r="D4409" s="88"/>
      <c r="E4409" s="251"/>
      <c r="F4409" s="284"/>
      <c r="G4409" s="90"/>
    </row>
    <row r="4410" spans="1:7" ht="15.75" hidden="1" customHeight="1">
      <c r="A4410" s="91"/>
      <c r="B4410" s="968"/>
      <c r="C4410" s="969"/>
      <c r="D4410" s="92"/>
      <c r="E4410" s="252"/>
      <c r="F4410" s="285"/>
      <c r="G4410" s="94"/>
    </row>
    <row r="4411" spans="1:7" ht="15.75" hidden="1" customHeight="1">
      <c r="A4411" s="91"/>
      <c r="B4411" s="968"/>
      <c r="C4411" s="969"/>
      <c r="D4411" s="92"/>
      <c r="E4411" s="252"/>
      <c r="F4411" s="285"/>
      <c r="G4411" s="94"/>
    </row>
    <row r="4412" spans="1:7" ht="15" hidden="1" customHeight="1" thickBot="1">
      <c r="A4412" s="994"/>
      <c r="B4412" s="995"/>
      <c r="C4412" s="995"/>
      <c r="D4412" s="981"/>
      <c r="E4412" s="981"/>
      <c r="F4412" s="981"/>
      <c r="G4412" s="13"/>
    </row>
    <row r="4413" spans="1:7" ht="15.75" hidden="1" customHeight="1" thickBot="1">
      <c r="A4413" s="982"/>
      <c r="B4413" s="983"/>
      <c r="C4413" s="983"/>
      <c r="D4413" s="983"/>
      <c r="E4413" s="983"/>
      <c r="F4413" s="983"/>
      <c r="G4413" s="984"/>
    </row>
    <row r="4414" spans="1:7" ht="17.25" hidden="1" customHeight="1" thickBot="1">
      <c r="A4414" s="982"/>
      <c r="B4414" s="913"/>
      <c r="C4414" s="914"/>
      <c r="D4414" s="95"/>
      <c r="E4414" s="242"/>
      <c r="F4414" s="286"/>
      <c r="G4414" s="97"/>
    </row>
    <row r="4415" spans="1:7" ht="22.5" hidden="1" customHeight="1">
      <c r="A4415" s="98"/>
      <c r="B4415" s="928"/>
      <c r="C4415" s="929"/>
      <c r="D4415" s="99"/>
      <c r="E4415" s="253"/>
      <c r="F4415" s="287"/>
      <c r="G4415" s="102"/>
    </row>
    <row r="4416" spans="1:7" ht="22.5" hidden="1" customHeight="1">
      <c r="A4416" s="98"/>
      <c r="B4416" s="928"/>
      <c r="C4416" s="929"/>
      <c r="D4416" s="99"/>
      <c r="E4416" s="253"/>
      <c r="F4416" s="287"/>
      <c r="G4416" s="102"/>
    </row>
    <row r="4417" spans="1:7" ht="15.75" hidden="1" customHeight="1" thickBot="1">
      <c r="A4417" s="996"/>
      <c r="B4417" s="997"/>
      <c r="C4417" s="998"/>
      <c r="D4417" s="981"/>
      <c r="E4417" s="981"/>
      <c r="F4417" s="981"/>
      <c r="G4417" s="13"/>
    </row>
    <row r="4418" spans="1:7" ht="15.75" hidden="1" customHeight="1" thickBot="1">
      <c r="A4418" s="982"/>
      <c r="B4418" s="983"/>
      <c r="C4418" s="983"/>
      <c r="D4418" s="983"/>
      <c r="E4418" s="983"/>
      <c r="F4418" s="983"/>
      <c r="G4418" s="984"/>
    </row>
    <row r="4419" spans="1:7" ht="15.75" hidden="1" customHeight="1" thickBot="1">
      <c r="A4419" s="982"/>
      <c r="B4419" s="913"/>
      <c r="C4419" s="914"/>
      <c r="D4419" s="95"/>
      <c r="E4419" s="242"/>
      <c r="F4419" s="286"/>
      <c r="G4419" s="97"/>
    </row>
    <row r="4420" spans="1:7" ht="22.5" hidden="1" customHeight="1" thickBot="1">
      <c r="A4420" s="103"/>
      <c r="B4420" s="942"/>
      <c r="C4420" s="943"/>
      <c r="D4420" s="104"/>
      <c r="E4420" s="247"/>
      <c r="F4420" s="288"/>
      <c r="G4420" s="106"/>
    </row>
    <row r="4421" spans="1:7" ht="22.5" hidden="1" customHeight="1" thickBot="1">
      <c r="A4421" s="978"/>
      <c r="B4421" s="979"/>
      <c r="C4421" s="980"/>
      <c r="D4421" s="981"/>
      <c r="E4421" s="981"/>
      <c r="F4421" s="981"/>
      <c r="G4421" s="13"/>
    </row>
    <row r="4422" spans="1:7" ht="15.75" hidden="1" customHeight="1" thickBot="1">
      <c r="A4422" s="982"/>
      <c r="B4422" s="983"/>
      <c r="C4422" s="983"/>
      <c r="D4422" s="983"/>
      <c r="E4422" s="983"/>
      <c r="F4422" s="983"/>
      <c r="G4422" s="984"/>
    </row>
    <row r="4423" spans="1:7" ht="15.75" hidden="1" customHeight="1" thickBot="1">
      <c r="A4423" s="982"/>
      <c r="B4423" s="913"/>
      <c r="C4423" s="914"/>
      <c r="D4423" s="95"/>
      <c r="E4423" s="242"/>
      <c r="F4423" s="289"/>
      <c r="G4423" s="97"/>
    </row>
    <row r="4424" spans="1:7" ht="15.75" hidden="1" customHeight="1">
      <c r="A4424" s="108"/>
      <c r="B4424" s="985"/>
      <c r="C4424" s="986"/>
      <c r="D4424" s="109"/>
      <c r="E4424" s="254"/>
      <c r="F4424" s="290"/>
      <c r="G4424" s="111"/>
    </row>
    <row r="4425" spans="1:7" ht="15.75" hidden="1" customHeight="1" thickBot="1">
      <c r="A4425" s="987"/>
      <c r="B4425" s="988"/>
      <c r="C4425" s="989"/>
      <c r="D4425" s="990"/>
      <c r="E4425" s="990"/>
      <c r="F4425" s="990"/>
      <c r="G4425" s="14"/>
    </row>
    <row r="4426" spans="1:7" ht="17.25" hidden="1" customHeight="1" thickBot="1">
      <c r="A4426" s="991"/>
      <c r="B4426" s="991"/>
      <c r="C4426" s="991"/>
      <c r="D4426" s="992"/>
      <c r="E4426" s="993"/>
      <c r="F4426" s="993"/>
      <c r="G4426" s="112"/>
    </row>
    <row r="4427" spans="1:7" ht="17.25" hidden="1" customHeight="1">
      <c r="A4427" s="49"/>
      <c r="B4427" s="49"/>
      <c r="C4427" s="49"/>
      <c r="D4427" s="49"/>
      <c r="F4427" s="307"/>
      <c r="G4427" s="49"/>
    </row>
    <row r="4428" spans="1:7" ht="17.25" hidden="1" customHeight="1">
      <c r="A4428" s="49"/>
      <c r="B4428" s="49"/>
      <c r="C4428" s="49"/>
      <c r="D4428" s="49"/>
      <c r="F4428" s="307"/>
      <c r="G4428" s="49"/>
    </row>
    <row r="4429" spans="1:7" ht="15" hidden="1" thickBot="1">
      <c r="A4429" s="1036"/>
      <c r="B4429" s="1037"/>
      <c r="C4429" s="1037"/>
      <c r="D4429" s="1037"/>
      <c r="E4429" s="1037"/>
      <c r="F4429" s="1037"/>
      <c r="G4429" s="1038"/>
    </row>
    <row r="4430" spans="1:7" ht="15" hidden="1" thickBot="1">
      <c r="A4430" s="1006"/>
      <c r="B4430" s="1007"/>
      <c r="C4430" s="1007"/>
      <c r="D4430" s="1007"/>
      <c r="E4430" s="1007"/>
      <c r="F4430" s="272"/>
      <c r="G4430" s="43"/>
    </row>
    <row r="4431" spans="1:7" ht="15" hidden="1" thickBot="1">
      <c r="A4431" s="953"/>
      <c r="B4431" s="954"/>
      <c r="C4431" s="954"/>
      <c r="D4431" s="954"/>
      <c r="E4431" s="955"/>
      <c r="F4431" s="273"/>
      <c r="G4431" s="45"/>
    </row>
    <row r="4432" spans="1:7" ht="15" hidden="1" thickBot="1">
      <c r="A4432" s="956"/>
      <c r="B4432" s="957"/>
      <c r="C4432" s="957"/>
      <c r="D4432" s="957"/>
      <c r="E4432" s="958"/>
      <c r="F4432" s="273"/>
      <c r="G4432" s="46"/>
    </row>
    <row r="4433" spans="1:7" ht="15" hidden="1" thickBot="1">
      <c r="A4433" s="959"/>
      <c r="B4433" s="960"/>
      <c r="C4433" s="960"/>
      <c r="D4433" s="960"/>
      <c r="E4433" s="961"/>
      <c r="F4433" s="274"/>
      <c r="G4433" s="48"/>
    </row>
    <row r="4434" spans="1:7" ht="15" hidden="1" thickBot="1">
      <c r="A4434" s="1008"/>
      <c r="B4434" s="1009"/>
      <c r="C4434" s="1009"/>
      <c r="D4434" s="1009"/>
      <c r="E4434" s="1009"/>
      <c r="F4434" s="1009"/>
      <c r="G4434" s="1010"/>
    </row>
    <row r="4435" spans="1:7" ht="15" hidden="1" thickBot="1">
      <c r="A4435" s="982"/>
      <c r="B4435" s="913"/>
      <c r="C4435" s="914"/>
      <c r="D4435" s="95"/>
      <c r="E4435" s="242"/>
      <c r="F4435" s="286"/>
      <c r="G4435" s="97"/>
    </row>
    <row r="4436" spans="1:7" hidden="1">
      <c r="A4436" s="87"/>
      <c r="B4436" s="930"/>
      <c r="C4436" s="931"/>
      <c r="D4436" s="88"/>
      <c r="E4436" s="251"/>
      <c r="F4436" s="284"/>
      <c r="G4436" s="90"/>
    </row>
    <row r="4437" spans="1:7" hidden="1">
      <c r="A4437" s="91"/>
      <c r="B4437" s="968"/>
      <c r="C4437" s="969"/>
      <c r="D4437" s="92"/>
      <c r="E4437" s="252"/>
      <c r="F4437" s="285"/>
      <c r="G4437" s="94"/>
    </row>
    <row r="4438" spans="1:7" hidden="1">
      <c r="A4438" s="91"/>
      <c r="B4438" s="968"/>
      <c r="C4438" s="969"/>
      <c r="D4438" s="92"/>
      <c r="E4438" s="252"/>
      <c r="F4438" s="285"/>
      <c r="G4438" s="94"/>
    </row>
    <row r="4439" spans="1:7" ht="18.75" hidden="1" customHeight="1" thickBot="1">
      <c r="A4439" s="994"/>
      <c r="B4439" s="995"/>
      <c r="C4439" s="995"/>
      <c r="D4439" s="981"/>
      <c r="E4439" s="981"/>
      <c r="F4439" s="981"/>
      <c r="G4439" s="13"/>
    </row>
    <row r="4440" spans="1:7" ht="18.75" hidden="1" customHeight="1" thickBot="1">
      <c r="A4440" s="982"/>
      <c r="B4440" s="983"/>
      <c r="C4440" s="983"/>
      <c r="D4440" s="983"/>
      <c r="E4440" s="983"/>
      <c r="F4440" s="983"/>
      <c r="G4440" s="984"/>
    </row>
    <row r="4441" spans="1:7" s="7" customFormat="1" ht="13.5" hidden="1" thickBot="1">
      <c r="A4441" s="982"/>
      <c r="B4441" s="913"/>
      <c r="C4441" s="914"/>
      <c r="D4441" s="95"/>
      <c r="E4441" s="242"/>
      <c r="F4441" s="286"/>
      <c r="G4441" s="97"/>
    </row>
    <row r="4442" spans="1:7" hidden="1">
      <c r="A4442" s="98"/>
      <c r="B4442" s="928"/>
      <c r="C4442" s="929"/>
      <c r="D4442" s="99"/>
      <c r="E4442" s="253"/>
      <c r="F4442" s="287"/>
      <c r="G4442" s="102"/>
    </row>
    <row r="4443" spans="1:7" hidden="1">
      <c r="A4443" s="98"/>
      <c r="B4443" s="928"/>
      <c r="C4443" s="929"/>
      <c r="D4443" s="92"/>
      <c r="E4443" s="252"/>
      <c r="F4443" s="287"/>
      <c r="G4443" s="102"/>
    </row>
    <row r="4444" spans="1:7" hidden="1">
      <c r="A4444" s="98"/>
      <c r="B4444" s="928"/>
      <c r="C4444" s="929"/>
      <c r="D4444" s="99"/>
      <c r="E4444" s="253"/>
      <c r="F4444" s="287"/>
      <c r="G4444" s="102"/>
    </row>
    <row r="4445" spans="1:7" ht="15" hidden="1" thickBot="1">
      <c r="A4445" s="996"/>
      <c r="B4445" s="997"/>
      <c r="C4445" s="998"/>
      <c r="D4445" s="981"/>
      <c r="E4445" s="981"/>
      <c r="F4445" s="981"/>
      <c r="G4445" s="13"/>
    </row>
    <row r="4446" spans="1:7" ht="15" hidden="1" thickBot="1">
      <c r="A4446" s="982"/>
      <c r="B4446" s="983"/>
      <c r="C4446" s="983"/>
      <c r="D4446" s="983"/>
      <c r="E4446" s="983"/>
      <c r="F4446" s="983"/>
      <c r="G4446" s="984"/>
    </row>
    <row r="4447" spans="1:7" ht="17.25" hidden="1" customHeight="1" thickBot="1">
      <c r="A4447" s="982"/>
      <c r="B4447" s="913"/>
      <c r="C4447" s="914"/>
      <c r="D4447" s="95"/>
      <c r="E4447" s="242"/>
      <c r="F4447" s="286"/>
      <c r="G4447" s="97"/>
    </row>
    <row r="4448" spans="1:7" ht="17.25" hidden="1" customHeight="1" thickBot="1">
      <c r="A4448" s="103"/>
      <c r="B4448" s="942"/>
      <c r="C4448" s="943"/>
      <c r="D4448" s="104"/>
      <c r="E4448" s="247"/>
      <c r="F4448" s="288"/>
      <c r="G4448" s="106"/>
    </row>
    <row r="4449" spans="1:7" ht="15.75" hidden="1" customHeight="1" thickBot="1">
      <c r="A4449" s="978"/>
      <c r="B4449" s="979"/>
      <c r="C4449" s="980"/>
      <c r="D4449" s="981"/>
      <c r="E4449" s="981"/>
      <c r="F4449" s="981"/>
      <c r="G4449" s="13"/>
    </row>
    <row r="4450" spans="1:7" ht="15.75" hidden="1" customHeight="1" thickBot="1">
      <c r="A4450" s="982"/>
      <c r="B4450" s="983"/>
      <c r="C4450" s="983"/>
      <c r="D4450" s="983"/>
      <c r="E4450" s="983"/>
      <c r="F4450" s="983"/>
      <c r="G4450" s="984"/>
    </row>
    <row r="4451" spans="1:7" ht="15" hidden="1" customHeight="1" thickBot="1">
      <c r="A4451" s="982"/>
      <c r="B4451" s="913"/>
      <c r="C4451" s="914"/>
      <c r="D4451" s="95"/>
      <c r="E4451" s="242"/>
      <c r="F4451" s="289"/>
      <c r="G4451" s="97"/>
    </row>
    <row r="4452" spans="1:7" ht="15.75" hidden="1" customHeight="1">
      <c r="A4452" s="108"/>
      <c r="B4452" s="985"/>
      <c r="C4452" s="986"/>
      <c r="D4452" s="109"/>
      <c r="E4452" s="254"/>
      <c r="F4452" s="290"/>
      <c r="G4452" s="111"/>
    </row>
    <row r="4453" spans="1:7" ht="17.25" hidden="1" customHeight="1" thickBot="1">
      <c r="A4453" s="987"/>
      <c r="B4453" s="988"/>
      <c r="C4453" s="989"/>
      <c r="D4453" s="990"/>
      <c r="E4453" s="990"/>
      <c r="F4453" s="990"/>
      <c r="G4453" s="14"/>
    </row>
    <row r="4454" spans="1:7" ht="17.25" hidden="1" customHeight="1" thickBot="1">
      <c r="A4454" s="991"/>
      <c r="B4454" s="991"/>
      <c r="C4454" s="991"/>
      <c r="D4454" s="992"/>
      <c r="E4454" s="993"/>
      <c r="F4454" s="993"/>
      <c r="G4454" s="112"/>
    </row>
    <row r="4455" spans="1:7" ht="15.75" hidden="1" customHeight="1">
      <c r="A4455" s="49"/>
      <c r="B4455" s="49"/>
      <c r="C4455" s="49"/>
      <c r="D4455" s="49"/>
      <c r="F4455" s="307"/>
      <c r="G4455" s="49"/>
    </row>
    <row r="4456" spans="1:7" hidden="1">
      <c r="A4456" s="49"/>
      <c r="B4456" s="49"/>
      <c r="C4456" s="49"/>
      <c r="D4456" s="49"/>
      <c r="F4456" s="307"/>
      <c r="G4456" s="49"/>
    </row>
    <row r="4457" spans="1:7" ht="15" hidden="1" thickBot="1">
      <c r="A4457" s="1036"/>
      <c r="B4457" s="1037"/>
      <c r="C4457" s="1037"/>
      <c r="D4457" s="1037"/>
      <c r="E4457" s="1037"/>
      <c r="F4457" s="1037"/>
      <c r="G4457" s="1038"/>
    </row>
    <row r="4458" spans="1:7" ht="15" hidden="1" thickBot="1">
      <c r="A4458" s="1006"/>
      <c r="B4458" s="1007"/>
      <c r="C4458" s="1007"/>
      <c r="D4458" s="1007"/>
      <c r="E4458" s="1007"/>
      <c r="F4458" s="272"/>
      <c r="G4458" s="43"/>
    </row>
    <row r="4459" spans="1:7" ht="15" hidden="1" customHeight="1" thickBot="1">
      <c r="A4459" s="953"/>
      <c r="B4459" s="954"/>
      <c r="C4459" s="954"/>
      <c r="D4459" s="954"/>
      <c r="E4459" s="955"/>
      <c r="F4459" s="273"/>
      <c r="G4459" s="45"/>
    </row>
    <row r="4460" spans="1:7" ht="15" hidden="1" thickBot="1">
      <c r="A4460" s="956"/>
      <c r="B4460" s="957"/>
      <c r="C4460" s="957"/>
      <c r="D4460" s="957"/>
      <c r="E4460" s="958"/>
      <c r="F4460" s="273"/>
      <c r="G4460" s="46"/>
    </row>
    <row r="4461" spans="1:7" ht="15" hidden="1" thickBot="1">
      <c r="A4461" s="959"/>
      <c r="B4461" s="960"/>
      <c r="C4461" s="960"/>
      <c r="D4461" s="960"/>
      <c r="E4461" s="961"/>
      <c r="F4461" s="274"/>
      <c r="G4461" s="48"/>
    </row>
    <row r="4462" spans="1:7" ht="15" hidden="1" thickBot="1">
      <c r="A4462" s="1008"/>
      <c r="B4462" s="1009"/>
      <c r="C4462" s="1009"/>
      <c r="D4462" s="1009"/>
      <c r="E4462" s="1009"/>
      <c r="F4462" s="1009"/>
      <c r="G4462" s="1010"/>
    </row>
    <row r="4463" spans="1:7" ht="15" hidden="1" thickBot="1">
      <c r="A4463" s="982"/>
      <c r="B4463" s="913"/>
      <c r="C4463" s="914"/>
      <c r="D4463" s="95"/>
      <c r="E4463" s="242"/>
      <c r="F4463" s="286"/>
      <c r="G4463" s="97"/>
    </row>
    <row r="4464" spans="1:7" hidden="1">
      <c r="A4464" s="87"/>
      <c r="B4464" s="930"/>
      <c r="C4464" s="931"/>
      <c r="D4464" s="88"/>
      <c r="E4464" s="251"/>
      <c r="F4464" s="284"/>
      <c r="G4464" s="90"/>
    </row>
    <row r="4465" spans="1:7" hidden="1">
      <c r="A4465" s="91"/>
      <c r="B4465" s="968"/>
      <c r="C4465" s="969"/>
      <c r="D4465" s="92"/>
      <c r="E4465" s="252"/>
      <c r="F4465" s="285"/>
      <c r="G4465" s="94"/>
    </row>
    <row r="4466" spans="1:7" hidden="1">
      <c r="A4466" s="91"/>
      <c r="B4466" s="968"/>
      <c r="C4466" s="969"/>
      <c r="D4466" s="92"/>
      <c r="E4466" s="252"/>
      <c r="F4466" s="285"/>
      <c r="G4466" s="94"/>
    </row>
    <row r="4467" spans="1:7" ht="15" hidden="1" thickBot="1">
      <c r="A4467" s="994"/>
      <c r="B4467" s="995"/>
      <c r="C4467" s="995"/>
      <c r="D4467" s="981"/>
      <c r="E4467" s="981"/>
      <c r="F4467" s="981"/>
      <c r="G4467" s="13"/>
    </row>
    <row r="4468" spans="1:7" ht="15" hidden="1" thickBot="1">
      <c r="A4468" s="982"/>
      <c r="B4468" s="983"/>
      <c r="C4468" s="983"/>
      <c r="D4468" s="983"/>
      <c r="E4468" s="983"/>
      <c r="F4468" s="983"/>
      <c r="G4468" s="984"/>
    </row>
    <row r="4469" spans="1:7" ht="15" hidden="1" thickBot="1">
      <c r="A4469" s="982"/>
      <c r="B4469" s="913"/>
      <c r="C4469" s="914"/>
      <c r="D4469" s="95"/>
      <c r="E4469" s="242"/>
      <c r="F4469" s="286"/>
      <c r="G4469" s="97"/>
    </row>
    <row r="4470" spans="1:7" hidden="1">
      <c r="A4470" s="98"/>
      <c r="B4470" s="928"/>
      <c r="C4470" s="929"/>
      <c r="D4470" s="99"/>
      <c r="E4470" s="253"/>
      <c r="F4470" s="287"/>
      <c r="G4470" s="102"/>
    </row>
    <row r="4471" spans="1:7" hidden="1">
      <c r="A4471" s="98"/>
      <c r="B4471" s="928"/>
      <c r="C4471" s="929"/>
      <c r="D4471" s="92"/>
      <c r="E4471" s="252"/>
      <c r="F4471" s="287"/>
      <c r="G4471" s="102"/>
    </row>
    <row r="4472" spans="1:7" hidden="1">
      <c r="A4472" s="98"/>
      <c r="B4472" s="928"/>
      <c r="C4472" s="929"/>
      <c r="D4472" s="99"/>
      <c r="E4472" s="253"/>
      <c r="F4472" s="287"/>
      <c r="G4472" s="102"/>
    </row>
    <row r="4473" spans="1:7" hidden="1">
      <c r="A4473" s="98"/>
      <c r="B4473" s="928"/>
      <c r="C4473" s="929"/>
      <c r="D4473" s="99"/>
      <c r="E4473" s="253"/>
      <c r="F4473" s="287"/>
      <c r="G4473" s="102"/>
    </row>
    <row r="4474" spans="1:7" hidden="1">
      <c r="A4474" s="98"/>
      <c r="B4474" s="928"/>
      <c r="C4474" s="929"/>
      <c r="D4474" s="99"/>
      <c r="E4474" s="253"/>
      <c r="F4474" s="287"/>
      <c r="G4474" s="102"/>
    </row>
    <row r="4475" spans="1:7" ht="15" hidden="1" thickBot="1">
      <c r="A4475" s="996"/>
      <c r="B4475" s="997"/>
      <c r="C4475" s="998"/>
      <c r="D4475" s="981"/>
      <c r="E4475" s="981"/>
      <c r="F4475" s="981"/>
      <c r="G4475" s="13"/>
    </row>
    <row r="4476" spans="1:7" ht="15" hidden="1" thickBot="1">
      <c r="A4476" s="982"/>
      <c r="B4476" s="983"/>
      <c r="C4476" s="983"/>
      <c r="D4476" s="983"/>
      <c r="E4476" s="983"/>
      <c r="F4476" s="983"/>
      <c r="G4476" s="984"/>
    </row>
    <row r="4477" spans="1:7" ht="15" hidden="1" thickBot="1">
      <c r="A4477" s="982"/>
      <c r="B4477" s="913"/>
      <c r="C4477" s="914"/>
      <c r="D4477" s="95"/>
      <c r="E4477" s="242"/>
      <c r="F4477" s="286"/>
      <c r="G4477" s="97"/>
    </row>
    <row r="4478" spans="1:7" ht="15" hidden="1" thickBot="1">
      <c r="A4478" s="103"/>
      <c r="B4478" s="942"/>
      <c r="C4478" s="943"/>
      <c r="D4478" s="104"/>
      <c r="E4478" s="247"/>
      <c r="F4478" s="288"/>
      <c r="G4478" s="106"/>
    </row>
    <row r="4479" spans="1:7" ht="15" hidden="1" thickBot="1">
      <c r="A4479" s="978"/>
      <c r="B4479" s="979"/>
      <c r="C4479" s="980"/>
      <c r="D4479" s="981"/>
      <c r="E4479" s="981"/>
      <c r="F4479" s="981"/>
      <c r="G4479" s="13"/>
    </row>
    <row r="4480" spans="1:7" ht="15" hidden="1" thickBot="1">
      <c r="A4480" s="982"/>
      <c r="B4480" s="983"/>
      <c r="C4480" s="983"/>
      <c r="D4480" s="983"/>
      <c r="E4480" s="983"/>
      <c r="F4480" s="983"/>
      <c r="G4480" s="984"/>
    </row>
    <row r="4481" spans="1:7" ht="15" hidden="1" thickBot="1">
      <c r="A4481" s="982"/>
      <c r="B4481" s="913"/>
      <c r="C4481" s="914"/>
      <c r="D4481" s="95"/>
      <c r="E4481" s="242"/>
      <c r="F4481" s="289"/>
      <c r="G4481" s="97"/>
    </row>
    <row r="4482" spans="1:7" hidden="1">
      <c r="A4482" s="108"/>
      <c r="B4482" s="985"/>
      <c r="C4482" s="986"/>
      <c r="D4482" s="109"/>
      <c r="E4482" s="254"/>
      <c r="F4482" s="290"/>
      <c r="G4482" s="111"/>
    </row>
    <row r="4483" spans="1:7" ht="15" hidden="1" thickBot="1">
      <c r="A4483" s="987"/>
      <c r="B4483" s="988"/>
      <c r="C4483" s="989"/>
      <c r="D4483" s="990"/>
      <c r="E4483" s="990"/>
      <c r="F4483" s="990"/>
      <c r="G4483" s="14"/>
    </row>
    <row r="4484" spans="1:7" ht="15" hidden="1" thickBot="1">
      <c r="A4484" s="991"/>
      <c r="B4484" s="991"/>
      <c r="C4484" s="991"/>
      <c r="D4484" s="992"/>
      <c r="E4484" s="993"/>
      <c r="F4484" s="993"/>
      <c r="G4484" s="112"/>
    </row>
    <row r="4485" spans="1:7" hidden="1">
      <c r="A4485" s="49"/>
      <c r="B4485" s="49"/>
      <c r="C4485" s="49"/>
      <c r="D4485" s="49"/>
      <c r="F4485" s="307"/>
      <c r="G4485" s="49"/>
    </row>
    <row r="4486" spans="1:7" hidden="1">
      <c r="A4486" s="49"/>
      <c r="B4486" s="49"/>
      <c r="C4486" s="49"/>
      <c r="D4486" s="49"/>
      <c r="F4486" s="307"/>
      <c r="G4486" s="49"/>
    </row>
    <row r="4487" spans="1:7" ht="15" hidden="1" thickBot="1">
      <c r="A4487" s="1036"/>
      <c r="B4487" s="1037"/>
      <c r="C4487" s="1037"/>
      <c r="D4487" s="1037"/>
      <c r="E4487" s="1037"/>
      <c r="F4487" s="1037"/>
      <c r="G4487" s="1038"/>
    </row>
    <row r="4488" spans="1:7" ht="15" hidden="1" thickBot="1">
      <c r="A4488" s="1006"/>
      <c r="B4488" s="1007"/>
      <c r="C4488" s="1007"/>
      <c r="D4488" s="1007"/>
      <c r="E4488" s="1007"/>
      <c r="F4488" s="272"/>
      <c r="G4488" s="43"/>
    </row>
    <row r="4489" spans="1:7" ht="15" hidden="1" customHeight="1" thickBot="1">
      <c r="A4489" s="953"/>
      <c r="B4489" s="954"/>
      <c r="C4489" s="954"/>
      <c r="D4489" s="954"/>
      <c r="E4489" s="955"/>
      <c r="F4489" s="273"/>
      <c r="G4489" s="45"/>
    </row>
    <row r="4490" spans="1:7" ht="15" hidden="1" thickBot="1">
      <c r="A4490" s="956"/>
      <c r="B4490" s="957"/>
      <c r="C4490" s="957"/>
      <c r="D4490" s="957"/>
      <c r="E4490" s="958"/>
      <c r="F4490" s="273"/>
      <c r="G4490" s="46"/>
    </row>
    <row r="4491" spans="1:7" ht="15" hidden="1" thickBot="1">
      <c r="A4491" s="959"/>
      <c r="B4491" s="960"/>
      <c r="C4491" s="960"/>
      <c r="D4491" s="960"/>
      <c r="E4491" s="961"/>
      <c r="F4491" s="274"/>
      <c r="G4491" s="48"/>
    </row>
    <row r="4492" spans="1:7" ht="15" hidden="1" thickBot="1">
      <c r="A4492" s="1008"/>
      <c r="B4492" s="1009"/>
      <c r="C4492" s="1009"/>
      <c r="D4492" s="1009"/>
      <c r="E4492" s="1009"/>
      <c r="F4492" s="1009"/>
      <c r="G4492" s="1010"/>
    </row>
    <row r="4493" spans="1:7" ht="15" hidden="1" thickBot="1">
      <c r="A4493" s="982"/>
      <c r="B4493" s="913"/>
      <c r="C4493" s="914"/>
      <c r="D4493" s="95"/>
      <c r="E4493" s="242"/>
      <c r="F4493" s="286"/>
      <c r="G4493" s="97"/>
    </row>
    <row r="4494" spans="1:7" hidden="1">
      <c r="A4494" s="87"/>
      <c r="B4494" s="930"/>
      <c r="C4494" s="931"/>
      <c r="D4494" s="88"/>
      <c r="E4494" s="251"/>
      <c r="F4494" s="284"/>
      <c r="G4494" s="90"/>
    </row>
    <row r="4495" spans="1:7" hidden="1">
      <c r="A4495" s="91"/>
      <c r="B4495" s="968"/>
      <c r="C4495" s="969"/>
      <c r="D4495" s="92"/>
      <c r="E4495" s="252"/>
      <c r="F4495" s="285"/>
      <c r="G4495" s="94"/>
    </row>
    <row r="4496" spans="1:7" hidden="1">
      <c r="A4496" s="91"/>
      <c r="B4496" s="968"/>
      <c r="C4496" s="969"/>
      <c r="D4496" s="92"/>
      <c r="E4496" s="252"/>
      <c r="F4496" s="285"/>
      <c r="G4496" s="94"/>
    </row>
    <row r="4497" spans="1:7" ht="15" hidden="1" thickBot="1">
      <c r="A4497" s="994"/>
      <c r="B4497" s="995"/>
      <c r="C4497" s="995"/>
      <c r="D4497" s="981"/>
      <c r="E4497" s="981"/>
      <c r="F4497" s="981"/>
      <c r="G4497" s="13"/>
    </row>
    <row r="4498" spans="1:7" ht="15" hidden="1" thickBot="1">
      <c r="A4498" s="982"/>
      <c r="B4498" s="983"/>
      <c r="C4498" s="983"/>
      <c r="D4498" s="983"/>
      <c r="E4498" s="983"/>
      <c r="F4498" s="983"/>
      <c r="G4498" s="984"/>
    </row>
    <row r="4499" spans="1:7" ht="15" hidden="1" thickBot="1">
      <c r="A4499" s="982"/>
      <c r="B4499" s="913"/>
      <c r="C4499" s="914"/>
      <c r="D4499" s="95"/>
      <c r="E4499" s="242"/>
      <c r="F4499" s="286"/>
      <c r="G4499" s="97"/>
    </row>
    <row r="4500" spans="1:7" hidden="1">
      <c r="A4500" s="98"/>
      <c r="B4500" s="928"/>
      <c r="C4500" s="929"/>
      <c r="D4500" s="99"/>
      <c r="E4500" s="253"/>
      <c r="F4500" s="287"/>
      <c r="G4500" s="102"/>
    </row>
    <row r="4501" spans="1:7" hidden="1">
      <c r="A4501" s="98"/>
      <c r="B4501" s="928"/>
      <c r="C4501" s="929"/>
      <c r="D4501" s="92"/>
      <c r="E4501" s="252"/>
      <c r="F4501" s="287"/>
      <c r="G4501" s="102"/>
    </row>
    <row r="4502" spans="1:7" hidden="1">
      <c r="A4502" s="98"/>
      <c r="B4502" s="928"/>
      <c r="C4502" s="929"/>
      <c r="D4502" s="99"/>
      <c r="E4502" s="253"/>
      <c r="F4502" s="287"/>
      <c r="G4502" s="102"/>
    </row>
    <row r="4503" spans="1:7" hidden="1">
      <c r="A4503" s="98"/>
      <c r="B4503" s="928"/>
      <c r="C4503" s="929"/>
      <c r="D4503" s="99"/>
      <c r="E4503" s="253"/>
      <c r="F4503" s="287"/>
      <c r="G4503" s="102"/>
    </row>
    <row r="4504" spans="1:7" hidden="1">
      <c r="A4504" s="98"/>
      <c r="B4504" s="928"/>
      <c r="C4504" s="929"/>
      <c r="D4504" s="99"/>
      <c r="E4504" s="253"/>
      <c r="F4504" s="287"/>
      <c r="G4504" s="102"/>
    </row>
    <row r="4505" spans="1:7" ht="15" hidden="1" thickBot="1">
      <c r="A4505" s="996"/>
      <c r="B4505" s="997"/>
      <c r="C4505" s="998"/>
      <c r="D4505" s="981"/>
      <c r="E4505" s="981"/>
      <c r="F4505" s="981"/>
      <c r="G4505" s="13"/>
    </row>
    <row r="4506" spans="1:7" ht="15" hidden="1" thickBot="1">
      <c r="A4506" s="982"/>
      <c r="B4506" s="983"/>
      <c r="C4506" s="983"/>
      <c r="D4506" s="983"/>
      <c r="E4506" s="983"/>
      <c r="F4506" s="983"/>
      <c r="G4506" s="984"/>
    </row>
    <row r="4507" spans="1:7" ht="15" hidden="1" thickBot="1">
      <c r="A4507" s="982"/>
      <c r="B4507" s="913"/>
      <c r="C4507" s="914"/>
      <c r="D4507" s="95"/>
      <c r="E4507" s="242"/>
      <c r="F4507" s="286"/>
      <c r="G4507" s="97"/>
    </row>
    <row r="4508" spans="1:7" ht="15" hidden="1" thickBot="1">
      <c r="A4508" s="103"/>
      <c r="B4508" s="942"/>
      <c r="C4508" s="943"/>
      <c r="D4508" s="104"/>
      <c r="E4508" s="247"/>
      <c r="F4508" s="288"/>
      <c r="G4508" s="106"/>
    </row>
    <row r="4509" spans="1:7" ht="15" hidden="1" thickBot="1">
      <c r="A4509" s="978"/>
      <c r="B4509" s="979"/>
      <c r="C4509" s="980"/>
      <c r="D4509" s="981"/>
      <c r="E4509" s="981"/>
      <c r="F4509" s="981"/>
      <c r="G4509" s="13"/>
    </row>
    <row r="4510" spans="1:7" ht="15" hidden="1" thickBot="1">
      <c r="A4510" s="982"/>
      <c r="B4510" s="983"/>
      <c r="C4510" s="983"/>
      <c r="D4510" s="983"/>
      <c r="E4510" s="983"/>
      <c r="F4510" s="983"/>
      <c r="G4510" s="984"/>
    </row>
    <row r="4511" spans="1:7" ht="15" hidden="1" thickBot="1">
      <c r="A4511" s="982"/>
      <c r="B4511" s="913"/>
      <c r="C4511" s="914"/>
      <c r="D4511" s="95"/>
      <c r="E4511" s="242"/>
      <c r="F4511" s="289"/>
      <c r="G4511" s="97"/>
    </row>
    <row r="4512" spans="1:7" hidden="1">
      <c r="A4512" s="108"/>
      <c r="B4512" s="985"/>
      <c r="C4512" s="986"/>
      <c r="D4512" s="109"/>
      <c r="E4512" s="254"/>
      <c r="F4512" s="290"/>
      <c r="G4512" s="111"/>
    </row>
    <row r="4513" spans="1:7" ht="15" hidden="1" thickBot="1">
      <c r="A4513" s="987"/>
      <c r="B4513" s="988"/>
      <c r="C4513" s="989"/>
      <c r="D4513" s="990"/>
      <c r="E4513" s="990"/>
      <c r="F4513" s="990"/>
      <c r="G4513" s="14"/>
    </row>
    <row r="4514" spans="1:7" ht="15" hidden="1" thickBot="1">
      <c r="A4514" s="991"/>
      <c r="B4514" s="991"/>
      <c r="C4514" s="991"/>
      <c r="D4514" s="992"/>
      <c r="E4514" s="993"/>
      <c r="F4514" s="993"/>
      <c r="G4514" s="112"/>
    </row>
    <row r="4515" spans="1:7" hidden="1">
      <c r="A4515" s="49"/>
      <c r="B4515" s="49"/>
      <c r="C4515" s="49"/>
      <c r="D4515" s="49"/>
      <c r="F4515" s="307"/>
      <c r="G4515" s="49"/>
    </row>
    <row r="4516" spans="1:7" hidden="1">
      <c r="A4516" s="49"/>
      <c r="B4516" s="49"/>
      <c r="C4516" s="49"/>
      <c r="D4516" s="49"/>
      <c r="F4516" s="307"/>
      <c r="G4516" s="49"/>
    </row>
    <row r="4517" spans="1:7" ht="15" hidden="1" thickBot="1">
      <c r="A4517" s="1036"/>
      <c r="B4517" s="1037"/>
      <c r="C4517" s="1037"/>
      <c r="D4517" s="1037"/>
      <c r="E4517" s="1037"/>
      <c r="F4517" s="1037"/>
      <c r="G4517" s="1038"/>
    </row>
    <row r="4518" spans="1:7" ht="15" hidden="1" thickBot="1">
      <c r="A4518" s="1006"/>
      <c r="B4518" s="1007"/>
      <c r="C4518" s="1007"/>
      <c r="D4518" s="1007"/>
      <c r="E4518" s="1007"/>
      <c r="F4518" s="272"/>
      <c r="G4518" s="43"/>
    </row>
    <row r="4519" spans="1:7" ht="15" hidden="1" customHeight="1" thickBot="1">
      <c r="A4519" s="953"/>
      <c r="B4519" s="954"/>
      <c r="C4519" s="954"/>
      <c r="D4519" s="954"/>
      <c r="E4519" s="955"/>
      <c r="F4519" s="273"/>
      <c r="G4519" s="45"/>
    </row>
    <row r="4520" spans="1:7" ht="15" hidden="1" thickBot="1">
      <c r="A4520" s="956"/>
      <c r="B4520" s="957"/>
      <c r="C4520" s="957"/>
      <c r="D4520" s="957"/>
      <c r="E4520" s="958"/>
      <c r="F4520" s="273"/>
      <c r="G4520" s="46"/>
    </row>
    <row r="4521" spans="1:7" ht="15" hidden="1" thickBot="1">
      <c r="A4521" s="959"/>
      <c r="B4521" s="960"/>
      <c r="C4521" s="960"/>
      <c r="D4521" s="960"/>
      <c r="E4521" s="961"/>
      <c r="F4521" s="274"/>
      <c r="G4521" s="48"/>
    </row>
    <row r="4522" spans="1:7" ht="15" hidden="1" thickBot="1">
      <c r="A4522" s="1008"/>
      <c r="B4522" s="1009"/>
      <c r="C4522" s="1009"/>
      <c r="D4522" s="1009"/>
      <c r="E4522" s="1009"/>
      <c r="F4522" s="1009"/>
      <c r="G4522" s="1010"/>
    </row>
    <row r="4523" spans="1:7" ht="15" hidden="1" thickBot="1">
      <c r="A4523" s="982"/>
      <c r="B4523" s="913"/>
      <c r="C4523" s="914"/>
      <c r="D4523" s="95"/>
      <c r="E4523" s="242"/>
      <c r="F4523" s="286"/>
      <c r="G4523" s="97"/>
    </row>
    <row r="4524" spans="1:7" hidden="1">
      <c r="A4524" s="87"/>
      <c r="B4524" s="930"/>
      <c r="C4524" s="931"/>
      <c r="D4524" s="88"/>
      <c r="E4524" s="251"/>
      <c r="F4524" s="284"/>
      <c r="G4524" s="90"/>
    </row>
    <row r="4525" spans="1:7" hidden="1">
      <c r="A4525" s="91"/>
      <c r="B4525" s="968"/>
      <c r="C4525" s="969"/>
      <c r="D4525" s="92"/>
      <c r="E4525" s="252"/>
      <c r="F4525" s="285"/>
      <c r="G4525" s="94"/>
    </row>
    <row r="4526" spans="1:7" hidden="1">
      <c r="A4526" s="91"/>
      <c r="B4526" s="968"/>
      <c r="C4526" s="969"/>
      <c r="D4526" s="92"/>
      <c r="E4526" s="252"/>
      <c r="F4526" s="285"/>
      <c r="G4526" s="94"/>
    </row>
    <row r="4527" spans="1:7" ht="15" hidden="1" thickBot="1">
      <c r="A4527" s="994"/>
      <c r="B4527" s="995"/>
      <c r="C4527" s="995"/>
      <c r="D4527" s="981"/>
      <c r="E4527" s="981"/>
      <c r="F4527" s="981"/>
      <c r="G4527" s="13"/>
    </row>
    <row r="4528" spans="1:7" ht="15" hidden="1" thickBot="1">
      <c r="A4528" s="982"/>
      <c r="B4528" s="983"/>
      <c r="C4528" s="983"/>
      <c r="D4528" s="983"/>
      <c r="E4528" s="983"/>
      <c r="F4528" s="983"/>
      <c r="G4528" s="984"/>
    </row>
    <row r="4529" spans="1:7" ht="15" hidden="1" thickBot="1">
      <c r="A4529" s="982"/>
      <c r="B4529" s="913"/>
      <c r="C4529" s="914"/>
      <c r="D4529" s="95"/>
      <c r="E4529" s="242"/>
      <c r="F4529" s="286"/>
      <c r="G4529" s="97"/>
    </row>
    <row r="4530" spans="1:7" hidden="1">
      <c r="A4530" s="98"/>
      <c r="B4530" s="928"/>
      <c r="C4530" s="929"/>
      <c r="D4530" s="99"/>
      <c r="E4530" s="253"/>
      <c r="F4530" s="287"/>
      <c r="G4530" s="102"/>
    </row>
    <row r="4531" spans="1:7" hidden="1">
      <c r="A4531" s="98"/>
      <c r="B4531" s="928"/>
      <c r="C4531" s="929"/>
      <c r="D4531" s="92"/>
      <c r="E4531" s="252"/>
      <c r="F4531" s="287"/>
      <c r="G4531" s="102"/>
    </row>
    <row r="4532" spans="1:7" hidden="1">
      <c r="A4532" s="98"/>
      <c r="B4532" s="928"/>
      <c r="C4532" s="929"/>
      <c r="D4532" s="99"/>
      <c r="E4532" s="253"/>
      <c r="F4532" s="287"/>
      <c r="G4532" s="102"/>
    </row>
    <row r="4533" spans="1:7" hidden="1">
      <c r="A4533" s="98"/>
      <c r="B4533" s="928"/>
      <c r="C4533" s="929"/>
      <c r="D4533" s="99"/>
      <c r="E4533" s="253"/>
      <c r="F4533" s="287"/>
      <c r="G4533" s="102"/>
    </row>
    <row r="4534" spans="1:7" ht="15" hidden="1" thickBot="1">
      <c r="A4534" s="996"/>
      <c r="B4534" s="997"/>
      <c r="C4534" s="998"/>
      <c r="D4534" s="981"/>
      <c r="E4534" s="981"/>
      <c r="F4534" s="981"/>
      <c r="G4534" s="13"/>
    </row>
    <row r="4535" spans="1:7" ht="18.75" hidden="1" customHeight="1" thickBot="1">
      <c r="A4535" s="982"/>
      <c r="B4535" s="983"/>
      <c r="C4535" s="983"/>
      <c r="D4535" s="983"/>
      <c r="E4535" s="983"/>
      <c r="F4535" s="983"/>
      <c r="G4535" s="984"/>
    </row>
    <row r="4536" spans="1:7" ht="18.75" hidden="1" customHeight="1" thickBot="1">
      <c r="A4536" s="982"/>
      <c r="B4536" s="913"/>
      <c r="C4536" s="914"/>
      <c r="D4536" s="95"/>
      <c r="E4536" s="242"/>
      <c r="F4536" s="286"/>
      <c r="G4536" s="97"/>
    </row>
    <row r="4537" spans="1:7" s="7" customFormat="1" ht="13.5" hidden="1" thickBot="1">
      <c r="A4537" s="103"/>
      <c r="B4537" s="942"/>
      <c r="C4537" s="943"/>
      <c r="D4537" s="104"/>
      <c r="E4537" s="247"/>
      <c r="F4537" s="288"/>
      <c r="G4537" s="106"/>
    </row>
    <row r="4538" spans="1:7" ht="15" hidden="1" thickBot="1">
      <c r="A4538" s="978"/>
      <c r="B4538" s="979"/>
      <c r="C4538" s="980"/>
      <c r="D4538" s="981"/>
      <c r="E4538" s="981"/>
      <c r="F4538" s="981"/>
      <c r="G4538" s="13"/>
    </row>
    <row r="4539" spans="1:7" ht="15" hidden="1" thickBot="1">
      <c r="A4539" s="982"/>
      <c r="B4539" s="983"/>
      <c r="C4539" s="983"/>
      <c r="D4539" s="983"/>
      <c r="E4539" s="983"/>
      <c r="F4539" s="983"/>
      <c r="G4539" s="984"/>
    </row>
    <row r="4540" spans="1:7" ht="15" hidden="1" customHeight="1" thickBot="1">
      <c r="A4540" s="982"/>
      <c r="B4540" s="913"/>
      <c r="C4540" s="914"/>
      <c r="D4540" s="95"/>
      <c r="E4540" s="242"/>
      <c r="F4540" s="289"/>
      <c r="G4540" s="97"/>
    </row>
    <row r="4541" spans="1:7" hidden="1">
      <c r="A4541" s="108"/>
      <c r="B4541" s="985"/>
      <c r="C4541" s="986"/>
      <c r="D4541" s="109"/>
      <c r="E4541" s="254"/>
      <c r="F4541" s="290"/>
      <c r="G4541" s="111"/>
    </row>
    <row r="4542" spans="1:7" ht="15" hidden="1" thickBot="1">
      <c r="A4542" s="987"/>
      <c r="B4542" s="988"/>
      <c r="C4542" s="989"/>
      <c r="D4542" s="990"/>
      <c r="E4542" s="990"/>
      <c r="F4542" s="990"/>
      <c r="G4542" s="14"/>
    </row>
    <row r="4543" spans="1:7" ht="15" hidden="1" thickBot="1">
      <c r="A4543" s="991"/>
      <c r="B4543" s="991"/>
      <c r="C4543" s="991"/>
      <c r="D4543" s="992"/>
      <c r="E4543" s="993"/>
      <c r="F4543" s="993"/>
      <c r="G4543" s="112"/>
    </row>
    <row r="4544" spans="1:7" hidden="1">
      <c r="A4544" s="49"/>
      <c r="B4544" s="49"/>
      <c r="C4544" s="49"/>
      <c r="D4544" s="49"/>
      <c r="F4544" s="307"/>
      <c r="G4544" s="49"/>
    </row>
    <row r="4545" spans="1:7" hidden="1">
      <c r="A4545" s="49"/>
      <c r="B4545" s="49"/>
      <c r="C4545" s="49"/>
      <c r="D4545" s="49"/>
      <c r="F4545" s="307"/>
      <c r="G4545" s="49"/>
    </row>
    <row r="4546" spans="1:7" hidden="1">
      <c r="A4546" s="49"/>
      <c r="B4546" s="49"/>
      <c r="C4546" s="49"/>
      <c r="D4546" s="49"/>
      <c r="F4546" s="307"/>
      <c r="G4546" s="49"/>
    </row>
    <row r="4547" spans="1:7" ht="15" hidden="1" thickBot="1">
      <c r="A4547" s="1036"/>
      <c r="B4547" s="1037"/>
      <c r="C4547" s="1037"/>
      <c r="D4547" s="1037"/>
      <c r="E4547" s="1037"/>
      <c r="F4547" s="1037"/>
      <c r="G4547" s="1038"/>
    </row>
    <row r="4548" spans="1:7" ht="15" hidden="1" thickBot="1">
      <c r="A4548" s="1006"/>
      <c r="B4548" s="1007"/>
      <c r="C4548" s="1007"/>
      <c r="D4548" s="1007"/>
      <c r="E4548" s="1007"/>
      <c r="F4548" s="272"/>
      <c r="G4548" s="43"/>
    </row>
    <row r="4549" spans="1:7" ht="15" hidden="1" customHeight="1" thickBot="1">
      <c r="A4549" s="953"/>
      <c r="B4549" s="954"/>
      <c r="C4549" s="954"/>
      <c r="D4549" s="954"/>
      <c r="E4549" s="955"/>
      <c r="F4549" s="273"/>
      <c r="G4549" s="45"/>
    </row>
    <row r="4550" spans="1:7" ht="15" hidden="1" thickBot="1">
      <c r="A4550" s="956"/>
      <c r="B4550" s="957"/>
      <c r="C4550" s="957"/>
      <c r="D4550" s="957"/>
      <c r="E4550" s="958"/>
      <c r="F4550" s="273"/>
      <c r="G4550" s="46"/>
    </row>
    <row r="4551" spans="1:7" ht="15" hidden="1" thickBot="1">
      <c r="A4551" s="959"/>
      <c r="B4551" s="960"/>
      <c r="C4551" s="960"/>
      <c r="D4551" s="960"/>
      <c r="E4551" s="961"/>
      <c r="F4551" s="274"/>
      <c r="G4551" s="48"/>
    </row>
    <row r="4552" spans="1:7" ht="15" hidden="1" thickBot="1">
      <c r="A4552" s="1008"/>
      <c r="B4552" s="1009"/>
      <c r="C4552" s="1009"/>
      <c r="D4552" s="1009"/>
      <c r="E4552" s="1009"/>
      <c r="F4552" s="1009"/>
      <c r="G4552" s="1010"/>
    </row>
    <row r="4553" spans="1:7" ht="15" hidden="1" thickBot="1">
      <c r="A4553" s="982"/>
      <c r="B4553" s="913"/>
      <c r="C4553" s="914"/>
      <c r="D4553" s="95"/>
      <c r="E4553" s="242"/>
      <c r="F4553" s="286"/>
      <c r="G4553" s="97"/>
    </row>
    <row r="4554" spans="1:7" hidden="1">
      <c r="A4554" s="87"/>
      <c r="B4554" s="930"/>
      <c r="C4554" s="931"/>
      <c r="D4554" s="88"/>
      <c r="E4554" s="251"/>
      <c r="F4554" s="284"/>
      <c r="G4554" s="90"/>
    </row>
    <row r="4555" spans="1:7" hidden="1">
      <c r="A4555" s="91"/>
      <c r="B4555" s="968"/>
      <c r="C4555" s="969"/>
      <c r="D4555" s="92"/>
      <c r="E4555" s="252"/>
      <c r="F4555" s="285"/>
      <c r="G4555" s="94"/>
    </row>
    <row r="4556" spans="1:7" hidden="1">
      <c r="A4556" s="91"/>
      <c r="B4556" s="968"/>
      <c r="C4556" s="969"/>
      <c r="D4556" s="92"/>
      <c r="E4556" s="252"/>
      <c r="F4556" s="285"/>
      <c r="G4556" s="94"/>
    </row>
    <row r="4557" spans="1:7" ht="15" hidden="1" thickBot="1">
      <c r="A4557" s="994"/>
      <c r="B4557" s="995"/>
      <c r="C4557" s="995"/>
      <c r="D4557" s="981"/>
      <c r="E4557" s="981"/>
      <c r="F4557" s="981"/>
      <c r="G4557" s="13"/>
    </row>
    <row r="4558" spans="1:7" ht="15" hidden="1" thickBot="1">
      <c r="A4558" s="982"/>
      <c r="B4558" s="983"/>
      <c r="C4558" s="983"/>
      <c r="D4558" s="983"/>
      <c r="E4558" s="983"/>
      <c r="F4558" s="983"/>
      <c r="G4558" s="984"/>
    </row>
    <row r="4559" spans="1:7" ht="15" hidden="1" thickBot="1">
      <c r="A4559" s="982"/>
      <c r="B4559" s="913"/>
      <c r="C4559" s="914"/>
      <c r="D4559" s="95"/>
      <c r="E4559" s="242"/>
      <c r="F4559" s="286"/>
      <c r="G4559" s="97"/>
    </row>
    <row r="4560" spans="1:7" hidden="1">
      <c r="A4560" s="98"/>
      <c r="B4560" s="928"/>
      <c r="C4560" s="929"/>
      <c r="D4560" s="99"/>
      <c r="E4560" s="253"/>
      <c r="F4560" s="287"/>
      <c r="G4560" s="102"/>
    </row>
    <row r="4561" spans="1:7" hidden="1">
      <c r="A4561" s="98"/>
      <c r="B4561" s="928"/>
      <c r="C4561" s="929"/>
      <c r="D4561" s="99"/>
      <c r="E4561" s="253"/>
      <c r="F4561" s="287"/>
      <c r="G4561" s="102"/>
    </row>
    <row r="4562" spans="1:7" ht="15" hidden="1" thickBot="1">
      <c r="A4562" s="996"/>
      <c r="B4562" s="997"/>
      <c r="C4562" s="998"/>
      <c r="D4562" s="981"/>
      <c r="E4562" s="981"/>
      <c r="F4562" s="981"/>
      <c r="G4562" s="13"/>
    </row>
    <row r="4563" spans="1:7" ht="18.75" hidden="1" customHeight="1" thickBot="1">
      <c r="A4563" s="982"/>
      <c r="B4563" s="983"/>
      <c r="C4563" s="983"/>
      <c r="D4563" s="983"/>
      <c r="E4563" s="983"/>
      <c r="F4563" s="983"/>
      <c r="G4563" s="984"/>
    </row>
    <row r="4564" spans="1:7" ht="18.75" hidden="1" customHeight="1" thickBot="1">
      <c r="A4564" s="982"/>
      <c r="B4564" s="913"/>
      <c r="C4564" s="914"/>
      <c r="D4564" s="95"/>
      <c r="E4564" s="242"/>
      <c r="F4564" s="286"/>
      <c r="G4564" s="97"/>
    </row>
    <row r="4565" spans="1:7" s="7" customFormat="1" ht="13.5" hidden="1" thickBot="1">
      <c r="A4565" s="103"/>
      <c r="B4565" s="942"/>
      <c r="C4565" s="943"/>
      <c r="D4565" s="104"/>
      <c r="E4565" s="247"/>
      <c r="F4565" s="288"/>
      <c r="G4565" s="106"/>
    </row>
    <row r="4566" spans="1:7" ht="15" hidden="1" thickBot="1">
      <c r="A4566" s="978"/>
      <c r="B4566" s="979"/>
      <c r="C4566" s="980"/>
      <c r="D4566" s="981"/>
      <c r="E4566" s="981"/>
      <c r="F4566" s="981"/>
      <c r="G4566" s="13"/>
    </row>
    <row r="4567" spans="1:7" ht="15" hidden="1" thickBot="1">
      <c r="A4567" s="982"/>
      <c r="B4567" s="983"/>
      <c r="C4567" s="983"/>
      <c r="D4567" s="983"/>
      <c r="E4567" s="983"/>
      <c r="F4567" s="983"/>
      <c r="G4567" s="984"/>
    </row>
    <row r="4568" spans="1:7" ht="15" hidden="1" customHeight="1" thickBot="1">
      <c r="A4568" s="982"/>
      <c r="B4568" s="913"/>
      <c r="C4568" s="914"/>
      <c r="D4568" s="95"/>
      <c r="E4568" s="242"/>
      <c r="F4568" s="289"/>
      <c r="G4568" s="97"/>
    </row>
    <row r="4569" spans="1:7" hidden="1">
      <c r="A4569" s="108"/>
      <c r="B4569" s="985"/>
      <c r="C4569" s="986"/>
      <c r="D4569" s="109"/>
      <c r="E4569" s="254"/>
      <c r="F4569" s="290"/>
      <c r="G4569" s="111"/>
    </row>
    <row r="4570" spans="1:7" ht="15" hidden="1" thickBot="1">
      <c r="A4570" s="987"/>
      <c r="B4570" s="988"/>
      <c r="C4570" s="989"/>
      <c r="D4570" s="990"/>
      <c r="E4570" s="990"/>
      <c r="F4570" s="990"/>
      <c r="G4570" s="14"/>
    </row>
    <row r="4571" spans="1:7" ht="15" hidden="1" thickBot="1">
      <c r="A4571" s="991"/>
      <c r="B4571" s="991"/>
      <c r="C4571" s="991"/>
      <c r="D4571" s="992"/>
      <c r="E4571" s="993"/>
      <c r="F4571" s="993"/>
      <c r="G4571" s="112"/>
    </row>
    <row r="4572" spans="1:7" hidden="1">
      <c r="A4572" s="49"/>
      <c r="B4572" s="49"/>
      <c r="C4572" s="49"/>
      <c r="D4572" s="49"/>
      <c r="F4572" s="307"/>
      <c r="G4572" s="49"/>
    </row>
    <row r="4573" spans="1:7" hidden="1">
      <c r="A4573" s="49"/>
      <c r="B4573" s="49"/>
      <c r="C4573" s="49"/>
      <c r="D4573" s="49"/>
      <c r="F4573" s="307"/>
      <c r="G4573" s="49"/>
    </row>
    <row r="4574" spans="1:7" ht="15" hidden="1" thickBot="1">
      <c r="A4574" s="1036"/>
      <c r="B4574" s="1037"/>
      <c r="C4574" s="1037"/>
      <c r="D4574" s="1037"/>
      <c r="E4574" s="1037"/>
      <c r="F4574" s="1037"/>
      <c r="G4574" s="1038"/>
    </row>
    <row r="4575" spans="1:7" ht="15" hidden="1" thickBot="1">
      <c r="A4575" s="1006"/>
      <c r="B4575" s="1007"/>
      <c r="C4575" s="1007"/>
      <c r="D4575" s="1007"/>
      <c r="E4575" s="1007"/>
      <c r="F4575" s="272"/>
      <c r="G4575" s="43"/>
    </row>
    <row r="4576" spans="1:7" ht="15" hidden="1" customHeight="1" thickBot="1">
      <c r="A4576" s="953"/>
      <c r="B4576" s="954"/>
      <c r="C4576" s="954"/>
      <c r="D4576" s="954"/>
      <c r="E4576" s="955"/>
      <c r="F4576" s="273"/>
      <c r="G4576" s="45"/>
    </row>
    <row r="4577" spans="1:7" ht="15" hidden="1" thickBot="1">
      <c r="A4577" s="956"/>
      <c r="B4577" s="957"/>
      <c r="C4577" s="957"/>
      <c r="D4577" s="957"/>
      <c r="E4577" s="958"/>
      <c r="F4577" s="273"/>
      <c r="G4577" s="46"/>
    </row>
    <row r="4578" spans="1:7" ht="15" hidden="1" thickBot="1">
      <c r="A4578" s="959"/>
      <c r="B4578" s="960"/>
      <c r="C4578" s="960"/>
      <c r="D4578" s="960"/>
      <c r="E4578" s="961"/>
      <c r="F4578" s="274"/>
      <c r="G4578" s="48"/>
    </row>
    <row r="4579" spans="1:7" ht="15" hidden="1" thickBot="1">
      <c r="A4579" s="1008"/>
      <c r="B4579" s="1009"/>
      <c r="C4579" s="1009"/>
      <c r="D4579" s="1009"/>
      <c r="E4579" s="1009"/>
      <c r="F4579" s="1009"/>
      <c r="G4579" s="1010"/>
    </row>
    <row r="4580" spans="1:7" ht="15" hidden="1" thickBot="1">
      <c r="A4580" s="982"/>
      <c r="B4580" s="913"/>
      <c r="C4580" s="914"/>
      <c r="D4580" s="95"/>
      <c r="E4580" s="242"/>
      <c r="F4580" s="286"/>
      <c r="G4580" s="97"/>
    </row>
    <row r="4581" spans="1:7" hidden="1">
      <c r="A4581" s="87"/>
      <c r="B4581" s="930"/>
      <c r="C4581" s="931"/>
      <c r="D4581" s="88"/>
      <c r="E4581" s="251"/>
      <c r="F4581" s="284"/>
      <c r="G4581" s="90"/>
    </row>
    <row r="4582" spans="1:7" hidden="1">
      <c r="A4582" s="91"/>
      <c r="B4582" s="968"/>
      <c r="C4582" s="969"/>
      <c r="D4582" s="92"/>
      <c r="E4582" s="252"/>
      <c r="F4582" s="285"/>
      <c r="G4582" s="94"/>
    </row>
    <row r="4583" spans="1:7" hidden="1">
      <c r="A4583" s="91"/>
      <c r="B4583" s="968"/>
      <c r="C4583" s="969"/>
      <c r="D4583" s="92"/>
      <c r="E4583" s="252"/>
      <c r="F4583" s="285"/>
      <c r="G4583" s="94"/>
    </row>
    <row r="4584" spans="1:7" ht="15" hidden="1" thickBot="1">
      <c r="A4584" s="994"/>
      <c r="B4584" s="995"/>
      <c r="C4584" s="995"/>
      <c r="D4584" s="981"/>
      <c r="E4584" s="981"/>
      <c r="F4584" s="981"/>
      <c r="G4584" s="13"/>
    </row>
    <row r="4585" spans="1:7" ht="15" hidden="1" thickBot="1">
      <c r="A4585" s="982"/>
      <c r="B4585" s="983"/>
      <c r="C4585" s="983"/>
      <c r="D4585" s="983"/>
      <c r="E4585" s="983"/>
      <c r="F4585" s="983"/>
      <c r="G4585" s="984"/>
    </row>
    <row r="4586" spans="1:7" ht="15" hidden="1" thickBot="1">
      <c r="A4586" s="982"/>
      <c r="B4586" s="913"/>
      <c r="C4586" s="914"/>
      <c r="D4586" s="95"/>
      <c r="E4586" s="242"/>
      <c r="F4586" s="286"/>
      <c r="G4586" s="97"/>
    </row>
    <row r="4587" spans="1:7" hidden="1">
      <c r="A4587" s="98"/>
      <c r="B4587" s="928"/>
      <c r="C4587" s="929"/>
      <c r="D4587" s="99"/>
      <c r="E4587" s="253"/>
      <c r="F4587" s="287"/>
      <c r="G4587" s="102"/>
    </row>
    <row r="4588" spans="1:7" hidden="1">
      <c r="A4588" s="98"/>
      <c r="B4588" s="928"/>
      <c r="C4588" s="929"/>
      <c r="D4588" s="92"/>
      <c r="E4588" s="252"/>
      <c r="F4588" s="287"/>
      <c r="G4588" s="102"/>
    </row>
    <row r="4589" spans="1:7" hidden="1">
      <c r="A4589" s="98"/>
      <c r="B4589" s="928"/>
      <c r="C4589" s="929"/>
      <c r="D4589" s="99"/>
      <c r="E4589" s="253"/>
      <c r="F4589" s="287"/>
      <c r="G4589" s="102"/>
    </row>
    <row r="4590" spans="1:7" ht="15" hidden="1" thickBot="1">
      <c r="A4590" s="996"/>
      <c r="B4590" s="997"/>
      <c r="C4590" s="998"/>
      <c r="D4590" s="981"/>
      <c r="E4590" s="981"/>
      <c r="F4590" s="981"/>
      <c r="G4590" s="13"/>
    </row>
    <row r="4591" spans="1:7" ht="18.75" hidden="1" customHeight="1" thickBot="1">
      <c r="A4591" s="982"/>
      <c r="B4591" s="983"/>
      <c r="C4591" s="983"/>
      <c r="D4591" s="983"/>
      <c r="E4591" s="983"/>
      <c r="F4591" s="983"/>
      <c r="G4591" s="984"/>
    </row>
    <row r="4592" spans="1:7" ht="18.75" hidden="1" customHeight="1" thickBot="1">
      <c r="A4592" s="982"/>
      <c r="B4592" s="913"/>
      <c r="C4592" s="914"/>
      <c r="D4592" s="95"/>
      <c r="E4592" s="242"/>
      <c r="F4592" s="286"/>
      <c r="G4592" s="97"/>
    </row>
    <row r="4593" spans="1:7" s="7" customFormat="1" ht="13.5" hidden="1" thickBot="1">
      <c r="A4593" s="103"/>
      <c r="B4593" s="942"/>
      <c r="C4593" s="943"/>
      <c r="D4593" s="104"/>
      <c r="E4593" s="247"/>
      <c r="F4593" s="288"/>
      <c r="G4593" s="106"/>
    </row>
    <row r="4594" spans="1:7" ht="15" hidden="1" thickBot="1">
      <c r="A4594" s="978"/>
      <c r="B4594" s="979"/>
      <c r="C4594" s="980"/>
      <c r="D4594" s="981"/>
      <c r="E4594" s="981"/>
      <c r="F4594" s="981"/>
      <c r="G4594" s="13"/>
    </row>
    <row r="4595" spans="1:7" ht="15" hidden="1" thickBot="1">
      <c r="A4595" s="982"/>
      <c r="B4595" s="983"/>
      <c r="C4595" s="983"/>
      <c r="D4595" s="983"/>
      <c r="E4595" s="983"/>
      <c r="F4595" s="983"/>
      <c r="G4595" s="984"/>
    </row>
    <row r="4596" spans="1:7" ht="15" hidden="1" customHeight="1" thickBot="1">
      <c r="A4596" s="982"/>
      <c r="B4596" s="913"/>
      <c r="C4596" s="914"/>
      <c r="D4596" s="95"/>
      <c r="E4596" s="242"/>
      <c r="F4596" s="289"/>
      <c r="G4596" s="97"/>
    </row>
    <row r="4597" spans="1:7" hidden="1">
      <c r="A4597" s="108"/>
      <c r="B4597" s="985"/>
      <c r="C4597" s="986"/>
      <c r="D4597" s="109"/>
      <c r="E4597" s="254"/>
      <c r="F4597" s="290"/>
      <c r="G4597" s="111"/>
    </row>
    <row r="4598" spans="1:7" ht="15" hidden="1" thickBot="1">
      <c r="A4598" s="987"/>
      <c r="B4598" s="988"/>
      <c r="C4598" s="989"/>
      <c r="D4598" s="990"/>
      <c r="E4598" s="990"/>
      <c r="F4598" s="990"/>
      <c r="G4598" s="14"/>
    </row>
    <row r="4599" spans="1:7" ht="15" hidden="1" thickBot="1">
      <c r="A4599" s="991"/>
      <c r="B4599" s="991"/>
      <c r="C4599" s="991"/>
      <c r="D4599" s="992"/>
      <c r="E4599" s="993"/>
      <c r="F4599" s="993"/>
      <c r="G4599" s="112"/>
    </row>
    <row r="4600" spans="1:7" hidden="1">
      <c r="A4600" s="49"/>
      <c r="B4600" s="49"/>
      <c r="C4600" s="49"/>
      <c r="D4600" s="49"/>
      <c r="F4600" s="307"/>
      <c r="G4600" s="49"/>
    </row>
    <row r="4601" spans="1:7" ht="15.75" hidden="1" thickBot="1">
      <c r="A4601" s="162"/>
      <c r="B4601" s="162"/>
      <c r="C4601" s="162"/>
      <c r="D4601" s="162"/>
      <c r="E4601" s="258"/>
      <c r="F4601" s="301"/>
      <c r="G4601" s="162"/>
    </row>
    <row r="4602" spans="1:7" ht="15" hidden="1" collapsed="1" thickBot="1">
      <c r="A4602" s="1027"/>
      <c r="B4602" s="1028"/>
      <c r="C4602" s="1028"/>
      <c r="D4602" s="1028"/>
      <c r="E4602" s="1028"/>
      <c r="F4602" s="1028"/>
      <c r="G4602" s="1029"/>
    </row>
    <row r="4603" spans="1:7" ht="15" hidden="1" thickBot="1">
      <c r="A4603" s="950"/>
      <c r="B4603" s="951"/>
      <c r="C4603" s="951"/>
      <c r="D4603" s="951"/>
      <c r="E4603" s="952"/>
      <c r="F4603" s="272"/>
      <c r="G4603" s="43"/>
    </row>
    <row r="4604" spans="1:7" ht="14.45" hidden="1" customHeight="1" thickBot="1">
      <c r="A4604" s="953"/>
      <c r="B4604" s="954"/>
      <c r="C4604" s="954"/>
      <c r="D4604" s="954"/>
      <c r="E4604" s="955"/>
      <c r="F4604" s="273"/>
      <c r="G4604" s="45"/>
    </row>
    <row r="4605" spans="1:7" ht="15" hidden="1" thickBot="1">
      <c r="A4605" s="956"/>
      <c r="B4605" s="957"/>
      <c r="C4605" s="957"/>
      <c r="D4605" s="957"/>
      <c r="E4605" s="958"/>
      <c r="F4605" s="273"/>
      <c r="G4605" s="46"/>
    </row>
    <row r="4606" spans="1:7" ht="15" hidden="1" thickBot="1">
      <c r="A4606" s="959"/>
      <c r="B4606" s="960"/>
      <c r="C4606" s="960"/>
      <c r="D4606" s="960"/>
      <c r="E4606" s="961"/>
      <c r="F4606" s="274"/>
      <c r="G4606" s="48"/>
    </row>
    <row r="4607" spans="1:7" ht="15" hidden="1" thickBot="1">
      <c r="A4607" s="962"/>
      <c r="B4607" s="963"/>
      <c r="C4607" s="964"/>
      <c r="D4607" s="964"/>
      <c r="E4607" s="964"/>
      <c r="F4607" s="964"/>
      <c r="G4607" s="965"/>
    </row>
    <row r="4608" spans="1:7" ht="15" hidden="1" thickBot="1">
      <c r="A4608" s="909"/>
      <c r="B4608" s="913"/>
      <c r="C4608" s="914"/>
      <c r="D4608" s="95"/>
      <c r="E4608" s="242"/>
      <c r="F4608" s="286"/>
      <c r="G4608" s="113"/>
    </row>
    <row r="4609" spans="1:7" ht="15" hidden="1" thickBot="1">
      <c r="A4609" s="114"/>
      <c r="B4609" s="966"/>
      <c r="C4609" s="967"/>
      <c r="D4609" s="88"/>
      <c r="E4609" s="251"/>
      <c r="F4609" s="284"/>
      <c r="G4609" s="117"/>
    </row>
    <row r="4610" spans="1:7" ht="15" hidden="1" thickBot="1">
      <c r="A4610" s="114"/>
      <c r="B4610" s="966"/>
      <c r="C4610" s="967"/>
      <c r="D4610" s="88"/>
      <c r="E4610" s="251"/>
      <c r="F4610" s="284"/>
      <c r="G4610" s="117"/>
    </row>
    <row r="4611" spans="1:7" hidden="1">
      <c r="A4611" s="154"/>
      <c r="B4611" s="968"/>
      <c r="C4611" s="969"/>
      <c r="D4611" s="171"/>
      <c r="E4611" s="260"/>
      <c r="F4611" s="285"/>
      <c r="G4611" s="149"/>
    </row>
    <row r="4612" spans="1:7" ht="15" hidden="1" thickBot="1">
      <c r="A4612" s="970"/>
      <c r="B4612" s="971"/>
      <c r="C4612" s="972"/>
      <c r="D4612" s="973"/>
      <c r="E4612" s="974"/>
      <c r="F4612" s="975"/>
      <c r="G4612" s="11"/>
    </row>
    <row r="4613" spans="1:7" ht="15" hidden="1" thickBot="1">
      <c r="A4613" s="908"/>
      <c r="B4613" s="910"/>
      <c r="C4613" s="911"/>
      <c r="D4613" s="911"/>
      <c r="E4613" s="911"/>
      <c r="F4613" s="911"/>
      <c r="G4613" s="912"/>
    </row>
    <row r="4614" spans="1:7" ht="15" hidden="1" thickBot="1">
      <c r="A4614" s="909"/>
      <c r="B4614" s="913"/>
      <c r="C4614" s="914"/>
      <c r="D4614" s="95"/>
      <c r="E4614" s="242"/>
      <c r="F4614" s="286"/>
      <c r="G4614" s="113"/>
    </row>
    <row r="4615" spans="1:7" ht="15" hidden="1" thickBot="1">
      <c r="A4615" s="122"/>
      <c r="B4615" s="976"/>
      <c r="C4615" s="977"/>
      <c r="D4615" s="88"/>
      <c r="E4615" s="251"/>
      <c r="F4615" s="284"/>
      <c r="G4615" s="149"/>
    </row>
    <row r="4616" spans="1:7" ht="15" hidden="1" thickBot="1">
      <c r="A4616" s="122"/>
      <c r="B4616" s="976"/>
      <c r="C4616" s="977"/>
      <c r="D4616" s="88"/>
      <c r="E4616" s="251"/>
      <c r="F4616" s="284"/>
      <c r="G4616" s="149"/>
    </row>
    <row r="4617" spans="1:7" ht="15" hidden="1" thickBot="1">
      <c r="A4617" s="122"/>
      <c r="B4617" s="976"/>
      <c r="C4617" s="977"/>
      <c r="D4617" s="88"/>
      <c r="E4617" s="251"/>
      <c r="F4617" s="284"/>
      <c r="G4617" s="149"/>
    </row>
    <row r="4618" spans="1:7" ht="15" hidden="1" thickBot="1">
      <c r="A4618" s="155"/>
      <c r="B4618" s="930"/>
      <c r="C4618" s="931"/>
      <c r="D4618" s="88"/>
      <c r="E4618" s="251"/>
      <c r="F4618" s="284"/>
      <c r="G4618" s="149"/>
    </row>
    <row r="4619" spans="1:7" ht="15" hidden="1" thickBot="1">
      <c r="A4619" s="155"/>
      <c r="B4619" s="930"/>
      <c r="C4619" s="931"/>
      <c r="D4619" s="88"/>
      <c r="E4619" s="251"/>
      <c r="F4619" s="284"/>
      <c r="G4619" s="149"/>
    </row>
    <row r="4620" spans="1:7" ht="15" hidden="1" thickBot="1">
      <c r="A4620" s="178"/>
      <c r="B4620" s="926"/>
      <c r="C4620" s="927"/>
      <c r="D4620" s="88"/>
      <c r="E4620" s="261"/>
      <c r="F4620" s="284"/>
      <c r="G4620" s="181"/>
    </row>
    <row r="4621" spans="1:7" ht="15" hidden="1" thickBot="1">
      <c r="A4621" s="122"/>
      <c r="B4621" s="976"/>
      <c r="C4621" s="977"/>
      <c r="D4621" s="88"/>
      <c r="E4621" s="251"/>
      <c r="F4621" s="284"/>
      <c r="G4621" s="149"/>
    </row>
    <row r="4622" spans="1:7" ht="15" hidden="1" thickBot="1">
      <c r="A4622" s="122"/>
      <c r="B4622" s="976"/>
      <c r="C4622" s="977"/>
      <c r="D4622" s="88"/>
      <c r="E4622" s="251"/>
      <c r="F4622" s="284"/>
      <c r="G4622" s="149"/>
    </row>
    <row r="4623" spans="1:7" ht="15" hidden="1" thickBot="1">
      <c r="A4623" s="122"/>
      <c r="B4623" s="976"/>
      <c r="C4623" s="977"/>
      <c r="D4623" s="88"/>
      <c r="E4623" s="251"/>
      <c r="F4623" s="284"/>
      <c r="G4623" s="149"/>
    </row>
    <row r="4624" spans="1:7" ht="15" hidden="1" thickBot="1">
      <c r="A4624" s="155"/>
      <c r="B4624" s="930"/>
      <c r="C4624" s="931"/>
      <c r="D4624" s="88"/>
      <c r="E4624" s="251"/>
      <c r="F4624" s="284"/>
      <c r="G4624" s="149"/>
    </row>
    <row r="4625" spans="1:7" ht="15" hidden="1" thickBot="1">
      <c r="A4625" s="155"/>
      <c r="B4625" s="930"/>
      <c r="C4625" s="931"/>
      <c r="D4625" s="88"/>
      <c r="E4625" s="251"/>
      <c r="F4625" s="284"/>
      <c r="G4625" s="149"/>
    </row>
    <row r="4626" spans="1:7" ht="15" hidden="1" thickBot="1">
      <c r="A4626" s="155"/>
      <c r="B4626" s="930"/>
      <c r="C4626" s="931"/>
      <c r="D4626" s="88"/>
      <c r="E4626" s="251"/>
      <c r="F4626" s="284"/>
      <c r="G4626" s="149"/>
    </row>
    <row r="4627" spans="1:7" ht="15" hidden="1" thickBot="1">
      <c r="A4627" s="155"/>
      <c r="B4627" s="930"/>
      <c r="C4627" s="931"/>
      <c r="D4627" s="88"/>
      <c r="E4627" s="251"/>
      <c r="F4627" s="284"/>
      <c r="G4627" s="149"/>
    </row>
    <row r="4628" spans="1:7" ht="15" hidden="1" thickBot="1">
      <c r="A4628" s="178"/>
      <c r="B4628" s="926"/>
      <c r="C4628" s="927"/>
      <c r="D4628" s="88"/>
      <c r="E4628" s="261"/>
      <c r="F4628" s="284"/>
      <c r="G4628" s="181"/>
    </row>
    <row r="4629" spans="1:7" ht="15" hidden="1" thickBot="1">
      <c r="A4629" s="932"/>
      <c r="B4629" s="933"/>
      <c r="C4629" s="934"/>
      <c r="D4629" s="935"/>
      <c r="E4629" s="936"/>
      <c r="F4629" s="937"/>
      <c r="G4629" s="18"/>
    </row>
    <row r="4630" spans="1:7" ht="15" hidden="1" thickBot="1">
      <c r="A4630" s="908"/>
      <c r="B4630" s="910"/>
      <c r="C4630" s="911"/>
      <c r="D4630" s="911"/>
      <c r="E4630" s="911"/>
      <c r="F4630" s="911"/>
      <c r="G4630" s="912"/>
    </row>
    <row r="4631" spans="1:7" ht="15" hidden="1" thickBot="1">
      <c r="A4631" s="909"/>
      <c r="B4631" s="913"/>
      <c r="C4631" s="914"/>
      <c r="D4631" s="95"/>
      <c r="E4631" s="242"/>
      <c r="F4631" s="286"/>
      <c r="G4631" s="113"/>
    </row>
    <row r="4632" spans="1:7" hidden="1">
      <c r="A4632" s="127"/>
      <c r="B4632" s="930"/>
      <c r="C4632" s="931"/>
      <c r="D4632" s="88"/>
      <c r="E4632" s="251"/>
      <c r="F4632" s="284"/>
      <c r="G4632" s="159"/>
    </row>
    <row r="4633" spans="1:7" hidden="1">
      <c r="A4633" s="156"/>
      <c r="B4633" s="940"/>
      <c r="C4633" s="941"/>
      <c r="D4633" s="157"/>
      <c r="E4633" s="259"/>
      <c r="F4633" s="303"/>
      <c r="G4633" s="159"/>
    </row>
    <row r="4634" spans="1:7" ht="15" hidden="1" thickBot="1">
      <c r="A4634" s="130"/>
      <c r="B4634" s="942"/>
      <c r="C4634" s="943"/>
      <c r="D4634" s="104"/>
      <c r="E4634" s="247"/>
      <c r="F4634" s="288"/>
      <c r="G4634" s="131"/>
    </row>
    <row r="4635" spans="1:7" ht="15" hidden="1" thickBot="1">
      <c r="A4635" s="944"/>
      <c r="B4635" s="945"/>
      <c r="C4635" s="946"/>
      <c r="D4635" s="947"/>
      <c r="E4635" s="948"/>
      <c r="F4635" s="949"/>
      <c r="G4635" s="11"/>
    </row>
    <row r="4636" spans="1:7" ht="15" hidden="1" thickBot="1">
      <c r="A4636" s="908"/>
      <c r="B4636" s="910"/>
      <c r="C4636" s="911"/>
      <c r="D4636" s="911"/>
      <c r="E4636" s="911"/>
      <c r="F4636" s="911"/>
      <c r="G4636" s="912"/>
    </row>
    <row r="4637" spans="1:7" ht="18.75" hidden="1" customHeight="1" thickBot="1">
      <c r="A4637" s="909"/>
      <c r="B4637" s="913"/>
      <c r="C4637" s="914"/>
      <c r="D4637" s="95"/>
      <c r="E4637" s="242"/>
      <c r="F4637" s="286"/>
      <c r="G4637" s="113"/>
    </row>
    <row r="4638" spans="1:7" ht="18.75" hidden="1" customHeight="1" thickBot="1">
      <c r="A4638" s="122"/>
      <c r="B4638" s="985"/>
      <c r="C4638" s="986"/>
      <c r="D4638" s="109"/>
      <c r="E4638" s="254"/>
      <c r="F4638" s="304"/>
      <c r="G4638" s="129"/>
    </row>
    <row r="4639" spans="1:7" s="7" customFormat="1" ht="13.5" hidden="1" thickBot="1">
      <c r="A4639" s="165"/>
      <c r="B4639" s="985"/>
      <c r="C4639" s="986"/>
      <c r="D4639" s="168"/>
      <c r="E4639" s="262"/>
      <c r="F4639" s="306"/>
      <c r="G4639" s="170"/>
    </row>
    <row r="4640" spans="1:7" ht="15" hidden="1" thickBot="1">
      <c r="A4640" s="915"/>
      <c r="B4640" s="916"/>
      <c r="C4640" s="917"/>
      <c r="D4640" s="918"/>
      <c r="E4640" s="919"/>
      <c r="F4640" s="920"/>
      <c r="G4640" s="12"/>
    </row>
    <row r="4641" spans="1:7" ht="15" hidden="1" thickBot="1">
      <c r="A4641" s="921"/>
      <c r="B4641" s="922"/>
      <c r="C4641" s="922"/>
      <c r="D4641" s="923"/>
      <c r="E4641" s="924"/>
      <c r="F4641" s="925"/>
      <c r="G4641" s="112"/>
    </row>
    <row r="4642" spans="1:7" ht="15" hidden="1" customHeight="1">
      <c r="A4642" s="40"/>
      <c r="B4642" s="40"/>
      <c r="C4642" s="40"/>
      <c r="D4642" s="146"/>
      <c r="E4642" s="250"/>
      <c r="F4642" s="298"/>
      <c r="G4642" s="147"/>
    </row>
    <row r="4643" spans="1:7" ht="15.75" hidden="1" thickBot="1">
      <c r="A4643" s="162"/>
      <c r="B4643" s="162"/>
      <c r="C4643" s="162"/>
      <c r="D4643" s="162"/>
      <c r="E4643" s="258"/>
      <c r="F4643" s="301"/>
      <c r="G4643" s="162"/>
    </row>
    <row r="4644" spans="1:7" ht="15" hidden="1" collapsed="1" thickBot="1">
      <c r="A4644" s="1027"/>
      <c r="B4644" s="1028"/>
      <c r="C4644" s="1028"/>
      <c r="D4644" s="1028"/>
      <c r="E4644" s="1028"/>
      <c r="F4644" s="1028"/>
      <c r="G4644" s="1029"/>
    </row>
    <row r="4645" spans="1:7" ht="15" hidden="1" thickBot="1">
      <c r="A4645" s="950"/>
      <c r="B4645" s="951"/>
      <c r="C4645" s="951"/>
      <c r="D4645" s="951"/>
      <c r="E4645" s="952"/>
      <c r="F4645" s="272"/>
      <c r="G4645" s="43"/>
    </row>
    <row r="4646" spans="1:7" ht="14.45" hidden="1" customHeight="1" thickBot="1">
      <c r="A4646" s="953"/>
      <c r="B4646" s="954"/>
      <c r="C4646" s="954"/>
      <c r="D4646" s="954"/>
      <c r="E4646" s="955"/>
      <c r="F4646" s="273"/>
      <c r="G4646" s="45"/>
    </row>
    <row r="4647" spans="1:7" ht="15" hidden="1" thickBot="1">
      <c r="A4647" s="956"/>
      <c r="B4647" s="957"/>
      <c r="C4647" s="957"/>
      <c r="D4647" s="957"/>
      <c r="E4647" s="958"/>
      <c r="F4647" s="273"/>
      <c r="G4647" s="46"/>
    </row>
    <row r="4648" spans="1:7" ht="15" hidden="1" thickBot="1">
      <c r="A4648" s="959"/>
      <c r="B4648" s="960"/>
      <c r="C4648" s="960"/>
      <c r="D4648" s="960"/>
      <c r="E4648" s="961"/>
      <c r="F4648" s="274"/>
      <c r="G4648" s="48"/>
    </row>
    <row r="4649" spans="1:7" ht="15" hidden="1" thickBot="1">
      <c r="A4649" s="962"/>
      <c r="B4649" s="963"/>
      <c r="C4649" s="964"/>
      <c r="D4649" s="964"/>
      <c r="E4649" s="964"/>
      <c r="F4649" s="964"/>
      <c r="G4649" s="965"/>
    </row>
    <row r="4650" spans="1:7" ht="15" hidden="1" thickBot="1">
      <c r="A4650" s="909"/>
      <c r="B4650" s="913"/>
      <c r="C4650" s="914"/>
      <c r="D4650" s="95"/>
      <c r="E4650" s="242"/>
      <c r="F4650" s="286"/>
      <c r="G4650" s="113"/>
    </row>
    <row r="4651" spans="1:7" ht="15" hidden="1" thickBot="1">
      <c r="A4651" s="114"/>
      <c r="B4651" s="966"/>
      <c r="C4651" s="967"/>
      <c r="D4651" s="88"/>
      <c r="E4651" s="251"/>
      <c r="F4651" s="284"/>
      <c r="G4651" s="117"/>
    </row>
    <row r="4652" spans="1:7" ht="15" hidden="1" thickBot="1">
      <c r="A4652" s="114"/>
      <c r="B4652" s="966"/>
      <c r="C4652" s="967"/>
      <c r="D4652" s="88"/>
      <c r="E4652" s="251"/>
      <c r="F4652" s="284"/>
      <c r="G4652" s="117"/>
    </row>
    <row r="4653" spans="1:7" hidden="1">
      <c r="A4653" s="154"/>
      <c r="B4653" s="968"/>
      <c r="C4653" s="969"/>
      <c r="D4653" s="171"/>
      <c r="E4653" s="260"/>
      <c r="F4653" s="285"/>
      <c r="G4653" s="149"/>
    </row>
    <row r="4654" spans="1:7" ht="15" hidden="1" thickBot="1">
      <c r="A4654" s="970"/>
      <c r="B4654" s="971"/>
      <c r="C4654" s="972"/>
      <c r="D4654" s="973"/>
      <c r="E4654" s="974"/>
      <c r="F4654" s="975"/>
      <c r="G4654" s="11"/>
    </row>
    <row r="4655" spans="1:7" ht="15" hidden="1" thickBot="1">
      <c r="A4655" s="908"/>
      <c r="B4655" s="910"/>
      <c r="C4655" s="911"/>
      <c r="D4655" s="911"/>
      <c r="E4655" s="911"/>
      <c r="F4655" s="911"/>
      <c r="G4655" s="912"/>
    </row>
    <row r="4656" spans="1:7" ht="15" hidden="1" thickBot="1">
      <c r="A4656" s="909"/>
      <c r="B4656" s="913"/>
      <c r="C4656" s="914"/>
      <c r="D4656" s="95"/>
      <c r="E4656" s="242"/>
      <c r="F4656" s="286"/>
      <c r="G4656" s="113"/>
    </row>
    <row r="4657" spans="1:7" ht="15" hidden="1" thickBot="1">
      <c r="A4657" s="122"/>
      <c r="B4657" s="976"/>
      <c r="C4657" s="977"/>
      <c r="D4657" s="88"/>
      <c r="E4657" s="251"/>
      <c r="F4657" s="284"/>
      <c r="G4657" s="149"/>
    </row>
    <row r="4658" spans="1:7" ht="15" hidden="1" thickBot="1">
      <c r="A4658" s="122"/>
      <c r="B4658" s="976"/>
      <c r="C4658" s="977"/>
      <c r="D4658" s="88"/>
      <c r="E4658" s="251"/>
      <c r="F4658" s="284"/>
      <c r="G4658" s="149"/>
    </row>
    <row r="4659" spans="1:7" ht="15" hidden="1" thickBot="1">
      <c r="A4659" s="122"/>
      <c r="B4659" s="976"/>
      <c r="C4659" s="977"/>
      <c r="D4659" s="88"/>
      <c r="E4659" s="251"/>
      <c r="F4659" s="284"/>
      <c r="G4659" s="149"/>
    </row>
    <row r="4660" spans="1:7" ht="15" hidden="1" thickBot="1">
      <c r="A4660" s="155"/>
      <c r="B4660" s="930"/>
      <c r="C4660" s="931"/>
      <c r="D4660" s="88"/>
      <c r="E4660" s="251"/>
      <c r="F4660" s="284"/>
      <c r="G4660" s="149"/>
    </row>
    <row r="4661" spans="1:7" ht="15" hidden="1" thickBot="1">
      <c r="A4661" s="155"/>
      <c r="B4661" s="930"/>
      <c r="C4661" s="931"/>
      <c r="D4661" s="88"/>
      <c r="E4661" s="251"/>
      <c r="F4661" s="284"/>
      <c r="G4661" s="149"/>
    </row>
    <row r="4662" spans="1:7" ht="15" hidden="1" thickBot="1">
      <c r="A4662" s="178"/>
      <c r="B4662" s="926"/>
      <c r="C4662" s="927"/>
      <c r="D4662" s="88"/>
      <c r="E4662" s="261"/>
      <c r="F4662" s="284"/>
      <c r="G4662" s="181"/>
    </row>
    <row r="4663" spans="1:7" ht="15" hidden="1" thickBot="1">
      <c r="A4663" s="122"/>
      <c r="B4663" s="976"/>
      <c r="C4663" s="977"/>
      <c r="D4663" s="88"/>
      <c r="E4663" s="251"/>
      <c r="F4663" s="284"/>
      <c r="G4663" s="149"/>
    </row>
    <row r="4664" spans="1:7" ht="15" hidden="1" thickBot="1">
      <c r="A4664" s="122"/>
      <c r="B4664" s="976"/>
      <c r="C4664" s="977"/>
      <c r="D4664" s="88"/>
      <c r="E4664" s="251"/>
      <c r="F4664" s="284"/>
      <c r="G4664" s="149"/>
    </row>
    <row r="4665" spans="1:7" ht="15" hidden="1" thickBot="1">
      <c r="A4665" s="122"/>
      <c r="B4665" s="976"/>
      <c r="C4665" s="977"/>
      <c r="D4665" s="88"/>
      <c r="E4665" s="251"/>
      <c r="F4665" s="284"/>
      <c r="G4665" s="149"/>
    </row>
    <row r="4666" spans="1:7" ht="15" hidden="1" thickBot="1">
      <c r="A4666" s="155"/>
      <c r="B4666" s="930"/>
      <c r="C4666" s="931"/>
      <c r="D4666" s="88"/>
      <c r="E4666" s="251"/>
      <c r="F4666" s="284"/>
      <c r="G4666" s="149"/>
    </row>
    <row r="4667" spans="1:7" ht="15" hidden="1" thickBot="1">
      <c r="A4667" s="155"/>
      <c r="B4667" s="930"/>
      <c r="C4667" s="931"/>
      <c r="D4667" s="88"/>
      <c r="E4667" s="251"/>
      <c r="F4667" s="284"/>
      <c r="G4667" s="149"/>
    </row>
    <row r="4668" spans="1:7" ht="15" hidden="1" thickBot="1">
      <c r="A4668" s="155"/>
      <c r="B4668" s="930"/>
      <c r="C4668" s="931"/>
      <c r="D4668" s="88"/>
      <c r="E4668" s="251"/>
      <c r="F4668" s="284"/>
      <c r="G4668" s="149"/>
    </row>
    <row r="4669" spans="1:7" ht="15" hidden="1" thickBot="1">
      <c r="A4669" s="155"/>
      <c r="B4669" s="930"/>
      <c r="C4669" s="931"/>
      <c r="D4669" s="88"/>
      <c r="E4669" s="251"/>
      <c r="F4669" s="284"/>
      <c r="G4669" s="149"/>
    </row>
    <row r="4670" spans="1:7" ht="15" hidden="1" thickBot="1">
      <c r="A4670" s="178"/>
      <c r="B4670" s="926"/>
      <c r="C4670" s="927"/>
      <c r="D4670" s="88"/>
      <c r="E4670" s="261"/>
      <c r="F4670" s="284"/>
      <c r="G4670" s="181"/>
    </row>
    <row r="4671" spans="1:7" ht="15" hidden="1" thickBot="1">
      <c r="A4671" s="932"/>
      <c r="B4671" s="933"/>
      <c r="C4671" s="934"/>
      <c r="D4671" s="935"/>
      <c r="E4671" s="936"/>
      <c r="F4671" s="937"/>
      <c r="G4671" s="18"/>
    </row>
    <row r="4672" spans="1:7" ht="15" hidden="1" thickBot="1">
      <c r="A4672" s="908"/>
      <c r="B4672" s="910"/>
      <c r="C4672" s="911"/>
      <c r="D4672" s="911"/>
      <c r="E4672" s="911"/>
      <c r="F4672" s="911"/>
      <c r="G4672" s="912"/>
    </row>
    <row r="4673" spans="1:7" ht="15" hidden="1" thickBot="1">
      <c r="A4673" s="909"/>
      <c r="B4673" s="913"/>
      <c r="C4673" s="914"/>
      <c r="D4673" s="95"/>
      <c r="E4673" s="242"/>
      <c r="F4673" s="286"/>
      <c r="G4673" s="113"/>
    </row>
    <row r="4674" spans="1:7" hidden="1">
      <c r="A4674" s="127"/>
      <c r="B4674" s="930"/>
      <c r="C4674" s="931"/>
      <c r="D4674" s="88"/>
      <c r="E4674" s="251"/>
      <c r="F4674" s="284"/>
      <c r="G4674" s="159"/>
    </row>
    <row r="4675" spans="1:7" hidden="1">
      <c r="A4675" s="156"/>
      <c r="B4675" s="940"/>
      <c r="C4675" s="941"/>
      <c r="D4675" s="157"/>
      <c r="E4675" s="259"/>
      <c r="F4675" s="303"/>
      <c r="G4675" s="159"/>
    </row>
    <row r="4676" spans="1:7" ht="15" hidden="1" thickBot="1">
      <c r="A4676" s="130"/>
      <c r="B4676" s="942"/>
      <c r="C4676" s="943"/>
      <c r="D4676" s="104"/>
      <c r="E4676" s="247"/>
      <c r="F4676" s="288"/>
      <c r="G4676" s="131"/>
    </row>
    <row r="4677" spans="1:7" ht="15" hidden="1" thickBot="1">
      <c r="A4677" s="944"/>
      <c r="B4677" s="945"/>
      <c r="C4677" s="946"/>
      <c r="D4677" s="947"/>
      <c r="E4677" s="948"/>
      <c r="F4677" s="949"/>
      <c r="G4677" s="11"/>
    </row>
    <row r="4678" spans="1:7" ht="15" hidden="1" thickBot="1">
      <c r="A4678" s="908"/>
      <c r="B4678" s="910"/>
      <c r="C4678" s="911"/>
      <c r="D4678" s="911"/>
      <c r="E4678" s="911"/>
      <c r="F4678" s="911"/>
      <c r="G4678" s="912"/>
    </row>
    <row r="4679" spans="1:7" ht="18.75" hidden="1" customHeight="1" thickBot="1">
      <c r="A4679" s="909"/>
      <c r="B4679" s="913"/>
      <c r="C4679" s="914"/>
      <c r="D4679" s="95"/>
      <c r="E4679" s="242"/>
      <c r="F4679" s="286"/>
      <c r="G4679" s="113"/>
    </row>
    <row r="4680" spans="1:7" ht="18.75" hidden="1" customHeight="1" thickBot="1">
      <c r="A4680" s="122"/>
      <c r="B4680" s="985"/>
      <c r="C4680" s="986"/>
      <c r="D4680" s="109"/>
      <c r="E4680" s="254"/>
      <c r="F4680" s="304"/>
      <c r="G4680" s="129"/>
    </row>
    <row r="4681" spans="1:7" s="7" customFormat="1" ht="13.5" hidden="1" thickBot="1">
      <c r="A4681" s="165"/>
      <c r="B4681" s="985"/>
      <c r="C4681" s="986"/>
      <c r="D4681" s="168"/>
      <c r="E4681" s="262"/>
      <c r="F4681" s="306"/>
      <c r="G4681" s="170"/>
    </row>
    <row r="4682" spans="1:7" ht="15" hidden="1" thickBot="1">
      <c r="A4682" s="915"/>
      <c r="B4682" s="916"/>
      <c r="C4682" s="917"/>
      <c r="D4682" s="918"/>
      <c r="E4682" s="919"/>
      <c r="F4682" s="920"/>
      <c r="G4682" s="12"/>
    </row>
    <row r="4683" spans="1:7" ht="15" hidden="1" thickBot="1">
      <c r="A4683" s="921"/>
      <c r="B4683" s="922"/>
      <c r="C4683" s="922"/>
      <c r="D4683" s="923"/>
      <c r="E4683" s="924"/>
      <c r="F4683" s="925"/>
      <c r="G4683" s="112"/>
    </row>
    <row r="4684" spans="1:7" ht="15" hidden="1" customHeight="1">
      <c r="A4684" s="40"/>
      <c r="B4684" s="40"/>
      <c r="C4684" s="40"/>
      <c r="D4684" s="146"/>
      <c r="E4684" s="250"/>
      <c r="F4684" s="298"/>
      <c r="G4684" s="147"/>
    </row>
    <row r="4685" spans="1:7" ht="15.75" hidden="1" thickBot="1">
      <c r="A4685" s="162"/>
      <c r="B4685" s="162"/>
      <c r="C4685" s="162"/>
      <c r="D4685" s="162"/>
      <c r="E4685" s="258"/>
      <c r="F4685" s="301"/>
      <c r="G4685" s="162"/>
    </row>
    <row r="4686" spans="1:7" ht="15" hidden="1" collapsed="1" thickBot="1">
      <c r="A4686" s="1027"/>
      <c r="B4686" s="1028"/>
      <c r="C4686" s="1028"/>
      <c r="D4686" s="1028"/>
      <c r="E4686" s="1028"/>
      <c r="F4686" s="1028"/>
      <c r="G4686" s="1029"/>
    </row>
    <row r="4687" spans="1:7" ht="15" hidden="1" thickBot="1">
      <c r="A4687" s="950"/>
      <c r="B4687" s="951"/>
      <c r="C4687" s="951"/>
      <c r="D4687" s="951"/>
      <c r="E4687" s="952"/>
      <c r="F4687" s="272"/>
      <c r="G4687" s="43"/>
    </row>
    <row r="4688" spans="1:7" ht="14.45" hidden="1" customHeight="1" thickBot="1">
      <c r="A4688" s="953"/>
      <c r="B4688" s="954"/>
      <c r="C4688" s="954"/>
      <c r="D4688" s="954"/>
      <c r="E4688" s="955"/>
      <c r="F4688" s="273"/>
      <c r="G4688" s="45"/>
    </row>
    <row r="4689" spans="1:7" ht="15" hidden="1" thickBot="1">
      <c r="A4689" s="956"/>
      <c r="B4689" s="957"/>
      <c r="C4689" s="957"/>
      <c r="D4689" s="957"/>
      <c r="E4689" s="958"/>
      <c r="F4689" s="273"/>
      <c r="G4689" s="46"/>
    </row>
    <row r="4690" spans="1:7" ht="15" hidden="1" thickBot="1">
      <c r="A4690" s="959"/>
      <c r="B4690" s="960"/>
      <c r="C4690" s="960"/>
      <c r="D4690" s="960"/>
      <c r="E4690" s="961"/>
      <c r="F4690" s="274"/>
      <c r="G4690" s="48"/>
    </row>
    <row r="4691" spans="1:7" ht="15" hidden="1" thickBot="1">
      <c r="A4691" s="962"/>
      <c r="B4691" s="963"/>
      <c r="C4691" s="964"/>
      <c r="D4691" s="964"/>
      <c r="E4691" s="964"/>
      <c r="F4691" s="964"/>
      <c r="G4691" s="965"/>
    </row>
    <row r="4692" spans="1:7" ht="15" hidden="1" thickBot="1">
      <c r="A4692" s="909"/>
      <c r="B4692" s="913"/>
      <c r="C4692" s="914"/>
      <c r="D4692" s="95"/>
      <c r="E4692" s="242"/>
      <c r="F4692" s="286"/>
      <c r="G4692" s="113"/>
    </row>
    <row r="4693" spans="1:7" ht="15" hidden="1" thickBot="1">
      <c r="A4693" s="114"/>
      <c r="B4693" s="966"/>
      <c r="C4693" s="967"/>
      <c r="D4693" s="88"/>
      <c r="E4693" s="251"/>
      <c r="F4693" s="284"/>
      <c r="G4693" s="117"/>
    </row>
    <row r="4694" spans="1:7" hidden="1">
      <c r="A4694" s="154"/>
      <c r="B4694" s="968"/>
      <c r="C4694" s="969"/>
      <c r="D4694" s="171"/>
      <c r="E4694" s="260"/>
      <c r="F4694" s="285"/>
      <c r="G4694" s="149"/>
    </row>
    <row r="4695" spans="1:7" ht="15" hidden="1" thickBot="1">
      <c r="A4695" s="970"/>
      <c r="B4695" s="971"/>
      <c r="C4695" s="972"/>
      <c r="D4695" s="973"/>
      <c r="E4695" s="974"/>
      <c r="F4695" s="975"/>
      <c r="G4695" s="11"/>
    </row>
    <row r="4696" spans="1:7" ht="15" hidden="1" thickBot="1">
      <c r="A4696" s="908"/>
      <c r="B4696" s="910"/>
      <c r="C4696" s="911"/>
      <c r="D4696" s="911"/>
      <c r="E4696" s="911"/>
      <c r="F4696" s="911"/>
      <c r="G4696" s="912"/>
    </row>
    <row r="4697" spans="1:7" ht="15" hidden="1" thickBot="1">
      <c r="A4697" s="909"/>
      <c r="B4697" s="913"/>
      <c r="C4697" s="914"/>
      <c r="D4697" s="95"/>
      <c r="E4697" s="242"/>
      <c r="F4697" s="286"/>
      <c r="G4697" s="113"/>
    </row>
    <row r="4698" spans="1:7" ht="15" hidden="1" thickBot="1">
      <c r="A4698" s="122"/>
      <c r="B4698" s="976"/>
      <c r="C4698" s="977"/>
      <c r="D4698" s="88"/>
      <c r="E4698" s="251"/>
      <c r="F4698" s="284"/>
      <c r="G4698" s="149"/>
    </row>
    <row r="4699" spans="1:7" ht="15" hidden="1" thickBot="1">
      <c r="A4699" s="155"/>
      <c r="B4699" s="930"/>
      <c r="C4699" s="931"/>
      <c r="D4699" s="88"/>
      <c r="E4699" s="251"/>
      <c r="F4699" s="284"/>
      <c r="G4699" s="149"/>
    </row>
    <row r="4700" spans="1:7" ht="15" hidden="1" thickBot="1">
      <c r="A4700" s="178"/>
      <c r="B4700" s="926"/>
      <c r="C4700" s="927"/>
      <c r="D4700" s="88"/>
      <c r="E4700" s="261"/>
      <c r="F4700" s="284"/>
      <c r="G4700" s="181"/>
    </row>
    <row r="4701" spans="1:7" ht="15" hidden="1" thickBot="1">
      <c r="A4701" s="932"/>
      <c r="B4701" s="933"/>
      <c r="C4701" s="934"/>
      <c r="D4701" s="935"/>
      <c r="E4701" s="936"/>
      <c r="F4701" s="937"/>
      <c r="G4701" s="18"/>
    </row>
    <row r="4702" spans="1:7" ht="15" hidden="1" thickBot="1">
      <c r="A4702" s="908"/>
      <c r="B4702" s="910"/>
      <c r="C4702" s="911"/>
      <c r="D4702" s="911"/>
      <c r="E4702" s="911"/>
      <c r="F4702" s="911"/>
      <c r="G4702" s="912"/>
    </row>
    <row r="4703" spans="1:7" ht="15" hidden="1" thickBot="1">
      <c r="A4703" s="909"/>
      <c r="B4703" s="913"/>
      <c r="C4703" s="914"/>
      <c r="D4703" s="95"/>
      <c r="E4703" s="242"/>
      <c r="F4703" s="286"/>
      <c r="G4703" s="113"/>
    </row>
    <row r="4704" spans="1:7" hidden="1">
      <c r="A4704" s="127"/>
      <c r="B4704" s="930"/>
      <c r="C4704" s="931"/>
      <c r="D4704" s="88"/>
      <c r="E4704" s="251"/>
      <c r="F4704" s="284"/>
      <c r="G4704" s="159"/>
    </row>
    <row r="4705" spans="1:7" hidden="1">
      <c r="A4705" s="156"/>
      <c r="B4705" s="940"/>
      <c r="C4705" s="941"/>
      <c r="D4705" s="157"/>
      <c r="E4705" s="259"/>
      <c r="F4705" s="303"/>
      <c r="G4705" s="159"/>
    </row>
    <row r="4706" spans="1:7" ht="15" hidden="1" thickBot="1">
      <c r="A4706" s="130"/>
      <c r="B4706" s="942"/>
      <c r="C4706" s="943"/>
      <c r="D4706" s="104"/>
      <c r="E4706" s="247"/>
      <c r="F4706" s="288"/>
      <c r="G4706" s="131"/>
    </row>
    <row r="4707" spans="1:7" ht="15" hidden="1" thickBot="1">
      <c r="A4707" s="944"/>
      <c r="B4707" s="945"/>
      <c r="C4707" s="946"/>
      <c r="D4707" s="947"/>
      <c r="E4707" s="948"/>
      <c r="F4707" s="949"/>
      <c r="G4707" s="11"/>
    </row>
    <row r="4708" spans="1:7" ht="15" hidden="1" thickBot="1">
      <c r="A4708" s="908"/>
      <c r="B4708" s="910"/>
      <c r="C4708" s="911"/>
      <c r="D4708" s="911"/>
      <c r="E4708" s="911"/>
      <c r="F4708" s="911"/>
      <c r="G4708" s="912"/>
    </row>
    <row r="4709" spans="1:7" ht="18.75" hidden="1" customHeight="1" thickBot="1">
      <c r="A4709" s="909"/>
      <c r="B4709" s="913"/>
      <c r="C4709" s="914"/>
      <c r="D4709" s="95"/>
      <c r="E4709" s="242"/>
      <c r="F4709" s="286"/>
      <c r="G4709" s="113"/>
    </row>
    <row r="4710" spans="1:7" ht="18.75" hidden="1" customHeight="1" thickBot="1">
      <c r="A4710" s="122"/>
      <c r="B4710" s="985"/>
      <c r="C4710" s="986"/>
      <c r="D4710" s="109"/>
      <c r="E4710" s="254"/>
      <c r="F4710" s="304"/>
      <c r="G4710" s="129"/>
    </row>
    <row r="4711" spans="1:7" s="7" customFormat="1" ht="13.5" hidden="1" thickBot="1">
      <c r="A4711" s="165"/>
      <c r="B4711" s="985"/>
      <c r="C4711" s="986"/>
      <c r="D4711" s="168"/>
      <c r="E4711" s="262"/>
      <c r="F4711" s="306"/>
      <c r="G4711" s="170"/>
    </row>
    <row r="4712" spans="1:7" ht="15" hidden="1" thickBot="1">
      <c r="A4712" s="915"/>
      <c r="B4712" s="916"/>
      <c r="C4712" s="917"/>
      <c r="D4712" s="918"/>
      <c r="E4712" s="919"/>
      <c r="F4712" s="920"/>
      <c r="G4712" s="12"/>
    </row>
    <row r="4713" spans="1:7" ht="15" hidden="1" thickBot="1">
      <c r="A4713" s="921"/>
      <c r="B4713" s="922"/>
      <c r="C4713" s="922"/>
      <c r="D4713" s="923"/>
      <c r="E4713" s="924"/>
      <c r="F4713" s="925"/>
      <c r="G4713" s="112"/>
    </row>
    <row r="4714" spans="1:7" ht="15" hidden="1" customHeight="1" thickBot="1">
      <c r="A4714" s="40"/>
      <c r="B4714" s="40"/>
      <c r="C4714" s="40"/>
      <c r="D4714" s="146"/>
      <c r="E4714" s="250"/>
      <c r="F4714" s="298"/>
      <c r="G4714" s="147"/>
    </row>
    <row r="4715" spans="1:7" ht="15" hidden="1" thickBot="1">
      <c r="A4715" s="1101"/>
      <c r="B4715" s="1102"/>
      <c r="C4715" s="1102"/>
      <c r="D4715" s="1102"/>
      <c r="E4715" s="1102"/>
      <c r="F4715" s="1102"/>
      <c r="G4715" s="1103"/>
    </row>
    <row r="4716" spans="1:7" ht="15" hidden="1" thickBot="1">
      <c r="A4716" s="1104"/>
      <c r="B4716" s="1105"/>
      <c r="C4716" s="1105"/>
      <c r="D4716" s="1105"/>
      <c r="E4716" s="1105"/>
      <c r="F4716" s="313"/>
      <c r="G4716" s="43"/>
    </row>
    <row r="4717" spans="1:7" ht="15" hidden="1" customHeight="1" thickBot="1">
      <c r="A4717" s="953"/>
      <c r="B4717" s="954"/>
      <c r="C4717" s="954"/>
      <c r="D4717" s="954"/>
      <c r="E4717" s="955"/>
      <c r="F4717" s="273"/>
      <c r="G4717" s="45"/>
    </row>
    <row r="4718" spans="1:7" ht="15" hidden="1" thickBot="1">
      <c r="A4718" s="956"/>
      <c r="B4718" s="957"/>
      <c r="C4718" s="957"/>
      <c r="D4718" s="957"/>
      <c r="E4718" s="958"/>
      <c r="F4718" s="273"/>
      <c r="G4718" s="46"/>
    </row>
    <row r="4719" spans="1:7" ht="15" hidden="1" collapsed="1" thickBot="1">
      <c r="A4719" s="959"/>
      <c r="B4719" s="960"/>
      <c r="C4719" s="960"/>
      <c r="D4719" s="960"/>
      <c r="E4719" s="961"/>
      <c r="F4719" s="274"/>
      <c r="G4719" s="48"/>
    </row>
    <row r="4720" spans="1:7" ht="15" hidden="1" thickBot="1">
      <c r="A4720" s="1063"/>
      <c r="B4720" s="1064"/>
      <c r="C4720" s="1064"/>
      <c r="D4720" s="1064"/>
      <c r="E4720" s="1064"/>
      <c r="F4720" s="1064"/>
      <c r="G4720" s="1065"/>
    </row>
    <row r="4721" spans="1:7" ht="15" hidden="1" thickBot="1">
      <c r="A4721" s="1042"/>
      <c r="B4721" s="1045"/>
      <c r="C4721" s="1046"/>
      <c r="D4721" s="50"/>
      <c r="E4721" s="242"/>
      <c r="F4721" s="314"/>
      <c r="G4721" s="52"/>
    </row>
    <row r="4722" spans="1:7" ht="15" hidden="1" thickBot="1">
      <c r="A4722" s="53"/>
      <c r="B4722" s="1066"/>
      <c r="C4722" s="1067"/>
      <c r="D4722" s="54"/>
      <c r="E4722" s="243"/>
      <c r="F4722" s="276"/>
      <c r="G4722" s="57"/>
    </row>
    <row r="4723" spans="1:7" ht="15" hidden="1" thickBot="1">
      <c r="A4723" s="58"/>
      <c r="B4723" s="1066"/>
      <c r="C4723" s="1067"/>
      <c r="D4723" s="54"/>
      <c r="E4723" s="243"/>
      <c r="F4723" s="276"/>
      <c r="G4723" s="57"/>
    </row>
    <row r="4724" spans="1:7" hidden="1">
      <c r="A4724" s="58"/>
      <c r="B4724" s="1083"/>
      <c r="C4724" s="1084"/>
      <c r="D4724" s="59"/>
      <c r="E4724" s="243"/>
      <c r="F4724" s="276"/>
      <c r="G4724" s="57"/>
    </row>
    <row r="4725" spans="1:7" ht="15" hidden="1" thickBot="1">
      <c r="A4725" s="61"/>
      <c r="B4725" s="1068"/>
      <c r="C4725" s="1069"/>
      <c r="D4725" s="62"/>
      <c r="E4725" s="244"/>
      <c r="F4725" s="277"/>
      <c r="G4725" s="63"/>
    </row>
    <row r="4726" spans="1:7" ht="15" hidden="1" thickBot="1">
      <c r="A4726" s="1070"/>
      <c r="B4726" s="1071"/>
      <c r="C4726" s="1071"/>
      <c r="D4726" s="1052"/>
      <c r="E4726" s="1052"/>
      <c r="F4726" s="1052"/>
      <c r="G4726" s="35"/>
    </row>
    <row r="4727" spans="1:7" ht="15" hidden="1" thickBot="1">
      <c r="A4727" s="1042"/>
      <c r="B4727" s="1043"/>
      <c r="C4727" s="1043"/>
      <c r="D4727" s="1043"/>
      <c r="E4727" s="1043"/>
      <c r="F4727" s="1043"/>
      <c r="G4727" s="1044"/>
    </row>
    <row r="4728" spans="1:7" ht="22.5" hidden="1" customHeight="1" thickBot="1">
      <c r="A4728" s="1042"/>
      <c r="B4728" s="1045"/>
      <c r="C4728" s="1046"/>
      <c r="D4728" s="50"/>
      <c r="E4728" s="242"/>
      <c r="F4728" s="314"/>
      <c r="G4728" s="52"/>
    </row>
    <row r="4729" spans="1:7" ht="15" hidden="1" thickBot="1">
      <c r="A4729" s="64"/>
      <c r="B4729" s="1066"/>
      <c r="C4729" s="1067"/>
      <c r="D4729" s="54"/>
      <c r="E4729" s="243"/>
      <c r="F4729" s="315"/>
      <c r="G4729" s="65"/>
    </row>
    <row r="4730" spans="1:7" ht="15" hidden="1" thickBot="1">
      <c r="A4730" s="64"/>
      <c r="B4730" s="1083"/>
      <c r="C4730" s="1084"/>
      <c r="D4730" s="54"/>
      <c r="E4730" s="245"/>
      <c r="F4730" s="276"/>
      <c r="G4730" s="65"/>
    </row>
    <row r="4731" spans="1:7" ht="15" hidden="1" thickBot="1">
      <c r="A4731" s="64"/>
      <c r="B4731" s="1066"/>
      <c r="C4731" s="1067"/>
      <c r="D4731" s="54"/>
      <c r="E4731" s="245"/>
      <c r="F4731" s="276"/>
      <c r="G4731" s="65"/>
    </row>
    <row r="4732" spans="1:7" ht="15" hidden="1" thickBot="1">
      <c r="A4732" s="64"/>
      <c r="B4732" s="1066"/>
      <c r="C4732" s="1067"/>
      <c r="D4732" s="54"/>
      <c r="E4732" s="245"/>
      <c r="F4732" s="276"/>
      <c r="G4732" s="65"/>
    </row>
    <row r="4733" spans="1:7" ht="15" hidden="1" thickBot="1">
      <c r="A4733" s="64"/>
      <c r="B4733" s="1083"/>
      <c r="C4733" s="1084"/>
      <c r="D4733" s="54"/>
      <c r="E4733" s="245"/>
      <c r="F4733" s="276"/>
      <c r="G4733" s="65"/>
    </row>
    <row r="4734" spans="1:7" ht="15" hidden="1" thickBot="1">
      <c r="A4734" s="64"/>
      <c r="B4734" s="1083"/>
      <c r="C4734" s="1084"/>
      <c r="D4734" s="54"/>
      <c r="E4734" s="245"/>
      <c r="F4734" s="276"/>
      <c r="G4734" s="65"/>
    </row>
    <row r="4735" spans="1:7" ht="15" hidden="1" thickBot="1">
      <c r="A4735" s="64"/>
      <c r="B4735" s="1066"/>
      <c r="C4735" s="1067"/>
      <c r="D4735" s="54"/>
      <c r="E4735" s="245"/>
      <c r="F4735" s="276"/>
      <c r="G4735" s="65"/>
    </row>
    <row r="4736" spans="1:7" hidden="1">
      <c r="A4736" s="64"/>
      <c r="B4736" s="1066"/>
      <c r="C4736" s="1067"/>
      <c r="D4736" s="54"/>
      <c r="E4736" s="245"/>
      <c r="F4736" s="276"/>
      <c r="G4736" s="65"/>
    </row>
    <row r="4737" spans="1:7" ht="15" hidden="1" thickBot="1">
      <c r="A4737" s="1072"/>
      <c r="B4737" s="1073"/>
      <c r="C4737" s="1074"/>
      <c r="D4737" s="1052"/>
      <c r="E4737" s="1052"/>
      <c r="F4737" s="1052"/>
      <c r="G4737" s="35"/>
    </row>
    <row r="4738" spans="1:7" ht="15" hidden="1" thickBot="1">
      <c r="A4738" s="1042"/>
      <c r="B4738" s="1043"/>
      <c r="C4738" s="1043"/>
      <c r="D4738" s="1043"/>
      <c r="E4738" s="1043"/>
      <c r="F4738" s="1043"/>
      <c r="G4738" s="1044"/>
    </row>
    <row r="4739" spans="1:7" ht="15" hidden="1" thickBot="1">
      <c r="A4739" s="1042"/>
      <c r="B4739" s="1045"/>
      <c r="C4739" s="1046"/>
      <c r="D4739" s="50"/>
      <c r="E4739" s="242"/>
      <c r="F4739" s="314"/>
      <c r="G4739" s="52"/>
    </row>
    <row r="4740" spans="1:7" ht="15" hidden="1" thickBot="1">
      <c r="A4740" s="69"/>
      <c r="B4740" s="938"/>
      <c r="C4740" s="939"/>
      <c r="D4740" s="104"/>
      <c r="E4740" s="247"/>
      <c r="F4740" s="281"/>
      <c r="G4740" s="71"/>
    </row>
    <row r="4741" spans="1:7" ht="15" hidden="1" thickBot="1">
      <c r="A4741" s="72"/>
      <c r="B4741" s="1047"/>
      <c r="C4741" s="1048"/>
      <c r="D4741" s="73"/>
      <c r="E4741" s="247"/>
      <c r="F4741" s="279"/>
      <c r="G4741" s="74"/>
    </row>
    <row r="4742" spans="1:7" ht="15" hidden="1" thickBot="1">
      <c r="A4742" s="1049"/>
      <c r="B4742" s="1050"/>
      <c r="C4742" s="1051"/>
      <c r="D4742" s="1052"/>
      <c r="E4742" s="1052"/>
      <c r="F4742" s="1052"/>
      <c r="G4742" s="35"/>
    </row>
    <row r="4743" spans="1:7" ht="18.75" hidden="1" customHeight="1" thickBot="1">
      <c r="A4743" s="1042"/>
      <c r="B4743" s="1043"/>
      <c r="C4743" s="1043"/>
      <c r="D4743" s="1043"/>
      <c r="E4743" s="1043"/>
      <c r="F4743" s="1043"/>
      <c r="G4743" s="1044"/>
    </row>
    <row r="4744" spans="1:7" ht="18.75" hidden="1" customHeight="1" thickBot="1">
      <c r="A4744" s="1042"/>
      <c r="B4744" s="1045"/>
      <c r="C4744" s="1046"/>
      <c r="D4744" s="50"/>
      <c r="E4744" s="242"/>
      <c r="F4744" s="280"/>
      <c r="G4744" s="52"/>
    </row>
    <row r="4745" spans="1:7" s="7" customFormat="1" ht="13.5" hidden="1" thickBot="1">
      <c r="A4745" s="69"/>
      <c r="B4745" s="1053"/>
      <c r="C4745" s="1054"/>
      <c r="D4745" s="70"/>
      <c r="E4745" s="243"/>
      <c r="F4745" s="281"/>
      <c r="G4745" s="71"/>
    </row>
    <row r="4746" spans="1:7" s="7" customFormat="1" ht="12.75" hidden="1">
      <c r="A4746" s="76"/>
      <c r="B4746" s="187"/>
      <c r="C4746" s="188"/>
      <c r="D4746" s="189"/>
      <c r="E4746" s="248"/>
      <c r="F4746" s="282"/>
      <c r="G4746" s="190"/>
    </row>
    <row r="4747" spans="1:7" s="7" customFormat="1" ht="13.5" hidden="1" thickBot="1">
      <c r="A4747" s="1055"/>
      <c r="B4747" s="1056"/>
      <c r="C4747" s="1057"/>
      <c r="D4747" s="1058"/>
      <c r="E4747" s="1058"/>
      <c r="F4747" s="1058"/>
      <c r="G4747" s="36"/>
    </row>
    <row r="4748" spans="1:7" s="7" customFormat="1" ht="13.5" hidden="1" thickBot="1">
      <c r="A4748" s="1059"/>
      <c r="B4748" s="1059"/>
      <c r="C4748" s="1060"/>
      <c r="D4748" s="1061"/>
      <c r="E4748" s="1062"/>
      <c r="F4748" s="1062"/>
      <c r="G4748" s="78"/>
    </row>
    <row r="4749" spans="1:7" s="7" customFormat="1" ht="15" hidden="1" thickBot="1">
      <c r="A4749" s="49"/>
      <c r="B4749" s="49"/>
      <c r="C4749" s="49"/>
      <c r="D4749" s="49"/>
      <c r="E4749" s="263"/>
      <c r="F4749" s="307"/>
      <c r="G4749" s="49"/>
    </row>
    <row r="4750" spans="1:7" s="7" customFormat="1" ht="13.5" hidden="1" collapsed="1" thickBot="1">
      <c r="A4750" s="1101"/>
      <c r="B4750" s="1102"/>
      <c r="C4750" s="1102"/>
      <c r="D4750" s="1102"/>
      <c r="E4750" s="1102"/>
      <c r="F4750" s="1102"/>
      <c r="G4750" s="1103"/>
    </row>
    <row r="4751" spans="1:7" s="7" customFormat="1" ht="13.5" hidden="1" thickBot="1">
      <c r="A4751" s="1104"/>
      <c r="B4751" s="1105"/>
      <c r="C4751" s="1105"/>
      <c r="D4751" s="1105"/>
      <c r="E4751" s="1105"/>
      <c r="F4751" s="313"/>
      <c r="G4751" s="191"/>
    </row>
    <row r="4752" spans="1:7" s="7" customFormat="1" ht="13.9" hidden="1" customHeight="1" thickBot="1">
      <c r="A4752" s="953"/>
      <c r="B4752" s="954"/>
      <c r="C4752" s="954"/>
      <c r="D4752" s="954"/>
      <c r="E4752" s="955"/>
      <c r="F4752" s="273"/>
      <c r="G4752" s="45"/>
    </row>
    <row r="4753" spans="1:7" s="7" customFormat="1" ht="13.5" hidden="1" thickBot="1">
      <c r="A4753" s="956"/>
      <c r="B4753" s="957"/>
      <c r="C4753" s="957"/>
      <c r="D4753" s="957"/>
      <c r="E4753" s="958"/>
      <c r="F4753" s="273"/>
      <c r="G4753" s="46"/>
    </row>
    <row r="4754" spans="1:7" s="49" customFormat="1" ht="15" hidden="1" thickBot="1">
      <c r="A4754" s="959"/>
      <c r="B4754" s="960"/>
      <c r="C4754" s="960"/>
      <c r="D4754" s="960"/>
      <c r="E4754" s="961"/>
      <c r="F4754" s="274"/>
      <c r="G4754" s="48"/>
    </row>
    <row r="4755" spans="1:7" s="7" customFormat="1" ht="13.5" hidden="1" thickBot="1">
      <c r="A4755" s="1063"/>
      <c r="B4755" s="1064"/>
      <c r="C4755" s="1064"/>
      <c r="D4755" s="1064"/>
      <c r="E4755" s="1064"/>
      <c r="F4755" s="1064"/>
      <c r="G4755" s="1065"/>
    </row>
    <row r="4756" spans="1:7" s="7" customFormat="1" ht="13.5" hidden="1" thickBot="1">
      <c r="A4756" s="1042"/>
      <c r="B4756" s="1045"/>
      <c r="C4756" s="1046"/>
      <c r="D4756" s="50"/>
      <c r="E4756" s="242"/>
      <c r="F4756" s="314"/>
      <c r="G4756" s="52"/>
    </row>
    <row r="4757" spans="1:7" s="7" customFormat="1" ht="13.5" hidden="1" thickBot="1">
      <c r="A4757" s="53"/>
      <c r="B4757" s="1066"/>
      <c r="C4757" s="1067"/>
      <c r="D4757" s="54"/>
      <c r="E4757" s="243"/>
      <c r="F4757" s="276"/>
      <c r="G4757" s="57"/>
    </row>
    <row r="4758" spans="1:7" s="7" customFormat="1" ht="13.5" hidden="1" thickBot="1">
      <c r="A4758" s="58"/>
      <c r="B4758" s="1066"/>
      <c r="C4758" s="1067"/>
      <c r="D4758" s="54"/>
      <c r="E4758" s="243"/>
      <c r="F4758" s="276"/>
      <c r="G4758" s="65"/>
    </row>
    <row r="4759" spans="1:7" s="7" customFormat="1" ht="24" hidden="1" customHeight="1">
      <c r="A4759" s="58"/>
      <c r="B4759" s="1083"/>
      <c r="C4759" s="1084"/>
      <c r="D4759" s="59"/>
      <c r="E4759" s="243"/>
      <c r="F4759" s="276"/>
      <c r="G4759" s="60"/>
    </row>
    <row r="4760" spans="1:7" s="7" customFormat="1" ht="13.5" hidden="1" thickBot="1">
      <c r="A4760" s="61"/>
      <c r="B4760" s="1068"/>
      <c r="C4760" s="1069"/>
      <c r="D4760" s="62"/>
      <c r="E4760" s="244"/>
      <c r="F4760" s="277"/>
      <c r="G4760" s="63"/>
    </row>
    <row r="4761" spans="1:7" s="7" customFormat="1" ht="13.5" hidden="1" thickBot="1">
      <c r="A4761" s="1070"/>
      <c r="B4761" s="1071"/>
      <c r="C4761" s="1071"/>
      <c r="D4761" s="1052"/>
      <c r="E4761" s="1052"/>
      <c r="F4761" s="1052"/>
      <c r="G4761" s="35"/>
    </row>
    <row r="4762" spans="1:7" s="7" customFormat="1" ht="13.5" hidden="1" thickBot="1">
      <c r="A4762" s="1042"/>
      <c r="B4762" s="1043"/>
      <c r="C4762" s="1043"/>
      <c r="D4762" s="1043"/>
      <c r="E4762" s="1043"/>
      <c r="F4762" s="1043"/>
      <c r="G4762" s="1044"/>
    </row>
    <row r="4763" spans="1:7" s="7" customFormat="1" ht="13.5" hidden="1" thickBot="1">
      <c r="A4763" s="1042"/>
      <c r="B4763" s="1045"/>
      <c r="C4763" s="1046"/>
      <c r="D4763" s="50"/>
      <c r="E4763" s="242"/>
      <c r="F4763" s="314"/>
      <c r="G4763" s="52"/>
    </row>
    <row r="4764" spans="1:7" s="7" customFormat="1" ht="12.75" hidden="1">
      <c r="A4764" s="64"/>
      <c r="B4764" s="1066"/>
      <c r="C4764" s="1067"/>
      <c r="D4764" s="54"/>
      <c r="E4764" s="243"/>
      <c r="F4764" s="276"/>
      <c r="G4764" s="65"/>
    </row>
    <row r="4765" spans="1:7" s="7" customFormat="1" ht="13.5" hidden="1" thickBot="1">
      <c r="A4765" s="66"/>
      <c r="B4765" s="1085"/>
      <c r="C4765" s="1086"/>
      <c r="D4765" s="67"/>
      <c r="E4765" s="268"/>
      <c r="F4765" s="316"/>
      <c r="G4765" s="68"/>
    </row>
    <row r="4766" spans="1:7" s="7" customFormat="1" ht="13.5" hidden="1" thickBot="1">
      <c r="A4766" s="1072"/>
      <c r="B4766" s="1073"/>
      <c r="C4766" s="1074"/>
      <c r="D4766" s="1052"/>
      <c r="E4766" s="1052"/>
      <c r="F4766" s="1052"/>
      <c r="G4766" s="35"/>
    </row>
    <row r="4767" spans="1:7" s="7" customFormat="1" ht="13.5" hidden="1" thickBot="1">
      <c r="A4767" s="1042"/>
      <c r="B4767" s="1043"/>
      <c r="C4767" s="1043"/>
      <c r="D4767" s="1043"/>
      <c r="E4767" s="1043"/>
      <c r="F4767" s="1043"/>
      <c r="G4767" s="1044"/>
    </row>
    <row r="4768" spans="1:7" s="7" customFormat="1" ht="13.5" hidden="1" thickBot="1">
      <c r="A4768" s="1042"/>
      <c r="B4768" s="1045"/>
      <c r="C4768" s="1046"/>
      <c r="D4768" s="50"/>
      <c r="E4768" s="242"/>
      <c r="F4768" s="314"/>
      <c r="G4768" s="52"/>
    </row>
    <row r="4769" spans="1:7" s="7" customFormat="1" ht="12.75" hidden="1">
      <c r="A4769" s="69"/>
      <c r="B4769" s="938"/>
      <c r="C4769" s="939"/>
      <c r="D4769" s="70"/>
      <c r="E4769" s="246"/>
      <c r="F4769" s="281"/>
      <c r="G4769" s="71"/>
    </row>
    <row r="4770" spans="1:7" s="7" customFormat="1" ht="13.5" hidden="1" thickBot="1">
      <c r="A4770" s="72"/>
      <c r="B4770" s="1047"/>
      <c r="C4770" s="1048"/>
      <c r="D4770" s="73"/>
      <c r="E4770" s="247"/>
      <c r="F4770" s="279"/>
      <c r="G4770" s="74"/>
    </row>
    <row r="4771" spans="1:7" s="7" customFormat="1" ht="13.5" hidden="1" thickBot="1">
      <c r="A4771" s="1049"/>
      <c r="B4771" s="1050"/>
      <c r="C4771" s="1051"/>
      <c r="D4771" s="1052"/>
      <c r="E4771" s="1052"/>
      <c r="F4771" s="1052"/>
      <c r="G4771" s="35"/>
    </row>
    <row r="4772" spans="1:7" s="7" customFormat="1" ht="13.5" hidden="1" thickBot="1">
      <c r="A4772" s="1042"/>
      <c r="B4772" s="1043"/>
      <c r="C4772" s="1043"/>
      <c r="D4772" s="1043"/>
      <c r="E4772" s="1043"/>
      <c r="F4772" s="1043"/>
      <c r="G4772" s="1044"/>
    </row>
    <row r="4773" spans="1:7" s="7" customFormat="1" ht="13.5" hidden="1" thickBot="1">
      <c r="A4773" s="1042"/>
      <c r="B4773" s="1045"/>
      <c r="C4773" s="1046"/>
      <c r="D4773" s="50"/>
      <c r="E4773" s="242"/>
      <c r="F4773" s="280"/>
      <c r="G4773" s="52"/>
    </row>
    <row r="4774" spans="1:7" s="7" customFormat="1" ht="13.5" hidden="1" thickBot="1">
      <c r="A4774" s="69"/>
      <c r="B4774" s="1053"/>
      <c r="C4774" s="1054"/>
      <c r="D4774" s="70"/>
      <c r="E4774" s="243"/>
      <c r="F4774" s="281"/>
      <c r="G4774" s="71"/>
    </row>
    <row r="4775" spans="1:7" s="7" customFormat="1" ht="12.75" hidden="1">
      <c r="A4775" s="76"/>
      <c r="B4775" s="187"/>
      <c r="C4775" s="188"/>
      <c r="D4775" s="189"/>
      <c r="E4775" s="248"/>
      <c r="F4775" s="282"/>
      <c r="G4775" s="190"/>
    </row>
    <row r="4776" spans="1:7" s="7" customFormat="1" ht="13.5" hidden="1" thickBot="1">
      <c r="A4776" s="1055"/>
      <c r="B4776" s="1056"/>
      <c r="C4776" s="1057"/>
      <c r="D4776" s="1058"/>
      <c r="E4776" s="1058"/>
      <c r="F4776" s="1058"/>
      <c r="G4776" s="36"/>
    </row>
    <row r="4777" spans="1:7" s="7" customFormat="1" ht="13.5" hidden="1" thickBot="1">
      <c r="A4777" s="1059"/>
      <c r="B4777" s="1059"/>
      <c r="C4777" s="1060"/>
      <c r="D4777" s="1061"/>
      <c r="E4777" s="1062"/>
      <c r="F4777" s="1062"/>
      <c r="G4777" s="78"/>
    </row>
    <row r="4778" spans="1:7" s="7" customFormat="1" ht="12.75" hidden="1">
      <c r="A4778" s="38"/>
      <c r="B4778" s="38"/>
      <c r="C4778" s="38"/>
      <c r="D4778" s="192"/>
      <c r="E4778" s="250"/>
      <c r="F4778" s="317"/>
      <c r="G4778" s="193"/>
    </row>
    <row r="4779" spans="1:7" s="7" customFormat="1" ht="12.75" hidden="1">
      <c r="A4779" s="38"/>
      <c r="B4779" s="38"/>
      <c r="C4779" s="38"/>
      <c r="D4779" s="192"/>
      <c r="E4779" s="250"/>
      <c r="F4779" s="317"/>
      <c r="G4779" s="193"/>
    </row>
    <row r="4780" spans="1:7" s="7" customFormat="1" ht="15" hidden="1" thickBot="1">
      <c r="A4780" s="49"/>
      <c r="B4780" s="49"/>
      <c r="C4780" s="49"/>
      <c r="D4780" s="49"/>
      <c r="E4780" s="263"/>
      <c r="F4780" s="307"/>
      <c r="G4780" s="49"/>
    </row>
    <row r="4781" spans="1:7" s="7" customFormat="1" ht="13.5" hidden="1" thickBot="1">
      <c r="A4781" s="1101"/>
      <c r="B4781" s="1102"/>
      <c r="C4781" s="1102"/>
      <c r="D4781" s="1102"/>
      <c r="E4781" s="1102"/>
      <c r="F4781" s="1102"/>
      <c r="G4781" s="1103"/>
    </row>
    <row r="4782" spans="1:7" s="7" customFormat="1" ht="13.5" hidden="1" thickBot="1">
      <c r="A4782" s="1104"/>
      <c r="B4782" s="1105"/>
      <c r="C4782" s="1105"/>
      <c r="D4782" s="1105"/>
      <c r="E4782" s="1105"/>
      <c r="F4782" s="313"/>
      <c r="G4782" s="191"/>
    </row>
    <row r="4783" spans="1:7" s="7" customFormat="1" ht="13.9" hidden="1" customHeight="1" thickBot="1">
      <c r="A4783" s="953"/>
      <c r="B4783" s="954"/>
      <c r="C4783" s="954"/>
      <c r="D4783" s="954"/>
      <c r="E4783" s="955"/>
      <c r="F4783" s="273"/>
      <c r="G4783" s="45"/>
    </row>
    <row r="4784" spans="1:7" s="7" customFormat="1" ht="13.5" hidden="1" thickBot="1">
      <c r="A4784" s="956"/>
      <c r="B4784" s="957"/>
      <c r="C4784" s="957"/>
      <c r="D4784" s="957"/>
      <c r="E4784" s="958"/>
      <c r="F4784" s="273"/>
      <c r="G4784" s="46"/>
    </row>
    <row r="4785" spans="1:7" s="7" customFormat="1" ht="13.5" hidden="1" collapsed="1" thickBot="1">
      <c r="A4785" s="959"/>
      <c r="B4785" s="960"/>
      <c r="C4785" s="960"/>
      <c r="D4785" s="960"/>
      <c r="E4785" s="961"/>
      <c r="F4785" s="274"/>
      <c r="G4785" s="48"/>
    </row>
    <row r="4786" spans="1:7" s="7" customFormat="1" ht="13.5" hidden="1" thickBot="1">
      <c r="A4786" s="1063"/>
      <c r="B4786" s="1064"/>
      <c r="C4786" s="1064"/>
      <c r="D4786" s="1064"/>
      <c r="E4786" s="1064"/>
      <c r="F4786" s="1064"/>
      <c r="G4786" s="1065"/>
    </row>
    <row r="4787" spans="1:7" s="7" customFormat="1" ht="13.5" hidden="1" thickBot="1">
      <c r="A4787" s="1042"/>
      <c r="B4787" s="1045"/>
      <c r="C4787" s="1046"/>
      <c r="D4787" s="50"/>
      <c r="E4787" s="242"/>
      <c r="F4787" s="314"/>
      <c r="G4787" s="52"/>
    </row>
    <row r="4788" spans="1:7" s="7" customFormat="1" ht="12.75" hidden="1">
      <c r="A4788" s="53"/>
      <c r="B4788" s="1066"/>
      <c r="C4788" s="1067"/>
      <c r="D4788" s="54"/>
      <c r="E4788" s="243"/>
      <c r="F4788" s="276"/>
      <c r="G4788" s="57"/>
    </row>
    <row r="4789" spans="1:7" s="7" customFormat="1" ht="16.5" hidden="1" customHeight="1" thickBot="1">
      <c r="A4789" s="61"/>
      <c r="B4789" s="1068"/>
      <c r="C4789" s="1069"/>
      <c r="D4789" s="62"/>
      <c r="E4789" s="244"/>
      <c r="F4789" s="277"/>
      <c r="G4789" s="63"/>
    </row>
    <row r="4790" spans="1:7" s="7" customFormat="1" ht="13.5" hidden="1" thickBot="1">
      <c r="A4790" s="1070"/>
      <c r="B4790" s="1071"/>
      <c r="C4790" s="1071"/>
      <c r="D4790" s="1052"/>
      <c r="E4790" s="1052"/>
      <c r="F4790" s="1052"/>
      <c r="G4790" s="35"/>
    </row>
    <row r="4791" spans="1:7" s="7" customFormat="1" ht="16.5" hidden="1" customHeight="1" thickBot="1">
      <c r="A4791" s="1042"/>
      <c r="B4791" s="1043"/>
      <c r="C4791" s="1043"/>
      <c r="D4791" s="1043"/>
      <c r="E4791" s="1043"/>
      <c r="F4791" s="1043"/>
      <c r="G4791" s="1044"/>
    </row>
    <row r="4792" spans="1:7" s="7" customFormat="1" ht="13.5" hidden="1" thickBot="1">
      <c r="A4792" s="1042"/>
      <c r="B4792" s="1045"/>
      <c r="C4792" s="1046"/>
      <c r="D4792" s="50"/>
      <c r="E4792" s="242"/>
      <c r="F4792" s="314"/>
      <c r="G4792" s="52"/>
    </row>
    <row r="4793" spans="1:7" s="7" customFormat="1" ht="13.5" hidden="1" thickBot="1">
      <c r="A4793" s="64"/>
      <c r="B4793" s="1066"/>
      <c r="C4793" s="1067"/>
      <c r="D4793" s="54"/>
      <c r="E4793" s="243"/>
      <c r="F4793" s="276"/>
      <c r="G4793" s="60"/>
    </row>
    <row r="4794" spans="1:7" s="7" customFormat="1" ht="13.5" hidden="1" thickBot="1">
      <c r="A4794" s="66"/>
      <c r="B4794" s="1085"/>
      <c r="C4794" s="1086"/>
      <c r="D4794" s="67"/>
      <c r="E4794" s="243"/>
      <c r="F4794" s="276"/>
      <c r="G4794" s="60"/>
    </row>
    <row r="4795" spans="1:7" s="7" customFormat="1" ht="13.5" hidden="1" thickBot="1">
      <c r="A4795" s="1072"/>
      <c r="B4795" s="1073"/>
      <c r="C4795" s="1074"/>
      <c r="D4795" s="1052"/>
      <c r="E4795" s="1052"/>
      <c r="F4795" s="1052"/>
      <c r="G4795" s="35"/>
    </row>
    <row r="4796" spans="1:7" s="7" customFormat="1" ht="24" hidden="1" customHeight="1" thickBot="1">
      <c r="A4796" s="1042"/>
      <c r="B4796" s="1043"/>
      <c r="C4796" s="1043"/>
      <c r="D4796" s="1043"/>
      <c r="E4796" s="1043"/>
      <c r="F4796" s="1043"/>
      <c r="G4796" s="1044"/>
    </row>
    <row r="4797" spans="1:7" s="7" customFormat="1" ht="13.5" hidden="1" thickBot="1">
      <c r="A4797" s="1042"/>
      <c r="B4797" s="1045"/>
      <c r="C4797" s="1046"/>
      <c r="D4797" s="50"/>
      <c r="E4797" s="242"/>
      <c r="F4797" s="314"/>
      <c r="G4797" s="52"/>
    </row>
    <row r="4798" spans="1:7" s="7" customFormat="1" ht="12.75" hidden="1">
      <c r="A4798" s="69"/>
      <c r="B4798" s="938"/>
      <c r="C4798" s="939"/>
      <c r="D4798" s="70"/>
      <c r="E4798" s="246"/>
      <c r="F4798" s="281"/>
      <c r="G4798" s="71"/>
    </row>
    <row r="4799" spans="1:7" s="7" customFormat="1" ht="13.5" hidden="1" thickBot="1">
      <c r="A4799" s="72"/>
      <c r="B4799" s="1047"/>
      <c r="C4799" s="1048"/>
      <c r="D4799" s="73"/>
      <c r="E4799" s="247"/>
      <c r="F4799" s="279"/>
      <c r="G4799" s="74"/>
    </row>
    <row r="4800" spans="1:7" s="7" customFormat="1" ht="13.5" hidden="1" thickBot="1">
      <c r="A4800" s="1049"/>
      <c r="B4800" s="1050"/>
      <c r="C4800" s="1051"/>
      <c r="D4800" s="1052"/>
      <c r="E4800" s="1052"/>
      <c r="F4800" s="1052"/>
      <c r="G4800" s="35"/>
    </row>
    <row r="4801" spans="1:7" s="7" customFormat="1" ht="13.5" hidden="1" thickBot="1">
      <c r="A4801" s="1042"/>
      <c r="B4801" s="1043"/>
      <c r="C4801" s="1043"/>
      <c r="D4801" s="1043"/>
      <c r="E4801" s="1043"/>
      <c r="F4801" s="1043"/>
      <c r="G4801" s="1044"/>
    </row>
    <row r="4802" spans="1:7" s="7" customFormat="1" ht="13.5" hidden="1" thickBot="1">
      <c r="A4802" s="1042"/>
      <c r="B4802" s="1045"/>
      <c r="C4802" s="1046"/>
      <c r="D4802" s="50"/>
      <c r="E4802" s="242"/>
      <c r="F4802" s="280"/>
      <c r="G4802" s="52"/>
    </row>
    <row r="4803" spans="1:7" s="7" customFormat="1" ht="13.5" hidden="1" thickBot="1">
      <c r="A4803" s="69"/>
      <c r="B4803" s="1053"/>
      <c r="C4803" s="1054"/>
      <c r="D4803" s="70"/>
      <c r="E4803" s="243"/>
      <c r="F4803" s="281"/>
      <c r="G4803" s="71"/>
    </row>
    <row r="4804" spans="1:7" s="7" customFormat="1" ht="12.75" hidden="1">
      <c r="A4804" s="76"/>
      <c r="B4804" s="187"/>
      <c r="C4804" s="188"/>
      <c r="D4804" s="189"/>
      <c r="E4804" s="248"/>
      <c r="F4804" s="282"/>
      <c r="G4804" s="190"/>
    </row>
    <row r="4805" spans="1:7" s="7" customFormat="1" ht="13.5" hidden="1" thickBot="1">
      <c r="A4805" s="1055"/>
      <c r="B4805" s="1056"/>
      <c r="C4805" s="1057"/>
      <c r="D4805" s="1058"/>
      <c r="E4805" s="1058"/>
      <c r="F4805" s="1058"/>
      <c r="G4805" s="36"/>
    </row>
    <row r="4806" spans="1:7" s="7" customFormat="1" ht="13.5" hidden="1" thickBot="1">
      <c r="A4806" s="1059"/>
      <c r="B4806" s="1059"/>
      <c r="C4806" s="1059"/>
      <c r="D4806" s="1106"/>
      <c r="E4806" s="1106"/>
      <c r="F4806" s="1106"/>
      <c r="G4806" s="194"/>
    </row>
    <row r="4807" spans="1:7" s="7" customFormat="1" hidden="1">
      <c r="A4807" s="49"/>
      <c r="B4807" s="49"/>
      <c r="C4807" s="49"/>
      <c r="D4807" s="49"/>
      <c r="E4807" s="263"/>
      <c r="F4807" s="307"/>
      <c r="G4807" s="49"/>
    </row>
    <row r="4808" spans="1:7" s="7" customFormat="1" ht="15" hidden="1" thickBot="1">
      <c r="A4808" s="49"/>
      <c r="B4808" s="49"/>
      <c r="C4808" s="49"/>
      <c r="D4808" s="49"/>
      <c r="E4808" s="263"/>
      <c r="F4808" s="307"/>
      <c r="G4808" s="49"/>
    </row>
    <row r="4809" spans="1:7" s="7" customFormat="1" ht="13.5" hidden="1" thickBot="1">
      <c r="A4809" s="1101"/>
      <c r="B4809" s="1102"/>
      <c r="C4809" s="1102"/>
      <c r="D4809" s="1102"/>
      <c r="E4809" s="1102"/>
      <c r="F4809" s="1102"/>
      <c r="G4809" s="1103"/>
    </row>
    <row r="4810" spans="1:7" s="7" customFormat="1" ht="13.5" hidden="1" thickBot="1">
      <c r="A4810" s="1104"/>
      <c r="B4810" s="1105"/>
      <c r="C4810" s="1105"/>
      <c r="D4810" s="1105"/>
      <c r="E4810" s="1105"/>
      <c r="F4810" s="313"/>
      <c r="G4810" s="191"/>
    </row>
    <row r="4811" spans="1:7" s="7" customFormat="1" ht="13.9" hidden="1" customHeight="1" thickBot="1">
      <c r="A4811" s="953"/>
      <c r="B4811" s="954"/>
      <c r="C4811" s="954"/>
      <c r="D4811" s="954"/>
      <c r="E4811" s="955"/>
      <c r="F4811" s="273"/>
      <c r="G4811" s="45"/>
    </row>
    <row r="4812" spans="1:7" s="7" customFormat="1" ht="13.5" hidden="1" thickBot="1">
      <c r="A4812" s="956"/>
      <c r="B4812" s="957"/>
      <c r="C4812" s="957"/>
      <c r="D4812" s="957"/>
      <c r="E4812" s="958"/>
      <c r="F4812" s="273"/>
      <c r="G4812" s="46"/>
    </row>
    <row r="4813" spans="1:7" s="7" customFormat="1" ht="13.5" hidden="1" thickBot="1">
      <c r="A4813" s="959"/>
      <c r="B4813" s="960"/>
      <c r="C4813" s="960"/>
      <c r="D4813" s="960"/>
      <c r="E4813" s="961"/>
      <c r="F4813" s="274"/>
      <c r="G4813" s="48"/>
    </row>
    <row r="4814" spans="1:7" s="7" customFormat="1" ht="13.5" hidden="1" thickBot="1">
      <c r="A4814" s="1063"/>
      <c r="B4814" s="1064"/>
      <c r="C4814" s="1064"/>
      <c r="D4814" s="1064"/>
      <c r="E4814" s="1064"/>
      <c r="F4814" s="1064"/>
      <c r="G4814" s="1065"/>
    </row>
    <row r="4815" spans="1:7" s="7" customFormat="1" ht="13.5" hidden="1" collapsed="1" thickBot="1">
      <c r="A4815" s="1042"/>
      <c r="B4815" s="1045"/>
      <c r="C4815" s="1046"/>
      <c r="D4815" s="50"/>
      <c r="E4815" s="242"/>
      <c r="F4815" s="314"/>
      <c r="G4815" s="52"/>
    </row>
    <row r="4816" spans="1:7" s="7" customFormat="1" ht="12.75" hidden="1">
      <c r="A4816" s="53"/>
      <c r="B4816" s="1066"/>
      <c r="C4816" s="1067"/>
      <c r="D4816" s="54"/>
      <c r="E4816" s="243"/>
      <c r="F4816" s="276"/>
      <c r="G4816" s="57"/>
    </row>
    <row r="4817" spans="1:7" s="7" customFormat="1" ht="16.5" hidden="1" customHeight="1" thickBot="1">
      <c r="A4817" s="61"/>
      <c r="B4817" s="1068"/>
      <c r="C4817" s="1069"/>
      <c r="D4817" s="62"/>
      <c r="E4817" s="244"/>
      <c r="F4817" s="277"/>
      <c r="G4817" s="63"/>
    </row>
    <row r="4818" spans="1:7" s="7" customFormat="1" ht="13.5" hidden="1" thickBot="1">
      <c r="A4818" s="1070"/>
      <c r="B4818" s="1071"/>
      <c r="C4818" s="1071"/>
      <c r="D4818" s="1052"/>
      <c r="E4818" s="1052"/>
      <c r="F4818" s="1052"/>
      <c r="G4818" s="35"/>
    </row>
    <row r="4819" spans="1:7" s="7" customFormat="1" ht="13.5" hidden="1" thickBot="1">
      <c r="A4819" s="1042"/>
      <c r="B4819" s="1043"/>
      <c r="C4819" s="1043"/>
      <c r="D4819" s="1043"/>
      <c r="E4819" s="1043"/>
      <c r="F4819" s="1043"/>
      <c r="G4819" s="1044"/>
    </row>
    <row r="4820" spans="1:7" s="7" customFormat="1" ht="13.5" hidden="1" thickBot="1">
      <c r="A4820" s="1042"/>
      <c r="B4820" s="1045"/>
      <c r="C4820" s="1046"/>
      <c r="D4820" s="50"/>
      <c r="E4820" s="242"/>
      <c r="F4820" s="314"/>
      <c r="G4820" s="52"/>
    </row>
    <row r="4821" spans="1:7" s="7" customFormat="1" ht="24" hidden="1" customHeight="1" thickBot="1">
      <c r="A4821" s="58"/>
      <c r="B4821" s="1066"/>
      <c r="C4821" s="1067"/>
      <c r="D4821" s="54"/>
      <c r="E4821" s="243"/>
      <c r="F4821" s="276"/>
      <c r="G4821" s="65"/>
    </row>
    <row r="4822" spans="1:7" s="7" customFormat="1" ht="16.5" hidden="1" customHeight="1" thickBot="1">
      <c r="A4822" s="58"/>
      <c r="B4822" s="1066"/>
      <c r="C4822" s="1067"/>
      <c r="D4822" s="54"/>
      <c r="E4822" s="243"/>
      <c r="F4822" s="276"/>
      <c r="G4822" s="65"/>
    </row>
    <row r="4823" spans="1:7" s="7" customFormat="1" ht="13.5" hidden="1" thickBot="1">
      <c r="A4823" s="58"/>
      <c r="B4823" s="1066"/>
      <c r="C4823" s="1067"/>
      <c r="D4823" s="54"/>
      <c r="E4823" s="243"/>
      <c r="F4823" s="276"/>
      <c r="G4823" s="65"/>
    </row>
    <row r="4824" spans="1:7" s="7" customFormat="1" ht="16.5" hidden="1" customHeight="1" thickBot="1">
      <c r="A4824" s="58"/>
      <c r="B4824" s="1066"/>
      <c r="C4824" s="1067"/>
      <c r="D4824" s="54"/>
      <c r="E4824" s="243"/>
      <c r="F4824" s="276"/>
      <c r="G4824" s="65"/>
    </row>
    <row r="4825" spans="1:7" s="7" customFormat="1" ht="12.75" hidden="1">
      <c r="A4825" s="58"/>
      <c r="B4825" s="1066"/>
      <c r="C4825" s="1067"/>
      <c r="D4825" s="54"/>
      <c r="E4825" s="243"/>
      <c r="F4825" s="276"/>
      <c r="G4825" s="65"/>
    </row>
    <row r="4826" spans="1:7" s="7" customFormat="1" ht="13.5" hidden="1" thickBot="1">
      <c r="A4826" s="66"/>
      <c r="B4826" s="1085"/>
      <c r="C4826" s="1086"/>
      <c r="D4826" s="67"/>
      <c r="E4826" s="268"/>
      <c r="F4826" s="316"/>
      <c r="G4826" s="68"/>
    </row>
    <row r="4827" spans="1:7" s="7" customFormat="1" ht="13.5" hidden="1" thickBot="1">
      <c r="A4827" s="1072"/>
      <c r="B4827" s="1073"/>
      <c r="C4827" s="1074"/>
      <c r="D4827" s="1052"/>
      <c r="E4827" s="1052"/>
      <c r="F4827" s="1052"/>
      <c r="G4827" s="35"/>
    </row>
    <row r="4828" spans="1:7" s="7" customFormat="1" ht="13.5" hidden="1" thickBot="1">
      <c r="A4828" s="1042"/>
      <c r="B4828" s="1043"/>
      <c r="C4828" s="1043"/>
      <c r="D4828" s="1043"/>
      <c r="E4828" s="1043"/>
      <c r="F4828" s="1043"/>
      <c r="G4828" s="1044"/>
    </row>
    <row r="4829" spans="1:7" s="7" customFormat="1" ht="13.5" hidden="1" thickBot="1">
      <c r="A4829" s="1042"/>
      <c r="B4829" s="1045"/>
      <c r="C4829" s="1046"/>
      <c r="D4829" s="50"/>
      <c r="E4829" s="242"/>
      <c r="F4829" s="314"/>
      <c r="G4829" s="52"/>
    </row>
    <row r="4830" spans="1:7" s="7" customFormat="1" ht="12.75" hidden="1">
      <c r="A4830" s="69"/>
      <c r="B4830" s="938"/>
      <c r="C4830" s="939"/>
      <c r="D4830" s="70"/>
      <c r="E4830" s="246"/>
      <c r="F4830" s="281"/>
      <c r="G4830" s="71"/>
    </row>
    <row r="4831" spans="1:7" s="7" customFormat="1" ht="13.5" hidden="1" thickBot="1">
      <c r="A4831" s="72"/>
      <c r="B4831" s="1047"/>
      <c r="C4831" s="1048"/>
      <c r="D4831" s="73"/>
      <c r="E4831" s="247"/>
      <c r="F4831" s="279"/>
      <c r="G4831" s="74"/>
    </row>
    <row r="4832" spans="1:7" s="7" customFormat="1" ht="13.5" hidden="1" thickBot="1">
      <c r="A4832" s="1049"/>
      <c r="B4832" s="1050"/>
      <c r="C4832" s="1051"/>
      <c r="D4832" s="1052"/>
      <c r="E4832" s="1052"/>
      <c r="F4832" s="1052"/>
      <c r="G4832" s="35"/>
    </row>
    <row r="4833" spans="1:7" s="7" customFormat="1" ht="13.5" hidden="1" thickBot="1">
      <c r="A4833" s="1042"/>
      <c r="B4833" s="1043"/>
      <c r="C4833" s="1043"/>
      <c r="D4833" s="1043"/>
      <c r="E4833" s="1043"/>
      <c r="F4833" s="1043"/>
      <c r="G4833" s="1044"/>
    </row>
    <row r="4834" spans="1:7" s="7" customFormat="1" ht="13.5" hidden="1" thickBot="1">
      <c r="A4834" s="1042"/>
      <c r="B4834" s="1045"/>
      <c r="C4834" s="1046"/>
      <c r="D4834" s="50"/>
      <c r="E4834" s="242"/>
      <c r="F4834" s="280"/>
      <c r="G4834" s="52"/>
    </row>
    <row r="4835" spans="1:7" s="7" customFormat="1" ht="13.5" hidden="1" thickBot="1">
      <c r="A4835" s="69"/>
      <c r="B4835" s="1053"/>
      <c r="C4835" s="1054"/>
      <c r="D4835" s="70"/>
      <c r="E4835" s="243"/>
      <c r="F4835" s="281"/>
      <c r="G4835" s="71"/>
    </row>
    <row r="4836" spans="1:7" s="7" customFormat="1" ht="12.75" hidden="1">
      <c r="A4836" s="76"/>
      <c r="B4836" s="187"/>
      <c r="C4836" s="188"/>
      <c r="D4836" s="189"/>
      <c r="E4836" s="248"/>
      <c r="F4836" s="282"/>
      <c r="G4836" s="190"/>
    </row>
    <row r="4837" spans="1:7" s="7" customFormat="1" ht="13.5" hidden="1" thickBot="1">
      <c r="A4837" s="1055"/>
      <c r="B4837" s="1056"/>
      <c r="C4837" s="1057"/>
      <c r="D4837" s="1058"/>
      <c r="E4837" s="1058"/>
      <c r="F4837" s="1058"/>
      <c r="G4837" s="36"/>
    </row>
    <row r="4838" spans="1:7" s="7" customFormat="1" ht="13.5" hidden="1" thickBot="1">
      <c r="A4838" s="1059"/>
      <c r="B4838" s="1059"/>
      <c r="C4838" s="1060"/>
      <c r="D4838" s="1061"/>
      <c r="E4838" s="1062"/>
      <c r="F4838" s="1062"/>
      <c r="G4838" s="78"/>
    </row>
    <row r="4839" spans="1:7" hidden="1">
      <c r="A4839" s="49"/>
      <c r="B4839" s="49"/>
      <c r="C4839" s="49"/>
      <c r="D4839" s="49"/>
      <c r="F4839" s="307"/>
      <c r="G4839" s="49"/>
    </row>
    <row r="4840" spans="1:7" s="7" customFormat="1" ht="15" hidden="1" thickBot="1">
      <c r="A4840" s="49"/>
      <c r="B4840" s="49"/>
      <c r="C4840" s="49"/>
      <c r="D4840" s="49"/>
      <c r="E4840" s="263"/>
      <c r="F4840" s="307"/>
      <c r="G4840" s="49"/>
    </row>
    <row r="4841" spans="1:7" s="7" customFormat="1" ht="13.5" hidden="1" thickBot="1">
      <c r="A4841" s="1101"/>
      <c r="B4841" s="1102"/>
      <c r="C4841" s="1102"/>
      <c r="D4841" s="1102"/>
      <c r="E4841" s="1102"/>
      <c r="F4841" s="1102"/>
      <c r="G4841" s="1103"/>
    </row>
    <row r="4842" spans="1:7" s="7" customFormat="1" ht="13.5" hidden="1" thickBot="1">
      <c r="A4842" s="1104"/>
      <c r="B4842" s="1105"/>
      <c r="C4842" s="1105"/>
      <c r="D4842" s="1105"/>
      <c r="E4842" s="1105"/>
      <c r="F4842" s="313"/>
      <c r="G4842" s="191"/>
    </row>
    <row r="4843" spans="1:7" s="7" customFormat="1" ht="13.9" hidden="1" customHeight="1" thickBot="1">
      <c r="A4843" s="953"/>
      <c r="B4843" s="954"/>
      <c r="C4843" s="954"/>
      <c r="D4843" s="954"/>
      <c r="E4843" s="955"/>
      <c r="F4843" s="273"/>
      <c r="G4843" s="45"/>
    </row>
    <row r="4844" spans="1:7" s="7" customFormat="1" ht="13.5" hidden="1" thickBot="1">
      <c r="A4844" s="956"/>
      <c r="B4844" s="957"/>
      <c r="C4844" s="957"/>
      <c r="D4844" s="957"/>
      <c r="E4844" s="958"/>
      <c r="F4844" s="273"/>
      <c r="G4844" s="46"/>
    </row>
    <row r="4845" spans="1:7" s="7" customFormat="1" ht="13.5" hidden="1" collapsed="1" thickBot="1">
      <c r="A4845" s="959"/>
      <c r="B4845" s="960"/>
      <c r="C4845" s="960"/>
      <c r="D4845" s="960"/>
      <c r="E4845" s="961"/>
      <c r="F4845" s="274"/>
      <c r="G4845" s="48"/>
    </row>
    <row r="4846" spans="1:7" s="7" customFormat="1" ht="13.5" hidden="1" thickBot="1">
      <c r="A4846" s="1063"/>
      <c r="B4846" s="1064"/>
      <c r="C4846" s="1064"/>
      <c r="D4846" s="1064"/>
      <c r="E4846" s="1064"/>
      <c r="F4846" s="1064"/>
      <c r="G4846" s="1065"/>
    </row>
    <row r="4847" spans="1:7" s="7" customFormat="1" ht="13.5" hidden="1" thickBot="1">
      <c r="A4847" s="1042"/>
      <c r="B4847" s="1045"/>
      <c r="C4847" s="1046"/>
      <c r="D4847" s="50"/>
      <c r="E4847" s="242"/>
      <c r="F4847" s="314"/>
      <c r="G4847" s="52"/>
    </row>
    <row r="4848" spans="1:7" s="7" customFormat="1" ht="13.5" hidden="1" thickBot="1">
      <c r="A4848" s="53"/>
      <c r="B4848" s="1066"/>
      <c r="C4848" s="1067"/>
      <c r="D4848" s="54"/>
      <c r="E4848" s="243"/>
      <c r="F4848" s="276"/>
      <c r="G4848" s="57"/>
    </row>
    <row r="4849" spans="1:7" s="7" customFormat="1" ht="16.5" hidden="1" customHeight="1" thickBot="1">
      <c r="A4849" s="58"/>
      <c r="B4849" s="1083"/>
      <c r="C4849" s="1084"/>
      <c r="D4849" s="59"/>
      <c r="E4849" s="243"/>
      <c r="F4849" s="276"/>
      <c r="G4849" s="60"/>
    </row>
    <row r="4850" spans="1:7" s="7" customFormat="1" ht="12.75" hidden="1">
      <c r="A4850" s="58"/>
      <c r="B4850" s="1083"/>
      <c r="C4850" s="1084"/>
      <c r="D4850" s="59"/>
      <c r="E4850" s="243"/>
      <c r="F4850" s="276"/>
      <c r="G4850" s="60"/>
    </row>
    <row r="4851" spans="1:7" s="7" customFormat="1" ht="13.5" hidden="1" thickBot="1">
      <c r="A4851" s="61"/>
      <c r="B4851" s="1068"/>
      <c r="C4851" s="1069"/>
      <c r="D4851" s="62"/>
      <c r="E4851" s="244"/>
      <c r="F4851" s="277"/>
      <c r="G4851" s="63"/>
    </row>
    <row r="4852" spans="1:7" s="7" customFormat="1" ht="13.5" hidden="1" thickBot="1">
      <c r="A4852" s="1070"/>
      <c r="B4852" s="1071"/>
      <c r="C4852" s="1071"/>
      <c r="D4852" s="1052"/>
      <c r="E4852" s="1052"/>
      <c r="F4852" s="1052"/>
      <c r="G4852" s="35"/>
    </row>
    <row r="4853" spans="1:7" s="7" customFormat="1" ht="24" hidden="1" customHeight="1" thickBot="1">
      <c r="A4853" s="1042"/>
      <c r="B4853" s="1043"/>
      <c r="C4853" s="1043"/>
      <c r="D4853" s="1043"/>
      <c r="E4853" s="1043"/>
      <c r="F4853" s="1043"/>
      <c r="G4853" s="1044"/>
    </row>
    <row r="4854" spans="1:7" s="7" customFormat="1" ht="16.5" hidden="1" customHeight="1" thickBot="1">
      <c r="A4854" s="1042"/>
      <c r="B4854" s="1045"/>
      <c r="C4854" s="1046"/>
      <c r="D4854" s="50"/>
      <c r="E4854" s="242"/>
      <c r="F4854" s="314"/>
      <c r="G4854" s="52"/>
    </row>
    <row r="4855" spans="1:7" s="7" customFormat="1" ht="16.5" hidden="1" customHeight="1" thickBot="1">
      <c r="A4855" s="64"/>
      <c r="B4855" s="1066"/>
      <c r="C4855" s="1067"/>
      <c r="D4855" s="54"/>
      <c r="E4855" s="245"/>
      <c r="F4855" s="318"/>
      <c r="G4855" s="65"/>
    </row>
    <row r="4856" spans="1:7" s="7" customFormat="1" ht="13.5" hidden="1" thickBot="1">
      <c r="A4856" s="66"/>
      <c r="B4856" s="1085"/>
      <c r="C4856" s="1086"/>
      <c r="D4856" s="67"/>
      <c r="E4856" s="245"/>
      <c r="F4856" s="276"/>
      <c r="G4856" s="68"/>
    </row>
    <row r="4857" spans="1:7" s="7" customFormat="1" ht="13.5" hidden="1" thickBot="1">
      <c r="A4857" s="66"/>
      <c r="B4857" s="1085"/>
      <c r="C4857" s="1086"/>
      <c r="D4857" s="67"/>
      <c r="E4857" s="245"/>
      <c r="F4857" s="276"/>
      <c r="G4857" s="68"/>
    </row>
    <row r="4858" spans="1:7" s="7" customFormat="1" ht="13.5" hidden="1" thickBot="1">
      <c r="A4858" s="1072"/>
      <c r="B4858" s="1073"/>
      <c r="C4858" s="1074"/>
      <c r="D4858" s="1052"/>
      <c r="E4858" s="1052"/>
      <c r="F4858" s="1052"/>
      <c r="G4858" s="35"/>
    </row>
    <row r="4859" spans="1:7" s="7" customFormat="1" ht="13.5" hidden="1" thickBot="1">
      <c r="A4859" s="1042"/>
      <c r="B4859" s="1043"/>
      <c r="C4859" s="1043"/>
      <c r="D4859" s="1043"/>
      <c r="E4859" s="1043"/>
      <c r="F4859" s="1043"/>
      <c r="G4859" s="1044"/>
    </row>
    <row r="4860" spans="1:7" s="7" customFormat="1" ht="13.5" hidden="1" thickBot="1">
      <c r="A4860" s="1042"/>
      <c r="B4860" s="1045"/>
      <c r="C4860" s="1046"/>
      <c r="D4860" s="50"/>
      <c r="E4860" s="242"/>
      <c r="F4860" s="314"/>
      <c r="G4860" s="52"/>
    </row>
    <row r="4861" spans="1:7" s="7" customFormat="1" ht="12.75" hidden="1">
      <c r="A4861" s="69"/>
      <c r="B4861" s="938"/>
      <c r="C4861" s="939"/>
      <c r="D4861" s="70"/>
      <c r="E4861" s="246"/>
      <c r="F4861" s="281"/>
      <c r="G4861" s="71"/>
    </row>
    <row r="4862" spans="1:7" s="7" customFormat="1" ht="13.5" hidden="1" thickBot="1">
      <c r="A4862" s="72"/>
      <c r="B4862" s="1047"/>
      <c r="C4862" s="1048"/>
      <c r="D4862" s="73"/>
      <c r="E4862" s="247"/>
      <c r="F4862" s="279"/>
      <c r="G4862" s="74"/>
    </row>
    <row r="4863" spans="1:7" s="7" customFormat="1" ht="13.5" hidden="1" thickBot="1">
      <c r="A4863" s="1049"/>
      <c r="B4863" s="1050"/>
      <c r="C4863" s="1051"/>
      <c r="D4863" s="1052"/>
      <c r="E4863" s="1052"/>
      <c r="F4863" s="1052"/>
      <c r="G4863" s="35"/>
    </row>
    <row r="4864" spans="1:7" s="7" customFormat="1" ht="13.5" hidden="1" thickBot="1">
      <c r="A4864" s="1042"/>
      <c r="B4864" s="1043"/>
      <c r="C4864" s="1043"/>
      <c r="D4864" s="1043"/>
      <c r="E4864" s="1043"/>
      <c r="F4864" s="1043"/>
      <c r="G4864" s="1044"/>
    </row>
    <row r="4865" spans="1:7" s="7" customFormat="1" ht="13.5" hidden="1" thickBot="1">
      <c r="A4865" s="1042"/>
      <c r="B4865" s="1045"/>
      <c r="C4865" s="1046"/>
      <c r="D4865" s="50"/>
      <c r="E4865" s="242"/>
      <c r="F4865" s="280"/>
      <c r="G4865" s="52"/>
    </row>
    <row r="4866" spans="1:7" s="7" customFormat="1" ht="13.5" hidden="1" thickBot="1">
      <c r="A4866" s="69"/>
      <c r="B4866" s="1053"/>
      <c r="C4866" s="1054"/>
      <c r="D4866" s="70"/>
      <c r="E4866" s="243"/>
      <c r="F4866" s="281"/>
      <c r="G4866" s="71"/>
    </row>
    <row r="4867" spans="1:7" s="7" customFormat="1" ht="12.75" hidden="1">
      <c r="A4867" s="76"/>
      <c r="B4867" s="187"/>
      <c r="C4867" s="188"/>
      <c r="D4867" s="189"/>
      <c r="E4867" s="248"/>
      <c r="F4867" s="282"/>
      <c r="G4867" s="190"/>
    </row>
    <row r="4868" spans="1:7" s="7" customFormat="1" ht="13.5" hidden="1" thickBot="1">
      <c r="A4868" s="1055"/>
      <c r="B4868" s="1056"/>
      <c r="C4868" s="1057"/>
      <c r="D4868" s="1058"/>
      <c r="E4868" s="1058"/>
      <c r="F4868" s="1058"/>
      <c r="G4868" s="36"/>
    </row>
    <row r="4869" spans="1:7" s="7" customFormat="1" ht="13.5" hidden="1" thickBot="1">
      <c r="A4869" s="1059"/>
      <c r="B4869" s="1059"/>
      <c r="C4869" s="1060"/>
      <c r="D4869" s="1061"/>
      <c r="E4869" s="1062"/>
      <c r="F4869" s="1062"/>
      <c r="G4869" s="78"/>
    </row>
    <row r="4870" spans="1:7" s="7" customFormat="1" hidden="1">
      <c r="A4870" s="49"/>
      <c r="B4870" s="49"/>
      <c r="C4870" s="49"/>
      <c r="D4870" s="49"/>
      <c r="E4870" s="263"/>
      <c r="F4870" s="307"/>
      <c r="G4870" s="49"/>
    </row>
    <row r="4871" spans="1:7" s="7" customFormat="1" hidden="1">
      <c r="A4871" s="49"/>
      <c r="B4871" s="49"/>
      <c r="C4871" s="49"/>
      <c r="D4871" s="49"/>
      <c r="E4871" s="263"/>
      <c r="F4871" s="307"/>
      <c r="G4871" s="49"/>
    </row>
    <row r="4872" spans="1:7" s="7" customFormat="1" ht="15.75" hidden="1" thickBot="1">
      <c r="A4872" s="162"/>
      <c r="B4872" s="162"/>
      <c r="C4872" s="162"/>
      <c r="D4872" s="162"/>
      <c r="E4872" s="258"/>
      <c r="F4872" s="301"/>
      <c r="G4872" s="162"/>
    </row>
    <row r="4873" spans="1:7" s="7" customFormat="1" ht="13.5" hidden="1" thickBot="1">
      <c r="A4873" s="1027"/>
      <c r="B4873" s="1028"/>
      <c r="C4873" s="1028"/>
      <c r="D4873" s="1028"/>
      <c r="E4873" s="1028"/>
      <c r="F4873" s="1028"/>
      <c r="G4873" s="1029"/>
    </row>
    <row r="4874" spans="1:7" s="7" customFormat="1" ht="13.5" hidden="1" thickBot="1">
      <c r="A4874" s="950"/>
      <c r="B4874" s="951"/>
      <c r="C4874" s="951"/>
      <c r="D4874" s="951"/>
      <c r="E4874" s="952"/>
      <c r="F4874" s="272"/>
      <c r="G4874" s="191"/>
    </row>
    <row r="4875" spans="1:7" s="7" customFormat="1" ht="13.9" hidden="1" customHeight="1" collapsed="1" thickBot="1">
      <c r="A4875" s="953"/>
      <c r="B4875" s="954"/>
      <c r="C4875" s="954"/>
      <c r="D4875" s="954"/>
      <c r="E4875" s="955"/>
      <c r="F4875" s="273"/>
      <c r="G4875" s="45"/>
    </row>
    <row r="4876" spans="1:7" s="7" customFormat="1" ht="13.5" hidden="1" thickBot="1">
      <c r="A4876" s="956"/>
      <c r="B4876" s="957"/>
      <c r="C4876" s="957"/>
      <c r="D4876" s="957"/>
      <c r="E4876" s="958"/>
      <c r="F4876" s="273"/>
      <c r="G4876" s="46"/>
    </row>
    <row r="4877" spans="1:7" s="7" customFormat="1" ht="13.5" hidden="1" thickBot="1">
      <c r="A4877" s="959"/>
      <c r="B4877" s="960"/>
      <c r="C4877" s="960"/>
      <c r="D4877" s="960"/>
      <c r="E4877" s="961"/>
      <c r="F4877" s="274"/>
      <c r="G4877" s="48"/>
    </row>
    <row r="4878" spans="1:7" s="7" customFormat="1" ht="13.5" hidden="1" thickBot="1">
      <c r="A4878" s="962"/>
      <c r="B4878" s="963"/>
      <c r="C4878" s="964"/>
      <c r="D4878" s="964"/>
      <c r="E4878" s="964"/>
      <c r="F4878" s="964"/>
      <c r="G4878" s="965"/>
    </row>
    <row r="4879" spans="1:7" s="7" customFormat="1" ht="16.5" hidden="1" customHeight="1" thickBot="1">
      <c r="A4879" s="909"/>
      <c r="B4879" s="913"/>
      <c r="C4879" s="914"/>
      <c r="D4879" s="95"/>
      <c r="E4879" s="242"/>
      <c r="F4879" s="286"/>
      <c r="G4879" s="113"/>
    </row>
    <row r="4880" spans="1:7" s="7" customFormat="1" ht="13.5" hidden="1" thickBot="1">
      <c r="A4880" s="114"/>
      <c r="B4880" s="966"/>
      <c r="C4880" s="967"/>
      <c r="D4880" s="88"/>
      <c r="E4880" s="251"/>
      <c r="F4880" s="284"/>
      <c r="G4880" s="117"/>
    </row>
    <row r="4881" spans="1:7" s="7" customFormat="1" ht="12.75" hidden="1">
      <c r="A4881" s="154"/>
      <c r="B4881" s="968"/>
      <c r="C4881" s="969"/>
      <c r="D4881" s="171"/>
      <c r="E4881" s="260"/>
      <c r="F4881" s="285"/>
      <c r="G4881" s="149"/>
    </row>
    <row r="4882" spans="1:7" s="7" customFormat="1" ht="13.5" hidden="1" thickBot="1">
      <c r="A4882" s="970"/>
      <c r="B4882" s="971"/>
      <c r="C4882" s="972"/>
      <c r="D4882" s="973"/>
      <c r="E4882" s="974"/>
      <c r="F4882" s="975"/>
      <c r="G4882" s="11"/>
    </row>
    <row r="4883" spans="1:7" s="7" customFormat="1" ht="24" hidden="1" customHeight="1" thickBot="1">
      <c r="A4883" s="908"/>
      <c r="B4883" s="910"/>
      <c r="C4883" s="911"/>
      <c r="D4883" s="911"/>
      <c r="E4883" s="911"/>
      <c r="F4883" s="911"/>
      <c r="G4883" s="912"/>
    </row>
    <row r="4884" spans="1:7" s="7" customFormat="1" ht="13.5" hidden="1" thickBot="1">
      <c r="A4884" s="909"/>
      <c r="B4884" s="913"/>
      <c r="C4884" s="914"/>
      <c r="D4884" s="95"/>
      <c r="E4884" s="242"/>
      <c r="F4884" s="286"/>
      <c r="G4884" s="113"/>
    </row>
    <row r="4885" spans="1:7" s="7" customFormat="1" ht="13.5" hidden="1" thickBot="1">
      <c r="A4885" s="178"/>
      <c r="B4885" s="926"/>
      <c r="C4885" s="927"/>
      <c r="D4885" s="88"/>
      <c r="E4885" s="261"/>
      <c r="F4885" s="305"/>
      <c r="G4885" s="181"/>
    </row>
    <row r="4886" spans="1:7" s="7" customFormat="1" ht="13.5" hidden="1" thickBot="1">
      <c r="A4886" s="122"/>
      <c r="B4886" s="930"/>
      <c r="C4886" s="931"/>
      <c r="D4886" s="88"/>
      <c r="E4886" s="251"/>
      <c r="F4886" s="284"/>
      <c r="G4886" s="149"/>
    </row>
    <row r="4887" spans="1:7" s="7" customFormat="1" ht="13.5" hidden="1" thickBot="1">
      <c r="A4887" s="155"/>
      <c r="B4887" s="930"/>
      <c r="C4887" s="931"/>
      <c r="D4887" s="88"/>
      <c r="E4887" s="251"/>
      <c r="F4887" s="284"/>
      <c r="G4887" s="149"/>
    </row>
    <row r="4888" spans="1:7" s="7" customFormat="1" ht="13.5" hidden="1" thickBot="1">
      <c r="A4888" s="932"/>
      <c r="B4888" s="933"/>
      <c r="C4888" s="934"/>
      <c r="D4888" s="935"/>
      <c r="E4888" s="936"/>
      <c r="F4888" s="937"/>
      <c r="G4888" s="18"/>
    </row>
    <row r="4889" spans="1:7" s="7" customFormat="1" ht="13.5" hidden="1" thickBot="1">
      <c r="A4889" s="908"/>
      <c r="B4889" s="910"/>
      <c r="C4889" s="911"/>
      <c r="D4889" s="911"/>
      <c r="E4889" s="911"/>
      <c r="F4889" s="911"/>
      <c r="G4889" s="912"/>
    </row>
    <row r="4890" spans="1:7" s="7" customFormat="1" ht="13.5" hidden="1" thickBot="1">
      <c r="A4890" s="909"/>
      <c r="B4890" s="913"/>
      <c r="C4890" s="914"/>
      <c r="D4890" s="95"/>
      <c r="E4890" s="242"/>
      <c r="F4890" s="286"/>
      <c r="G4890" s="113"/>
    </row>
    <row r="4891" spans="1:7" s="7" customFormat="1" ht="13.5" hidden="1" thickBot="1">
      <c r="A4891" s="127"/>
      <c r="B4891" s="938"/>
      <c r="C4891" s="939"/>
      <c r="D4891" s="104"/>
      <c r="E4891" s="247"/>
      <c r="F4891" s="284"/>
      <c r="G4891" s="159"/>
    </row>
    <row r="4892" spans="1:7" s="7" customFormat="1" ht="12.75" hidden="1">
      <c r="A4892" s="156"/>
      <c r="B4892" s="940"/>
      <c r="C4892" s="941"/>
      <c r="D4892" s="157"/>
      <c r="E4892" s="259"/>
      <c r="F4892" s="303"/>
      <c r="G4892" s="159"/>
    </row>
    <row r="4893" spans="1:7" s="7" customFormat="1" ht="13.5" hidden="1" thickBot="1">
      <c r="A4893" s="130"/>
      <c r="B4893" s="942"/>
      <c r="C4893" s="943"/>
      <c r="D4893" s="104"/>
      <c r="E4893" s="247"/>
      <c r="F4893" s="288"/>
      <c r="G4893" s="131"/>
    </row>
    <row r="4894" spans="1:7" s="7" customFormat="1" ht="13.5" hidden="1" thickBot="1">
      <c r="A4894" s="944"/>
      <c r="B4894" s="945"/>
      <c r="C4894" s="946"/>
      <c r="D4894" s="947"/>
      <c r="E4894" s="948"/>
      <c r="F4894" s="949"/>
      <c r="G4894" s="11"/>
    </row>
    <row r="4895" spans="1:7" s="7" customFormat="1" ht="13.5" hidden="1" thickBot="1">
      <c r="A4895" s="908"/>
      <c r="B4895" s="910"/>
      <c r="C4895" s="911"/>
      <c r="D4895" s="911"/>
      <c r="E4895" s="911"/>
      <c r="F4895" s="911"/>
      <c r="G4895" s="912"/>
    </row>
    <row r="4896" spans="1:7" s="7" customFormat="1" ht="13.5" hidden="1" thickBot="1">
      <c r="A4896" s="909"/>
      <c r="B4896" s="913"/>
      <c r="C4896" s="914"/>
      <c r="D4896" s="95"/>
      <c r="E4896" s="242"/>
      <c r="F4896" s="286"/>
      <c r="G4896" s="113"/>
    </row>
    <row r="4897" spans="1:7" s="7" customFormat="1" ht="12.75" hidden="1">
      <c r="A4897" s="122"/>
      <c r="B4897" s="160"/>
      <c r="C4897" s="161"/>
      <c r="D4897" s="109"/>
      <c r="E4897" s="254"/>
      <c r="F4897" s="304"/>
      <c r="G4897" s="129"/>
    </row>
    <row r="4898" spans="1:7" s="7" customFormat="1" ht="12.75" hidden="1">
      <c r="A4898" s="155"/>
      <c r="B4898" s="184"/>
      <c r="C4898" s="185"/>
      <c r="D4898" s="92"/>
      <c r="E4898" s="252"/>
      <c r="F4898" s="287"/>
      <c r="G4898" s="164"/>
    </row>
    <row r="4899" spans="1:7" s="7" customFormat="1" ht="13.5" hidden="1" thickBot="1">
      <c r="A4899" s="165"/>
      <c r="B4899" s="166"/>
      <c r="C4899" s="167"/>
      <c r="D4899" s="168"/>
      <c r="E4899" s="262"/>
      <c r="F4899" s="306"/>
      <c r="G4899" s="170"/>
    </row>
    <row r="4900" spans="1:7" s="7" customFormat="1" ht="13.5" hidden="1" thickBot="1">
      <c r="A4900" s="915"/>
      <c r="B4900" s="916"/>
      <c r="C4900" s="917"/>
      <c r="D4900" s="918"/>
      <c r="E4900" s="919"/>
      <c r="F4900" s="920"/>
      <c r="G4900" s="12"/>
    </row>
    <row r="4901" spans="1:7" s="7" customFormat="1" ht="13.5" hidden="1" thickBot="1">
      <c r="A4901" s="921"/>
      <c r="B4901" s="922"/>
      <c r="C4901" s="922"/>
      <c r="D4901" s="923"/>
      <c r="E4901" s="924"/>
      <c r="F4901" s="925"/>
      <c r="G4901" s="153"/>
    </row>
    <row r="4902" spans="1:7" s="7" customFormat="1" ht="12.75" hidden="1" collapsed="1">
      <c r="A4902" s="40"/>
      <c r="B4902" s="40"/>
      <c r="C4902" s="40"/>
      <c r="D4902" s="146"/>
      <c r="E4902" s="250"/>
      <c r="F4902" s="298"/>
      <c r="G4902" s="147"/>
    </row>
    <row r="4903" spans="1:7" s="7" customFormat="1" ht="15.75" hidden="1" thickBot="1">
      <c r="A4903" s="162"/>
      <c r="B4903" s="162"/>
      <c r="C4903" s="162"/>
      <c r="D4903" s="162"/>
      <c r="E4903" s="258"/>
      <c r="F4903" s="301"/>
      <c r="G4903" s="162"/>
    </row>
    <row r="4904" spans="1:7" s="7" customFormat="1" ht="13.5" hidden="1" thickBot="1">
      <c r="A4904" s="1027"/>
      <c r="B4904" s="1028"/>
      <c r="C4904" s="1028"/>
      <c r="D4904" s="1028"/>
      <c r="E4904" s="1028"/>
      <c r="F4904" s="1028"/>
      <c r="G4904" s="1029"/>
    </row>
    <row r="4905" spans="1:7" s="7" customFormat="1" ht="16.5" hidden="1" customHeight="1" thickBot="1">
      <c r="A4905" s="950"/>
      <c r="B4905" s="951"/>
      <c r="C4905" s="951"/>
      <c r="D4905" s="951"/>
      <c r="E4905" s="952"/>
      <c r="F4905" s="272"/>
      <c r="G4905" s="191"/>
    </row>
    <row r="4906" spans="1:7" s="7" customFormat="1" ht="13.9" hidden="1" customHeight="1" thickBot="1">
      <c r="A4906" s="953"/>
      <c r="B4906" s="954"/>
      <c r="C4906" s="954"/>
      <c r="D4906" s="954"/>
      <c r="E4906" s="955"/>
      <c r="F4906" s="273"/>
      <c r="G4906" s="45"/>
    </row>
    <row r="4907" spans="1:7" s="7" customFormat="1" ht="13.5" hidden="1" thickBot="1">
      <c r="A4907" s="956"/>
      <c r="B4907" s="957"/>
      <c r="C4907" s="957"/>
      <c r="D4907" s="957"/>
      <c r="E4907" s="958"/>
      <c r="F4907" s="273"/>
      <c r="G4907" s="46"/>
    </row>
    <row r="4908" spans="1:7" s="7" customFormat="1" ht="13.5" hidden="1" thickBot="1">
      <c r="A4908" s="959"/>
      <c r="B4908" s="960"/>
      <c r="C4908" s="960"/>
      <c r="D4908" s="960"/>
      <c r="E4908" s="961"/>
      <c r="F4908" s="274"/>
      <c r="G4908" s="48"/>
    </row>
    <row r="4909" spans="1:7" s="7" customFormat="1" ht="24" hidden="1" customHeight="1" thickBot="1">
      <c r="A4909" s="962"/>
      <c r="B4909" s="963"/>
      <c r="C4909" s="964"/>
      <c r="D4909" s="964"/>
      <c r="E4909" s="964"/>
      <c r="F4909" s="964"/>
      <c r="G4909" s="965"/>
    </row>
    <row r="4910" spans="1:7" s="7" customFormat="1" ht="13.5" hidden="1" thickBot="1">
      <c r="A4910" s="909"/>
      <c r="B4910" s="913"/>
      <c r="C4910" s="914"/>
      <c r="D4910" s="95"/>
      <c r="E4910" s="242"/>
      <c r="F4910" s="286"/>
      <c r="G4910" s="113"/>
    </row>
    <row r="4911" spans="1:7" s="7" customFormat="1" ht="12.75" hidden="1">
      <c r="A4911" s="114"/>
      <c r="B4911" s="930"/>
      <c r="C4911" s="931"/>
      <c r="D4911" s="88"/>
      <c r="E4911" s="251"/>
      <c r="F4911" s="284"/>
      <c r="G4911" s="117"/>
    </row>
    <row r="4912" spans="1:7" s="7" customFormat="1" ht="12.75" hidden="1">
      <c r="A4912" s="182"/>
      <c r="B4912" s="1107"/>
      <c r="C4912" s="1108"/>
      <c r="D4912" s="183"/>
      <c r="E4912" s="260"/>
      <c r="F4912" s="319"/>
      <c r="G4912" s="60"/>
    </row>
    <row r="4913" spans="1:7" s="7" customFormat="1" ht="13.5" hidden="1" thickBot="1">
      <c r="A4913" s="118"/>
      <c r="B4913" s="1012"/>
      <c r="C4913" s="1013"/>
      <c r="D4913" s="119"/>
      <c r="E4913" s="244"/>
      <c r="F4913" s="294"/>
      <c r="G4913" s="121"/>
    </row>
    <row r="4914" spans="1:7" s="7" customFormat="1" ht="13.5" hidden="1" thickBot="1">
      <c r="A4914" s="1087"/>
      <c r="B4914" s="1088"/>
      <c r="C4914" s="1089"/>
      <c r="D4914" s="935"/>
      <c r="E4914" s="936"/>
      <c r="F4914" s="937"/>
      <c r="G4914" s="11"/>
    </row>
    <row r="4915" spans="1:7" s="7" customFormat="1" ht="13.5" hidden="1" thickBot="1">
      <c r="A4915" s="908"/>
      <c r="B4915" s="910"/>
      <c r="C4915" s="911"/>
      <c r="D4915" s="911"/>
      <c r="E4915" s="911"/>
      <c r="F4915" s="911"/>
      <c r="G4915" s="912"/>
    </row>
    <row r="4916" spans="1:7" s="7" customFormat="1" ht="13.5" hidden="1" thickBot="1">
      <c r="A4916" s="909"/>
      <c r="B4916" s="913"/>
      <c r="C4916" s="914"/>
      <c r="D4916" s="95"/>
      <c r="E4916" s="242"/>
      <c r="F4916" s="286"/>
      <c r="G4916" s="113"/>
    </row>
    <row r="4917" spans="1:7" s="7" customFormat="1" ht="13.5" hidden="1" thickBot="1">
      <c r="A4917" s="122"/>
      <c r="B4917" s="976"/>
      <c r="C4917" s="977"/>
      <c r="D4917" s="88"/>
      <c r="E4917" s="251"/>
      <c r="F4917" s="284"/>
      <c r="G4917" s="140"/>
    </row>
    <row r="4918" spans="1:7" s="7" customFormat="1" ht="13.5" hidden="1" thickBot="1">
      <c r="A4918" s="163"/>
      <c r="B4918" s="976"/>
      <c r="C4918" s="977"/>
      <c r="D4918" s="88"/>
      <c r="E4918" s="251"/>
      <c r="F4918" s="284"/>
      <c r="G4918" s="140"/>
    </row>
    <row r="4919" spans="1:7" s="7" customFormat="1" ht="13.5" hidden="1" thickBot="1">
      <c r="A4919" s="163"/>
      <c r="B4919" s="976"/>
      <c r="C4919" s="977"/>
      <c r="D4919" s="88"/>
      <c r="E4919" s="251"/>
      <c r="F4919" s="284"/>
      <c r="G4919" s="140"/>
    </row>
    <row r="4920" spans="1:7" s="7" customFormat="1" ht="13.5" hidden="1" thickBot="1">
      <c r="A4920" s="163"/>
      <c r="B4920" s="976"/>
      <c r="C4920" s="977"/>
      <c r="D4920" s="88"/>
      <c r="E4920" s="251"/>
      <c r="F4920" s="284"/>
      <c r="G4920" s="140"/>
    </row>
    <row r="4921" spans="1:7" ht="15" hidden="1" thickBot="1">
      <c r="A4921" s="163"/>
      <c r="B4921" s="976"/>
      <c r="C4921" s="977"/>
      <c r="D4921" s="88"/>
      <c r="E4921" s="251"/>
      <c r="F4921" s="284"/>
      <c r="G4921" s="140"/>
    </row>
    <row r="4922" spans="1:7" ht="15" hidden="1" thickBot="1">
      <c r="A4922" s="122"/>
      <c r="B4922" s="976"/>
      <c r="C4922" s="977"/>
      <c r="D4922" s="88"/>
      <c r="E4922" s="251"/>
      <c r="F4922" s="284"/>
      <c r="G4922" s="140"/>
    </row>
    <row r="4923" spans="1:7" hidden="1">
      <c r="A4923" s="122"/>
      <c r="B4923" s="976"/>
      <c r="C4923" s="977"/>
      <c r="D4923" s="88"/>
      <c r="E4923" s="251"/>
      <c r="F4923" s="284"/>
      <c r="G4923" s="140"/>
    </row>
    <row r="4924" spans="1:7" ht="15" hidden="1" thickBot="1">
      <c r="A4924" s="155"/>
      <c r="B4924" s="928"/>
      <c r="C4924" s="929"/>
      <c r="D4924" s="99"/>
      <c r="E4924" s="253"/>
      <c r="F4924" s="302"/>
      <c r="G4924" s="149"/>
    </row>
    <row r="4925" spans="1:7" ht="15" hidden="1" thickBot="1">
      <c r="A4925" s="932"/>
      <c r="B4925" s="933"/>
      <c r="C4925" s="934"/>
      <c r="D4925" s="935"/>
      <c r="E4925" s="936"/>
      <c r="F4925" s="937"/>
      <c r="G4925" s="18"/>
    </row>
    <row r="4926" spans="1:7" ht="15" hidden="1" thickBot="1">
      <c r="A4926" s="908"/>
      <c r="B4926" s="910"/>
      <c r="C4926" s="911"/>
      <c r="D4926" s="911"/>
      <c r="E4926" s="911"/>
      <c r="F4926" s="911"/>
      <c r="G4926" s="912"/>
    </row>
    <row r="4927" spans="1:7" ht="15" hidden="1" thickBot="1">
      <c r="A4927" s="909"/>
      <c r="B4927" s="913"/>
      <c r="C4927" s="914"/>
      <c r="D4927" s="95"/>
      <c r="E4927" s="242"/>
      <c r="F4927" s="286"/>
      <c r="G4927" s="113"/>
    </row>
    <row r="4928" spans="1:7" hidden="1">
      <c r="A4928" s="127"/>
      <c r="B4928" s="1075"/>
      <c r="C4928" s="1076"/>
      <c r="D4928" s="128"/>
      <c r="E4928" s="246"/>
      <c r="F4928" s="295"/>
      <c r="G4928" s="129"/>
    </row>
    <row r="4929" spans="1:7" hidden="1">
      <c r="A4929" s="156"/>
      <c r="B4929" s="940"/>
      <c r="C4929" s="941"/>
      <c r="D4929" s="157"/>
      <c r="E4929" s="259"/>
      <c r="F4929" s="303"/>
      <c r="G4929" s="159"/>
    </row>
    <row r="4930" spans="1:7" ht="15" hidden="1" thickBot="1">
      <c r="A4930" s="130"/>
      <c r="B4930" s="942"/>
      <c r="C4930" s="943"/>
      <c r="D4930" s="104"/>
      <c r="E4930" s="247"/>
      <c r="F4930" s="288"/>
      <c r="G4930" s="131"/>
    </row>
    <row r="4931" spans="1:7" ht="15" hidden="1" thickBot="1">
      <c r="A4931" s="944"/>
      <c r="B4931" s="945"/>
      <c r="C4931" s="946"/>
      <c r="D4931" s="947"/>
      <c r="E4931" s="948"/>
      <c r="F4931" s="949"/>
      <c r="G4931" s="11"/>
    </row>
    <row r="4932" spans="1:7" ht="15" hidden="1" thickBot="1">
      <c r="A4932" s="908"/>
      <c r="B4932" s="910"/>
      <c r="C4932" s="911"/>
      <c r="D4932" s="911"/>
      <c r="E4932" s="911"/>
      <c r="F4932" s="911"/>
      <c r="G4932" s="912"/>
    </row>
    <row r="4933" spans="1:7" ht="15" hidden="1" thickBot="1">
      <c r="A4933" s="909"/>
      <c r="B4933" s="95"/>
      <c r="C4933" s="95"/>
      <c r="D4933" s="95"/>
      <c r="E4933" s="242"/>
      <c r="F4933" s="286"/>
      <c r="G4933" s="113"/>
    </row>
    <row r="4934" spans="1:7" ht="15" hidden="1" thickBot="1">
      <c r="A4934" s="122"/>
      <c r="B4934" s="160"/>
      <c r="C4934" s="161"/>
      <c r="D4934" s="109"/>
      <c r="E4934" s="254"/>
      <c r="F4934" s="304"/>
      <c r="G4934" s="129"/>
    </row>
    <row r="4935" spans="1:7" ht="15" hidden="1" thickBot="1">
      <c r="A4935" s="1090"/>
      <c r="B4935" s="919"/>
      <c r="C4935" s="920"/>
      <c r="D4935" s="918"/>
      <c r="E4935" s="919"/>
      <c r="F4935" s="920"/>
      <c r="G4935" s="12"/>
    </row>
    <row r="4936" spans="1:7" ht="15" hidden="1" thickBot="1">
      <c r="A4936" s="991"/>
      <c r="B4936" s="991"/>
      <c r="C4936" s="991"/>
      <c r="D4936" s="923"/>
      <c r="E4936" s="924"/>
      <c r="F4936" s="925"/>
      <c r="G4936" s="153"/>
    </row>
    <row r="4937" spans="1:7" ht="15" hidden="1">
      <c r="A4937" s="162"/>
      <c r="B4937" s="162"/>
      <c r="C4937" s="162"/>
      <c r="D4937" s="162"/>
      <c r="E4937" s="258"/>
      <c r="F4937" s="301"/>
      <c r="G4937" s="162"/>
    </row>
    <row r="4938" spans="1:7" ht="15.75" hidden="1" thickBot="1">
      <c r="A4938" s="162"/>
      <c r="B4938" s="162"/>
      <c r="C4938" s="162"/>
      <c r="D4938" s="162"/>
      <c r="E4938" s="258"/>
      <c r="F4938" s="301"/>
      <c r="G4938" s="162"/>
    </row>
    <row r="4939" spans="1:7" ht="15" hidden="1" thickBot="1">
      <c r="A4939" s="1027"/>
      <c r="B4939" s="1028"/>
      <c r="C4939" s="1028"/>
      <c r="D4939" s="1028"/>
      <c r="E4939" s="1028"/>
      <c r="F4939" s="1028"/>
      <c r="G4939" s="1029"/>
    </row>
    <row r="4940" spans="1:7" ht="15" hidden="1" thickBot="1">
      <c r="A4940" s="950"/>
      <c r="B4940" s="951"/>
      <c r="C4940" s="951"/>
      <c r="D4940" s="951"/>
      <c r="E4940" s="952"/>
      <c r="F4940" s="272"/>
      <c r="G4940" s="191"/>
    </row>
    <row r="4941" spans="1:7" ht="15" hidden="1" customHeight="1" thickBot="1">
      <c r="A4941" s="953"/>
      <c r="B4941" s="954"/>
      <c r="C4941" s="954"/>
      <c r="D4941" s="954"/>
      <c r="E4941" s="955"/>
      <c r="F4941" s="273"/>
      <c r="G4941" s="45"/>
    </row>
    <row r="4942" spans="1:7" ht="15" hidden="1" thickBot="1">
      <c r="A4942" s="956"/>
      <c r="B4942" s="957"/>
      <c r="C4942" s="957"/>
      <c r="D4942" s="957"/>
      <c r="E4942" s="958"/>
      <c r="F4942" s="273"/>
      <c r="G4942" s="46"/>
    </row>
    <row r="4943" spans="1:7" ht="15" hidden="1" thickBot="1">
      <c r="A4943" s="959"/>
      <c r="B4943" s="960"/>
      <c r="C4943" s="960"/>
      <c r="D4943" s="960"/>
      <c r="E4943" s="961"/>
      <c r="F4943" s="274"/>
      <c r="G4943" s="48"/>
    </row>
    <row r="4944" spans="1:7" ht="15" hidden="1" thickBot="1">
      <c r="A4944" s="962"/>
      <c r="B4944" s="963"/>
      <c r="C4944" s="964"/>
      <c r="D4944" s="964"/>
      <c r="E4944" s="964"/>
      <c r="F4944" s="964"/>
      <c r="G4944" s="965"/>
    </row>
    <row r="4945" spans="1:7" ht="15" hidden="1" thickBot="1">
      <c r="A4945" s="909"/>
      <c r="B4945" s="913"/>
      <c r="C4945" s="914"/>
      <c r="D4945" s="95"/>
      <c r="E4945" s="242"/>
      <c r="F4945" s="286"/>
      <c r="G4945" s="113"/>
    </row>
    <row r="4946" spans="1:7" ht="15" hidden="1" thickBot="1">
      <c r="A4946" s="114"/>
      <c r="B4946" s="930"/>
      <c r="C4946" s="931"/>
      <c r="D4946" s="88"/>
      <c r="E4946" s="251"/>
      <c r="F4946" s="284"/>
      <c r="G4946" s="117"/>
    </row>
    <row r="4947" spans="1:7" hidden="1">
      <c r="A4947" s="154"/>
      <c r="B4947" s="930"/>
      <c r="C4947" s="931"/>
      <c r="D4947" s="88"/>
      <c r="E4947" s="251"/>
      <c r="F4947" s="284"/>
      <c r="G4947" s="149"/>
    </row>
    <row r="4948" spans="1:7" ht="15" hidden="1" thickBot="1">
      <c r="A4948" s="118"/>
      <c r="B4948" s="1012"/>
      <c r="C4948" s="1013"/>
      <c r="D4948" s="119"/>
      <c r="E4948" s="244"/>
      <c r="F4948" s="294"/>
      <c r="G4948" s="149"/>
    </row>
    <row r="4949" spans="1:7" hidden="1">
      <c r="A4949" s="154"/>
      <c r="B4949" s="930"/>
      <c r="C4949" s="931"/>
      <c r="D4949" s="88"/>
      <c r="E4949" s="251"/>
      <c r="F4949" s="284"/>
      <c r="G4949" s="149"/>
    </row>
    <row r="4950" spans="1:7" ht="15" hidden="1" thickBot="1">
      <c r="A4950" s="118"/>
      <c r="B4950" s="1012"/>
      <c r="C4950" s="1013"/>
      <c r="D4950" s="119"/>
      <c r="E4950" s="244"/>
      <c r="F4950" s="294"/>
      <c r="G4950" s="149"/>
    </row>
    <row r="4951" spans="1:7" ht="15" hidden="1" thickBot="1">
      <c r="A4951" s="1087"/>
      <c r="B4951" s="1088"/>
      <c r="C4951" s="1089"/>
      <c r="D4951" s="935"/>
      <c r="E4951" s="936"/>
      <c r="F4951" s="937"/>
      <c r="G4951" s="11"/>
    </row>
    <row r="4952" spans="1:7" ht="15" hidden="1" thickBot="1">
      <c r="A4952" s="908"/>
      <c r="B4952" s="910"/>
      <c r="C4952" s="911"/>
      <c r="D4952" s="911"/>
      <c r="E4952" s="911"/>
      <c r="F4952" s="911"/>
      <c r="G4952" s="912"/>
    </row>
    <row r="4953" spans="1:7" ht="15" hidden="1" thickBot="1">
      <c r="A4953" s="909"/>
      <c r="B4953" s="913"/>
      <c r="C4953" s="914"/>
      <c r="D4953" s="95"/>
      <c r="E4953" s="242"/>
      <c r="F4953" s="286"/>
      <c r="G4953" s="113"/>
    </row>
    <row r="4954" spans="1:7" ht="15" hidden="1" thickBot="1">
      <c r="A4954" s="122"/>
      <c r="B4954" s="976"/>
      <c r="C4954" s="977"/>
      <c r="D4954" s="88"/>
      <c r="E4954" s="251"/>
      <c r="F4954" s="284"/>
      <c r="G4954" s="140"/>
    </row>
    <row r="4955" spans="1:7" ht="15" hidden="1" thickBot="1">
      <c r="A4955" s="932"/>
      <c r="B4955" s="933"/>
      <c r="C4955" s="934"/>
      <c r="D4955" s="935"/>
      <c r="E4955" s="936"/>
      <c r="F4955" s="937"/>
      <c r="G4955" s="18"/>
    </row>
    <row r="4956" spans="1:7" ht="15" hidden="1" thickBot="1">
      <c r="A4956" s="908"/>
      <c r="B4956" s="910"/>
      <c r="C4956" s="911"/>
      <c r="D4956" s="911"/>
      <c r="E4956" s="911"/>
      <c r="F4956" s="911"/>
      <c r="G4956" s="912"/>
    </row>
    <row r="4957" spans="1:7" ht="15" hidden="1" thickBot="1">
      <c r="A4957" s="909"/>
      <c r="B4957" s="913"/>
      <c r="C4957" s="914"/>
      <c r="D4957" s="95"/>
      <c r="E4957" s="242"/>
      <c r="F4957" s="286"/>
      <c r="G4957" s="113"/>
    </row>
    <row r="4958" spans="1:7" hidden="1">
      <c r="A4958" s="127"/>
      <c r="B4958" s="1075"/>
      <c r="C4958" s="1076"/>
      <c r="D4958" s="128"/>
      <c r="E4958" s="246"/>
      <c r="F4958" s="295"/>
      <c r="G4958" s="129"/>
    </row>
    <row r="4959" spans="1:7" hidden="1">
      <c r="A4959" s="156"/>
      <c r="B4959" s="940"/>
      <c r="C4959" s="941"/>
      <c r="D4959" s="157"/>
      <c r="E4959" s="259"/>
      <c r="F4959" s="303"/>
      <c r="G4959" s="159"/>
    </row>
    <row r="4960" spans="1:7" ht="15" hidden="1" thickBot="1">
      <c r="A4960" s="130"/>
      <c r="B4960" s="942"/>
      <c r="C4960" s="943"/>
      <c r="D4960" s="104"/>
      <c r="E4960" s="247"/>
      <c r="F4960" s="288"/>
      <c r="G4960" s="131"/>
    </row>
    <row r="4961" spans="1:7" ht="15" hidden="1" thickBot="1">
      <c r="A4961" s="944"/>
      <c r="B4961" s="945"/>
      <c r="C4961" s="946"/>
      <c r="D4961" s="947"/>
      <c r="E4961" s="948"/>
      <c r="F4961" s="949"/>
      <c r="G4961" s="11"/>
    </row>
    <row r="4962" spans="1:7" ht="15" hidden="1" thickBot="1">
      <c r="A4962" s="908"/>
      <c r="B4962" s="910"/>
      <c r="C4962" s="911"/>
      <c r="D4962" s="911"/>
      <c r="E4962" s="911"/>
      <c r="F4962" s="911"/>
      <c r="G4962" s="912"/>
    </row>
    <row r="4963" spans="1:7" ht="15" hidden="1" collapsed="1" thickBot="1">
      <c r="A4963" s="909"/>
      <c r="B4963" s="95"/>
      <c r="C4963" s="95"/>
      <c r="D4963" s="95"/>
      <c r="E4963" s="242"/>
      <c r="F4963" s="286"/>
      <c r="G4963" s="113"/>
    </row>
    <row r="4964" spans="1:7" ht="15" hidden="1" thickBot="1">
      <c r="A4964" s="122"/>
      <c r="B4964" s="160"/>
      <c r="C4964" s="161"/>
      <c r="D4964" s="109"/>
      <c r="E4964" s="254"/>
      <c r="F4964" s="304"/>
      <c r="G4964" s="129"/>
    </row>
    <row r="4965" spans="1:7" ht="22.5" hidden="1" customHeight="1" thickBot="1">
      <c r="A4965" s="1090"/>
      <c r="B4965" s="919"/>
      <c r="C4965" s="920"/>
      <c r="D4965" s="918"/>
      <c r="E4965" s="919"/>
      <c r="F4965" s="920"/>
      <c r="G4965" s="12"/>
    </row>
    <row r="4966" spans="1:7" ht="15" hidden="1" thickBot="1">
      <c r="A4966" s="991"/>
      <c r="B4966" s="991"/>
      <c r="C4966" s="991"/>
      <c r="D4966" s="923"/>
      <c r="E4966" s="924"/>
      <c r="F4966" s="925"/>
      <c r="G4966" s="153"/>
    </row>
    <row r="4967" spans="1:7" ht="15" hidden="1">
      <c r="A4967" s="162"/>
      <c r="B4967" s="162"/>
      <c r="C4967" s="162"/>
      <c r="D4967" s="162"/>
      <c r="E4967" s="258"/>
      <c r="F4967" s="301"/>
      <c r="G4967" s="162"/>
    </row>
    <row r="4968" spans="1:7" ht="15.75" hidden="1" thickBot="1">
      <c r="A4968" s="162"/>
      <c r="B4968" s="162"/>
      <c r="C4968" s="162"/>
      <c r="D4968" s="162"/>
      <c r="E4968" s="258"/>
      <c r="F4968" s="301"/>
      <c r="G4968" s="162"/>
    </row>
    <row r="4969" spans="1:7" ht="15" hidden="1" thickBot="1">
      <c r="A4969" s="1027"/>
      <c r="B4969" s="1028"/>
      <c r="C4969" s="1028"/>
      <c r="D4969" s="1028"/>
      <c r="E4969" s="1028"/>
      <c r="F4969" s="1028"/>
      <c r="G4969" s="1029"/>
    </row>
    <row r="4970" spans="1:7" ht="15" hidden="1" thickBot="1">
      <c r="A4970" s="950"/>
      <c r="B4970" s="951"/>
      <c r="C4970" s="951"/>
      <c r="D4970" s="951"/>
      <c r="E4970" s="952"/>
      <c r="F4970" s="272"/>
      <c r="G4970" s="191"/>
    </row>
    <row r="4971" spans="1:7" ht="15" hidden="1" customHeight="1" thickBot="1">
      <c r="A4971" s="953"/>
      <c r="B4971" s="954"/>
      <c r="C4971" s="954"/>
      <c r="D4971" s="954"/>
      <c r="E4971" s="955"/>
      <c r="F4971" s="273"/>
      <c r="G4971" s="45"/>
    </row>
    <row r="4972" spans="1:7" ht="15" hidden="1" thickBot="1">
      <c r="A4972" s="956"/>
      <c r="B4972" s="957"/>
      <c r="C4972" s="957"/>
      <c r="D4972" s="957"/>
      <c r="E4972" s="958"/>
      <c r="F4972" s="273"/>
      <c r="G4972" s="46"/>
    </row>
    <row r="4973" spans="1:7" ht="15" hidden="1" thickBot="1">
      <c r="A4973" s="959"/>
      <c r="B4973" s="960"/>
      <c r="C4973" s="960"/>
      <c r="D4973" s="960"/>
      <c r="E4973" s="961"/>
      <c r="F4973" s="274"/>
      <c r="G4973" s="48"/>
    </row>
    <row r="4974" spans="1:7" ht="15" hidden="1" thickBot="1">
      <c r="A4974" s="962"/>
      <c r="B4974" s="963"/>
      <c r="C4974" s="964"/>
      <c r="D4974" s="964"/>
      <c r="E4974" s="964"/>
      <c r="F4974" s="964"/>
      <c r="G4974" s="965"/>
    </row>
    <row r="4975" spans="1:7" ht="15" hidden="1" thickBot="1">
      <c r="A4975" s="909"/>
      <c r="B4975" s="913"/>
      <c r="C4975" s="914"/>
      <c r="D4975" s="95"/>
      <c r="E4975" s="242"/>
      <c r="F4975" s="286"/>
      <c r="G4975" s="113"/>
    </row>
    <row r="4976" spans="1:7" ht="15" hidden="1" thickBot="1">
      <c r="A4976" s="114"/>
      <c r="B4976" s="930"/>
      <c r="C4976" s="931"/>
      <c r="D4976" s="88"/>
      <c r="E4976" s="251"/>
      <c r="F4976" s="284"/>
      <c r="G4976" s="117"/>
    </row>
    <row r="4977" spans="1:7" ht="15" hidden="1" thickBot="1">
      <c r="A4977" s="154"/>
      <c r="B4977" s="930"/>
      <c r="C4977" s="931"/>
      <c r="D4977" s="88"/>
      <c r="E4977" s="251"/>
      <c r="F4977" s="284"/>
      <c r="G4977" s="149"/>
    </row>
    <row r="4978" spans="1:7" ht="15" hidden="1" thickBot="1">
      <c r="A4978" s="1087"/>
      <c r="B4978" s="1088"/>
      <c r="C4978" s="1089"/>
      <c r="D4978" s="935"/>
      <c r="E4978" s="936"/>
      <c r="F4978" s="937"/>
      <c r="G4978" s="11"/>
    </row>
    <row r="4979" spans="1:7" ht="15" hidden="1" thickBot="1">
      <c r="A4979" s="908"/>
      <c r="B4979" s="910"/>
      <c r="C4979" s="911"/>
      <c r="D4979" s="911"/>
      <c r="E4979" s="911"/>
      <c r="F4979" s="911"/>
      <c r="G4979" s="912"/>
    </row>
    <row r="4980" spans="1:7" ht="15" hidden="1" thickBot="1">
      <c r="A4980" s="909"/>
      <c r="B4980" s="913"/>
      <c r="C4980" s="914"/>
      <c r="D4980" s="95"/>
      <c r="E4980" s="242"/>
      <c r="F4980" s="286"/>
      <c r="G4980" s="113"/>
    </row>
    <row r="4981" spans="1:7" ht="15" hidden="1" thickBot="1">
      <c r="A4981" s="122"/>
      <c r="B4981" s="976"/>
      <c r="C4981" s="977"/>
      <c r="D4981" s="88"/>
      <c r="E4981" s="251"/>
      <c r="F4981" s="284"/>
      <c r="G4981" s="140"/>
    </row>
    <row r="4982" spans="1:7" ht="15" hidden="1" thickBot="1">
      <c r="A4982" s="154"/>
      <c r="B4982" s="930"/>
      <c r="C4982" s="931"/>
      <c r="D4982" s="88"/>
      <c r="E4982" s="251"/>
      <c r="F4982" s="284"/>
      <c r="G4982" s="149"/>
    </row>
    <row r="4983" spans="1:7" ht="15" hidden="1" thickBot="1">
      <c r="A4983" s="118"/>
      <c r="B4983" s="1012"/>
      <c r="C4983" s="1013"/>
      <c r="D4983" s="88"/>
      <c r="E4983" s="244"/>
      <c r="F4983" s="294"/>
      <c r="G4983" s="149"/>
    </row>
    <row r="4984" spans="1:7" ht="15" hidden="1" thickBot="1">
      <c r="A4984" s="154"/>
      <c r="B4984" s="930"/>
      <c r="C4984" s="931"/>
      <c r="D4984" s="88"/>
      <c r="E4984" s="251"/>
      <c r="F4984" s="284"/>
      <c r="G4984" s="149"/>
    </row>
    <row r="4985" spans="1:7" ht="15" hidden="1" thickBot="1">
      <c r="A4985" s="118"/>
      <c r="B4985" s="1012"/>
      <c r="C4985" s="1013"/>
      <c r="D4985" s="88"/>
      <c r="E4985" s="244"/>
      <c r="F4985" s="294"/>
      <c r="G4985" s="149"/>
    </row>
    <row r="4986" spans="1:7" ht="15" hidden="1" thickBot="1">
      <c r="A4986" s="932"/>
      <c r="B4986" s="933"/>
      <c r="C4986" s="934"/>
      <c r="D4986" s="935"/>
      <c r="E4986" s="936"/>
      <c r="F4986" s="937"/>
      <c r="G4986" s="18"/>
    </row>
    <row r="4987" spans="1:7" ht="15" hidden="1" thickBot="1">
      <c r="A4987" s="908"/>
      <c r="B4987" s="910"/>
      <c r="C4987" s="911"/>
      <c r="D4987" s="911"/>
      <c r="E4987" s="911"/>
      <c r="F4987" s="911"/>
      <c r="G4987" s="912"/>
    </row>
    <row r="4988" spans="1:7" ht="15" hidden="1" thickBot="1">
      <c r="A4988" s="909"/>
      <c r="B4988" s="913"/>
      <c r="C4988" s="914"/>
      <c r="D4988" s="95"/>
      <c r="E4988" s="242"/>
      <c r="F4988" s="286"/>
      <c r="G4988" s="113"/>
    </row>
    <row r="4989" spans="1:7" hidden="1">
      <c r="A4989" s="127"/>
      <c r="B4989" s="1075"/>
      <c r="C4989" s="1076"/>
      <c r="D4989" s="128"/>
      <c r="E4989" s="246"/>
      <c r="F4989" s="295"/>
      <c r="G4989" s="129"/>
    </row>
    <row r="4990" spans="1:7" hidden="1">
      <c r="A4990" s="156"/>
      <c r="B4990" s="940"/>
      <c r="C4990" s="941"/>
      <c r="D4990" s="157"/>
      <c r="E4990" s="259"/>
      <c r="F4990" s="303"/>
      <c r="G4990" s="159"/>
    </row>
    <row r="4991" spans="1:7" ht="15" hidden="1" thickBot="1">
      <c r="A4991" s="130"/>
      <c r="B4991" s="942"/>
      <c r="C4991" s="943"/>
      <c r="D4991" s="104"/>
      <c r="E4991" s="247"/>
      <c r="F4991" s="288"/>
      <c r="G4991" s="131"/>
    </row>
    <row r="4992" spans="1:7" ht="15" hidden="1" thickBot="1">
      <c r="A4992" s="944"/>
      <c r="B4992" s="945"/>
      <c r="C4992" s="946"/>
      <c r="D4992" s="947"/>
      <c r="E4992" s="948"/>
      <c r="F4992" s="949"/>
      <c r="G4992" s="11"/>
    </row>
    <row r="4993" spans="1:7" ht="15" hidden="1" thickBot="1">
      <c r="A4993" s="908"/>
      <c r="B4993" s="910"/>
      <c r="C4993" s="911"/>
      <c r="D4993" s="911"/>
      <c r="E4993" s="911"/>
      <c r="F4993" s="911"/>
      <c r="G4993" s="912"/>
    </row>
    <row r="4994" spans="1:7" ht="15" hidden="1" thickBot="1">
      <c r="A4994" s="909"/>
      <c r="B4994" s="95"/>
      <c r="C4994" s="95"/>
      <c r="D4994" s="95"/>
      <c r="E4994" s="242"/>
      <c r="F4994" s="286"/>
      <c r="G4994" s="113"/>
    </row>
    <row r="4995" spans="1:7" ht="15.75" hidden="1" customHeight="1" collapsed="1" thickBot="1">
      <c r="A4995" s="122"/>
      <c r="B4995" s="160"/>
      <c r="C4995" s="161"/>
      <c r="D4995" s="109"/>
      <c r="E4995" s="254"/>
      <c r="F4995" s="304"/>
      <c r="G4995" s="129"/>
    </row>
    <row r="4996" spans="1:7" ht="15" hidden="1" thickBot="1">
      <c r="A4996" s="1090"/>
      <c r="B4996" s="919"/>
      <c r="C4996" s="920"/>
      <c r="D4996" s="918"/>
      <c r="E4996" s="919"/>
      <c r="F4996" s="920"/>
      <c r="G4996" s="12"/>
    </row>
    <row r="4997" spans="1:7" ht="22.5" hidden="1" customHeight="1" thickBot="1">
      <c r="A4997" s="991"/>
      <c r="B4997" s="991"/>
      <c r="C4997" s="991"/>
      <c r="D4997" s="923"/>
      <c r="E4997" s="924"/>
      <c r="F4997" s="925"/>
      <c r="G4997" s="153"/>
    </row>
    <row r="4998" spans="1:7" ht="15" hidden="1">
      <c r="A4998" s="162"/>
      <c r="B4998" s="162"/>
      <c r="C4998" s="162"/>
      <c r="D4998" s="162"/>
      <c r="E4998" s="258"/>
      <c r="F4998" s="301"/>
      <c r="G4998" s="162"/>
    </row>
    <row r="4999" spans="1:7" hidden="1"/>
    <row r="5000" spans="1:7" ht="15.75" hidden="1" thickBot="1">
      <c r="A5000" s="162"/>
      <c r="B5000" s="162"/>
      <c r="C5000" s="162"/>
      <c r="D5000" s="162"/>
      <c r="E5000" s="258"/>
      <c r="F5000" s="301"/>
      <c r="G5000" s="162"/>
    </row>
    <row r="5001" spans="1:7" ht="15.75" hidden="1" customHeight="1" thickBot="1">
      <c r="A5001" s="1027"/>
      <c r="B5001" s="1028"/>
      <c r="C5001" s="1028"/>
      <c r="D5001" s="1028"/>
      <c r="E5001" s="1028"/>
      <c r="F5001" s="1028"/>
      <c r="G5001" s="1029"/>
    </row>
    <row r="5002" spans="1:7" ht="15" hidden="1" collapsed="1" thickBot="1">
      <c r="A5002" s="950"/>
      <c r="B5002" s="951"/>
      <c r="C5002" s="951"/>
      <c r="D5002" s="951"/>
      <c r="E5002" s="952"/>
      <c r="F5002" s="272"/>
      <c r="G5002" s="191"/>
    </row>
    <row r="5003" spans="1:7" ht="15" hidden="1" customHeight="1" thickBot="1">
      <c r="A5003" s="953"/>
      <c r="B5003" s="954"/>
      <c r="C5003" s="954"/>
      <c r="D5003" s="954"/>
      <c r="E5003" s="955"/>
      <c r="F5003" s="273"/>
      <c r="G5003" s="45"/>
    </row>
    <row r="5004" spans="1:7" ht="22.5" hidden="1" customHeight="1" thickBot="1">
      <c r="A5004" s="956"/>
      <c r="B5004" s="957"/>
      <c r="C5004" s="957"/>
      <c r="D5004" s="957"/>
      <c r="E5004" s="958"/>
      <c r="F5004" s="273"/>
      <c r="G5004" s="46"/>
    </row>
    <row r="5005" spans="1:7" ht="15" hidden="1" thickBot="1">
      <c r="A5005" s="959"/>
      <c r="B5005" s="960"/>
      <c r="C5005" s="960"/>
      <c r="D5005" s="960"/>
      <c r="E5005" s="961"/>
      <c r="F5005" s="274"/>
      <c r="G5005" s="48"/>
    </row>
    <row r="5006" spans="1:7" ht="15" hidden="1" thickBot="1">
      <c r="A5006" s="962"/>
      <c r="B5006" s="963"/>
      <c r="C5006" s="964"/>
      <c r="D5006" s="964"/>
      <c r="E5006" s="964"/>
      <c r="F5006" s="964"/>
      <c r="G5006" s="965"/>
    </row>
    <row r="5007" spans="1:7" ht="15" hidden="1" thickBot="1">
      <c r="A5007" s="909"/>
      <c r="B5007" s="913"/>
      <c r="C5007" s="914"/>
      <c r="D5007" s="95"/>
      <c r="E5007" s="242"/>
      <c r="F5007" s="286"/>
      <c r="G5007" s="113"/>
    </row>
    <row r="5008" spans="1:7" ht="15" hidden="1" thickBot="1">
      <c r="A5008" s="114"/>
      <c r="B5008" s="930"/>
      <c r="C5008" s="931"/>
      <c r="D5008" s="88"/>
      <c r="E5008" s="251"/>
      <c r="F5008" s="284"/>
      <c r="G5008" s="117"/>
    </row>
    <row r="5009" spans="1:7" ht="15" hidden="1" thickBot="1">
      <c r="A5009" s="154"/>
      <c r="B5009" s="930"/>
      <c r="C5009" s="931"/>
      <c r="D5009" s="88"/>
      <c r="E5009" s="251"/>
      <c r="F5009" s="284"/>
      <c r="G5009" s="149"/>
    </row>
    <row r="5010" spans="1:7" ht="15" hidden="1" thickBot="1">
      <c r="A5010" s="1087"/>
      <c r="B5010" s="1088"/>
      <c r="C5010" s="1089"/>
      <c r="D5010" s="935"/>
      <c r="E5010" s="936"/>
      <c r="F5010" s="937"/>
      <c r="G5010" s="11"/>
    </row>
    <row r="5011" spans="1:7" ht="15" hidden="1" thickBot="1">
      <c r="A5011" s="908"/>
      <c r="B5011" s="910"/>
      <c r="C5011" s="911"/>
      <c r="D5011" s="911"/>
      <c r="E5011" s="911"/>
      <c r="F5011" s="911"/>
      <c r="G5011" s="912"/>
    </row>
    <row r="5012" spans="1:7" ht="15" hidden="1" thickBot="1">
      <c r="A5012" s="909"/>
      <c r="B5012" s="913"/>
      <c r="C5012" s="914"/>
      <c r="D5012" s="95"/>
      <c r="E5012" s="242"/>
      <c r="F5012" s="286"/>
      <c r="G5012" s="113"/>
    </row>
    <row r="5013" spans="1:7" ht="15" hidden="1" thickBot="1">
      <c r="A5013" s="122"/>
      <c r="B5013" s="976"/>
      <c r="C5013" s="977"/>
      <c r="D5013" s="88"/>
      <c r="E5013" s="251"/>
      <c r="F5013" s="284"/>
      <c r="G5013" s="140"/>
    </row>
    <row r="5014" spans="1:7" ht="15" hidden="1" thickBot="1">
      <c r="A5014" s="154"/>
      <c r="B5014" s="930"/>
      <c r="C5014" s="931"/>
      <c r="D5014" s="88"/>
      <c r="E5014" s="251"/>
      <c r="F5014" s="284"/>
      <c r="G5014" s="149"/>
    </row>
    <row r="5015" spans="1:7" ht="15" hidden="1" thickBot="1">
      <c r="A5015" s="154"/>
      <c r="B5015" s="930"/>
      <c r="C5015" s="931"/>
      <c r="D5015" s="88"/>
      <c r="E5015" s="251"/>
      <c r="F5015" s="284"/>
      <c r="G5015" s="149"/>
    </row>
    <row r="5016" spans="1:7" ht="15" hidden="1" thickBot="1">
      <c r="A5016" s="118"/>
      <c r="B5016" s="1012"/>
      <c r="C5016" s="1013"/>
      <c r="D5016" s="88"/>
      <c r="E5016" s="244"/>
      <c r="F5016" s="294"/>
      <c r="G5016" s="149"/>
    </row>
    <row r="5017" spans="1:7" ht="15" hidden="1" thickBot="1">
      <c r="A5017" s="932"/>
      <c r="B5017" s="933"/>
      <c r="C5017" s="934"/>
      <c r="D5017" s="935"/>
      <c r="E5017" s="936"/>
      <c r="F5017" s="937"/>
      <c r="G5017" s="18"/>
    </row>
    <row r="5018" spans="1:7" ht="15" hidden="1" thickBot="1">
      <c r="A5018" s="908"/>
      <c r="B5018" s="910"/>
      <c r="C5018" s="911"/>
      <c r="D5018" s="911"/>
      <c r="E5018" s="911"/>
      <c r="F5018" s="911"/>
      <c r="G5018" s="912"/>
    </row>
    <row r="5019" spans="1:7" ht="15" hidden="1" thickBot="1">
      <c r="A5019" s="909"/>
      <c r="B5019" s="913"/>
      <c r="C5019" s="914"/>
      <c r="D5019" s="95"/>
      <c r="E5019" s="242"/>
      <c r="F5019" s="286"/>
      <c r="G5019" s="113"/>
    </row>
    <row r="5020" spans="1:7" hidden="1">
      <c r="A5020" s="127"/>
      <c r="B5020" s="1075"/>
      <c r="C5020" s="1076"/>
      <c r="D5020" s="128"/>
      <c r="E5020" s="246"/>
      <c r="F5020" s="295"/>
      <c r="G5020" s="129"/>
    </row>
    <row r="5021" spans="1:7" hidden="1">
      <c r="A5021" s="156"/>
      <c r="B5021" s="940"/>
      <c r="C5021" s="941"/>
      <c r="D5021" s="157"/>
      <c r="E5021" s="259"/>
      <c r="F5021" s="303"/>
      <c r="G5021" s="159"/>
    </row>
    <row r="5022" spans="1:7" ht="15" hidden="1" thickBot="1">
      <c r="A5022" s="130"/>
      <c r="B5022" s="942"/>
      <c r="C5022" s="943"/>
      <c r="D5022" s="104"/>
      <c r="E5022" s="247"/>
      <c r="F5022" s="288"/>
      <c r="G5022" s="131"/>
    </row>
    <row r="5023" spans="1:7" ht="15" hidden="1" thickBot="1">
      <c r="A5023" s="944"/>
      <c r="B5023" s="945"/>
      <c r="C5023" s="946"/>
      <c r="D5023" s="947"/>
      <c r="E5023" s="948"/>
      <c r="F5023" s="949"/>
      <c r="G5023" s="11"/>
    </row>
    <row r="5024" spans="1:7" ht="15" hidden="1" thickBot="1">
      <c r="A5024" s="908"/>
      <c r="B5024" s="910"/>
      <c r="C5024" s="911"/>
      <c r="D5024" s="911"/>
      <c r="E5024" s="911"/>
      <c r="F5024" s="911"/>
      <c r="G5024" s="912"/>
    </row>
    <row r="5025" spans="1:7" ht="15" hidden="1" thickBot="1">
      <c r="A5025" s="909"/>
      <c r="B5025" s="95"/>
      <c r="C5025" s="95"/>
      <c r="D5025" s="95"/>
      <c r="E5025" s="242"/>
      <c r="F5025" s="286"/>
      <c r="G5025" s="113"/>
    </row>
    <row r="5026" spans="1:7" ht="15" hidden="1" thickBot="1">
      <c r="A5026" s="122"/>
      <c r="B5026" s="160"/>
      <c r="C5026" s="161"/>
      <c r="D5026" s="109"/>
      <c r="E5026" s="254"/>
      <c r="F5026" s="304"/>
      <c r="G5026" s="129"/>
    </row>
    <row r="5027" spans="1:7" ht="15" hidden="1" thickBot="1">
      <c r="A5027" s="1090"/>
      <c r="B5027" s="919"/>
      <c r="C5027" s="920"/>
      <c r="D5027" s="918"/>
      <c r="E5027" s="919"/>
      <c r="F5027" s="920"/>
      <c r="G5027" s="12"/>
    </row>
    <row r="5028" spans="1:7" ht="15" hidden="1" thickBot="1">
      <c r="A5028" s="991"/>
      <c r="B5028" s="991"/>
      <c r="C5028" s="991"/>
      <c r="D5028" s="923"/>
      <c r="E5028" s="924"/>
      <c r="F5028" s="925"/>
      <c r="G5028" s="153"/>
    </row>
    <row r="5029" spans="1:7" ht="15" hidden="1">
      <c r="A5029" s="162"/>
      <c r="B5029" s="162"/>
      <c r="C5029" s="162"/>
      <c r="D5029" s="162"/>
      <c r="E5029" s="258"/>
      <c r="F5029" s="301"/>
      <c r="G5029" s="162"/>
    </row>
    <row r="5030" spans="1:7" ht="15.75" hidden="1" thickBot="1">
      <c r="A5030" s="162"/>
      <c r="B5030" s="162"/>
      <c r="C5030" s="162"/>
      <c r="D5030" s="162"/>
      <c r="E5030" s="258"/>
      <c r="F5030" s="301"/>
      <c r="G5030" s="162"/>
    </row>
    <row r="5031" spans="1:7" ht="15" hidden="1" thickBot="1">
      <c r="A5031" s="1027"/>
      <c r="B5031" s="1028"/>
      <c r="C5031" s="1028"/>
      <c r="D5031" s="1028"/>
      <c r="E5031" s="1028"/>
      <c r="F5031" s="1028"/>
      <c r="G5031" s="1029"/>
    </row>
    <row r="5032" spans="1:7" ht="15" hidden="1" thickBot="1">
      <c r="A5032" s="950"/>
      <c r="B5032" s="951"/>
      <c r="C5032" s="951"/>
      <c r="D5032" s="951"/>
      <c r="E5032" s="952"/>
      <c r="F5032" s="272"/>
      <c r="G5032" s="191"/>
    </row>
    <row r="5033" spans="1:7" ht="15" hidden="1" customHeight="1" thickBot="1">
      <c r="A5033" s="953"/>
      <c r="B5033" s="954"/>
      <c r="C5033" s="954"/>
      <c r="D5033" s="954"/>
      <c r="E5033" s="955"/>
      <c r="F5033" s="273"/>
      <c r="G5033" s="45"/>
    </row>
    <row r="5034" spans="1:7" ht="15" hidden="1" thickBot="1">
      <c r="A5034" s="956"/>
      <c r="B5034" s="957"/>
      <c r="C5034" s="957"/>
      <c r="D5034" s="957"/>
      <c r="E5034" s="958"/>
      <c r="F5034" s="273"/>
      <c r="G5034" s="46"/>
    </row>
    <row r="5035" spans="1:7" ht="15" hidden="1" thickBot="1">
      <c r="A5035" s="959"/>
      <c r="B5035" s="960"/>
      <c r="C5035" s="960"/>
      <c r="D5035" s="960"/>
      <c r="E5035" s="961"/>
      <c r="F5035" s="274"/>
      <c r="G5035" s="48"/>
    </row>
    <row r="5036" spans="1:7" ht="15" hidden="1" thickBot="1">
      <c r="A5036" s="962"/>
      <c r="B5036" s="963"/>
      <c r="C5036" s="964"/>
      <c r="D5036" s="964"/>
      <c r="E5036" s="964"/>
      <c r="F5036" s="964"/>
      <c r="G5036" s="965"/>
    </row>
    <row r="5037" spans="1:7" ht="15" hidden="1" thickBot="1">
      <c r="A5037" s="909"/>
      <c r="B5037" s="913"/>
      <c r="C5037" s="914"/>
      <c r="D5037" s="95"/>
      <c r="E5037" s="242"/>
      <c r="F5037" s="286"/>
      <c r="G5037" s="113"/>
    </row>
    <row r="5038" spans="1:7" ht="15" hidden="1" thickBot="1">
      <c r="A5038" s="114"/>
      <c r="B5038" s="930"/>
      <c r="C5038" s="931"/>
      <c r="D5038" s="88"/>
      <c r="E5038" s="251"/>
      <c r="F5038" s="284"/>
      <c r="G5038" s="117"/>
    </row>
    <row r="5039" spans="1:7" ht="15" hidden="1" thickBot="1">
      <c r="A5039" s="154"/>
      <c r="B5039" s="930"/>
      <c r="C5039" s="931"/>
      <c r="D5039" s="88"/>
      <c r="E5039" s="251"/>
      <c r="F5039" s="284"/>
      <c r="G5039" s="149"/>
    </row>
    <row r="5040" spans="1:7" ht="15" hidden="1" thickBot="1">
      <c r="A5040" s="1087"/>
      <c r="B5040" s="1088"/>
      <c r="C5040" s="1089"/>
      <c r="D5040" s="935"/>
      <c r="E5040" s="936"/>
      <c r="F5040" s="937"/>
      <c r="G5040" s="11"/>
    </row>
    <row r="5041" spans="1:7" ht="15" hidden="1" thickBot="1">
      <c r="A5041" s="908"/>
      <c r="B5041" s="910"/>
      <c r="C5041" s="911"/>
      <c r="D5041" s="911"/>
      <c r="E5041" s="911"/>
      <c r="F5041" s="911"/>
      <c r="G5041" s="912"/>
    </row>
    <row r="5042" spans="1:7" ht="15" hidden="1" thickBot="1">
      <c r="A5042" s="909"/>
      <c r="B5042" s="913"/>
      <c r="C5042" s="914"/>
      <c r="D5042" s="95"/>
      <c r="E5042" s="242"/>
      <c r="F5042" s="286"/>
      <c r="G5042" s="113"/>
    </row>
    <row r="5043" spans="1:7" ht="15" hidden="1" thickBot="1">
      <c r="A5043" s="122"/>
      <c r="B5043" s="976"/>
      <c r="C5043" s="977"/>
      <c r="D5043" s="88"/>
      <c r="E5043" s="251"/>
      <c r="F5043" s="284"/>
      <c r="G5043" s="140"/>
    </row>
    <row r="5044" spans="1:7" ht="15" hidden="1" thickBot="1">
      <c r="A5044" s="932"/>
      <c r="B5044" s="933"/>
      <c r="C5044" s="934"/>
      <c r="D5044" s="935"/>
      <c r="E5044" s="936"/>
      <c r="F5044" s="937"/>
      <c r="G5044" s="18"/>
    </row>
    <row r="5045" spans="1:7" ht="15" hidden="1" thickBot="1">
      <c r="A5045" s="908"/>
      <c r="B5045" s="910"/>
      <c r="C5045" s="911"/>
      <c r="D5045" s="911"/>
      <c r="E5045" s="911"/>
      <c r="F5045" s="911"/>
      <c r="G5045" s="912"/>
    </row>
    <row r="5046" spans="1:7" ht="15" hidden="1" thickBot="1">
      <c r="A5046" s="909"/>
      <c r="B5046" s="913"/>
      <c r="C5046" s="914"/>
      <c r="D5046" s="95"/>
      <c r="E5046" s="242"/>
      <c r="F5046" s="286"/>
      <c r="G5046" s="113"/>
    </row>
    <row r="5047" spans="1:7" hidden="1">
      <c r="A5047" s="127"/>
      <c r="B5047" s="1075"/>
      <c r="C5047" s="1076"/>
      <c r="D5047" s="128"/>
      <c r="E5047" s="246"/>
      <c r="F5047" s="295"/>
      <c r="G5047" s="129"/>
    </row>
    <row r="5048" spans="1:7" hidden="1">
      <c r="A5048" s="156"/>
      <c r="B5048" s="940"/>
      <c r="C5048" s="941"/>
      <c r="D5048" s="157"/>
      <c r="E5048" s="259"/>
      <c r="F5048" s="303"/>
      <c r="G5048" s="159"/>
    </row>
    <row r="5049" spans="1:7" ht="15" hidden="1" thickBot="1">
      <c r="A5049" s="130"/>
      <c r="B5049" s="942"/>
      <c r="C5049" s="943"/>
      <c r="D5049" s="104"/>
      <c r="E5049" s="247"/>
      <c r="F5049" s="288"/>
      <c r="G5049" s="131"/>
    </row>
    <row r="5050" spans="1:7" ht="15" hidden="1" thickBot="1">
      <c r="A5050" s="944"/>
      <c r="B5050" s="945"/>
      <c r="C5050" s="946"/>
      <c r="D5050" s="947"/>
      <c r="E5050" s="948"/>
      <c r="F5050" s="949"/>
      <c r="G5050" s="11"/>
    </row>
    <row r="5051" spans="1:7" ht="15" hidden="1" thickBot="1">
      <c r="A5051" s="908"/>
      <c r="B5051" s="910"/>
      <c r="C5051" s="911"/>
      <c r="D5051" s="911"/>
      <c r="E5051" s="911"/>
      <c r="F5051" s="911"/>
      <c r="G5051" s="912"/>
    </row>
    <row r="5052" spans="1:7" ht="15" hidden="1" thickBot="1">
      <c r="A5052" s="909"/>
      <c r="B5052" s="95"/>
      <c r="C5052" s="95"/>
      <c r="D5052" s="95"/>
      <c r="E5052" s="242"/>
      <c r="F5052" s="286"/>
      <c r="G5052" s="113"/>
    </row>
    <row r="5053" spans="1:7" ht="15" hidden="1" thickBot="1">
      <c r="A5053" s="122"/>
      <c r="B5053" s="160"/>
      <c r="C5053" s="161"/>
      <c r="D5053" s="109"/>
      <c r="E5053" s="254"/>
      <c r="F5053" s="304"/>
      <c r="G5053" s="129"/>
    </row>
    <row r="5054" spans="1:7" ht="15" hidden="1" thickBot="1">
      <c r="A5054" s="1090"/>
      <c r="B5054" s="919"/>
      <c r="C5054" s="920"/>
      <c r="D5054" s="918"/>
      <c r="E5054" s="919"/>
      <c r="F5054" s="920"/>
      <c r="G5054" s="12"/>
    </row>
    <row r="5055" spans="1:7" ht="15" hidden="1" thickBot="1">
      <c r="A5055" s="991"/>
      <c r="B5055" s="991"/>
      <c r="C5055" s="991"/>
      <c r="D5055" s="923"/>
      <c r="E5055" s="924"/>
      <c r="F5055" s="925"/>
      <c r="G5055" s="153"/>
    </row>
    <row r="5056" spans="1:7" ht="15" hidden="1">
      <c r="A5056" s="162"/>
      <c r="B5056" s="162"/>
      <c r="C5056" s="162"/>
      <c r="D5056" s="162"/>
      <c r="E5056" s="258"/>
      <c r="F5056" s="301"/>
      <c r="G5056" s="162"/>
    </row>
    <row r="5057" spans="1:7" ht="15.75" hidden="1" thickBot="1">
      <c r="A5057" s="162"/>
      <c r="B5057" s="162"/>
      <c r="C5057" s="162"/>
      <c r="D5057" s="162"/>
      <c r="E5057" s="258"/>
      <c r="F5057" s="301"/>
      <c r="G5057" s="162"/>
    </row>
    <row r="5058" spans="1:7" ht="15" hidden="1" thickBot="1">
      <c r="A5058" s="1027"/>
      <c r="B5058" s="1028"/>
      <c r="C5058" s="1028"/>
      <c r="D5058" s="1028"/>
      <c r="E5058" s="1028"/>
      <c r="F5058" s="1028"/>
      <c r="G5058" s="1029"/>
    </row>
    <row r="5059" spans="1:7" ht="15" hidden="1" thickBot="1">
      <c r="A5059" s="950"/>
      <c r="B5059" s="951"/>
      <c r="C5059" s="951"/>
      <c r="D5059" s="951"/>
      <c r="E5059" s="952"/>
      <c r="F5059" s="272"/>
      <c r="G5059" s="191"/>
    </row>
    <row r="5060" spans="1:7" ht="15" hidden="1" customHeight="1" thickBot="1">
      <c r="A5060" s="953"/>
      <c r="B5060" s="954"/>
      <c r="C5060" s="954"/>
      <c r="D5060" s="954"/>
      <c r="E5060" s="955"/>
      <c r="F5060" s="273"/>
      <c r="G5060" s="45"/>
    </row>
    <row r="5061" spans="1:7" ht="15" hidden="1" thickBot="1">
      <c r="A5061" s="956"/>
      <c r="B5061" s="957"/>
      <c r="C5061" s="957"/>
      <c r="D5061" s="957"/>
      <c r="E5061" s="958"/>
      <c r="F5061" s="273"/>
      <c r="G5061" s="46"/>
    </row>
    <row r="5062" spans="1:7" ht="15" hidden="1" thickBot="1">
      <c r="A5062" s="959"/>
      <c r="B5062" s="960"/>
      <c r="C5062" s="960"/>
      <c r="D5062" s="960"/>
      <c r="E5062" s="961"/>
      <c r="F5062" s="274"/>
      <c r="G5062" s="48"/>
    </row>
    <row r="5063" spans="1:7" ht="15" hidden="1" thickBot="1">
      <c r="A5063" s="962"/>
      <c r="B5063" s="963"/>
      <c r="C5063" s="964"/>
      <c r="D5063" s="964"/>
      <c r="E5063" s="964"/>
      <c r="F5063" s="964"/>
      <c r="G5063" s="965"/>
    </row>
    <row r="5064" spans="1:7" ht="15" hidden="1" thickBot="1">
      <c r="A5064" s="909"/>
      <c r="B5064" s="913"/>
      <c r="C5064" s="914"/>
      <c r="D5064" s="95"/>
      <c r="E5064" s="242"/>
      <c r="F5064" s="286"/>
      <c r="G5064" s="113"/>
    </row>
    <row r="5065" spans="1:7" ht="15" hidden="1" thickBot="1">
      <c r="A5065" s="154"/>
      <c r="B5065" s="930"/>
      <c r="C5065" s="931"/>
      <c r="D5065" s="88"/>
      <c r="E5065" s="251"/>
      <c r="F5065" s="284"/>
      <c r="G5065" s="149"/>
    </row>
    <row r="5066" spans="1:7" ht="15" hidden="1" thickBot="1">
      <c r="A5066" s="1087"/>
      <c r="B5066" s="1088"/>
      <c r="C5066" s="1089"/>
      <c r="D5066" s="935"/>
      <c r="E5066" s="936"/>
      <c r="F5066" s="937"/>
      <c r="G5066" s="11"/>
    </row>
    <row r="5067" spans="1:7" ht="15" hidden="1" thickBot="1">
      <c r="A5067" s="908"/>
      <c r="B5067" s="910"/>
      <c r="C5067" s="911"/>
      <c r="D5067" s="911"/>
      <c r="E5067" s="911"/>
      <c r="F5067" s="911"/>
      <c r="G5067" s="912"/>
    </row>
    <row r="5068" spans="1:7" ht="15" hidden="1" thickBot="1">
      <c r="A5068" s="909"/>
      <c r="B5068" s="913"/>
      <c r="C5068" s="914"/>
      <c r="D5068" s="95"/>
      <c r="E5068" s="242"/>
      <c r="F5068" s="286"/>
      <c r="G5068" s="113"/>
    </row>
    <row r="5069" spans="1:7" ht="15" hidden="1" thickBot="1">
      <c r="A5069" s="122"/>
      <c r="B5069" s="976"/>
      <c r="C5069" s="977"/>
      <c r="D5069" s="88"/>
      <c r="E5069" s="251"/>
      <c r="F5069" s="284"/>
      <c r="G5069" s="140"/>
    </row>
    <row r="5070" spans="1:7" ht="15" hidden="1" thickBot="1">
      <c r="A5070" s="932"/>
      <c r="B5070" s="933"/>
      <c r="C5070" s="934"/>
      <c r="D5070" s="935"/>
      <c r="E5070" s="936"/>
      <c r="F5070" s="937"/>
      <c r="G5070" s="18"/>
    </row>
    <row r="5071" spans="1:7" ht="15" hidden="1" thickBot="1">
      <c r="A5071" s="908"/>
      <c r="B5071" s="910"/>
      <c r="C5071" s="911"/>
      <c r="D5071" s="911"/>
      <c r="E5071" s="911"/>
      <c r="F5071" s="911"/>
      <c r="G5071" s="912"/>
    </row>
    <row r="5072" spans="1:7" ht="15" hidden="1" thickBot="1">
      <c r="A5072" s="909"/>
      <c r="B5072" s="913"/>
      <c r="C5072" s="914"/>
      <c r="D5072" s="95"/>
      <c r="E5072" s="242"/>
      <c r="F5072" s="286"/>
      <c r="G5072" s="113"/>
    </row>
    <row r="5073" spans="1:7" ht="15" hidden="1" thickBot="1">
      <c r="A5073" s="130"/>
      <c r="B5073" s="942"/>
      <c r="C5073" s="943"/>
      <c r="D5073" s="104"/>
      <c r="E5073" s="247"/>
      <c r="F5073" s="288"/>
      <c r="G5073" s="131"/>
    </row>
    <row r="5074" spans="1:7" ht="15" hidden="1" thickBot="1">
      <c r="A5074" s="944"/>
      <c r="B5074" s="945"/>
      <c r="C5074" s="946"/>
      <c r="D5074" s="947"/>
      <c r="E5074" s="948"/>
      <c r="F5074" s="949"/>
      <c r="G5074" s="11"/>
    </row>
    <row r="5075" spans="1:7" ht="15" hidden="1" thickBot="1">
      <c r="A5075" s="908"/>
      <c r="B5075" s="910"/>
      <c r="C5075" s="911"/>
      <c r="D5075" s="911"/>
      <c r="E5075" s="911"/>
      <c r="F5075" s="911"/>
      <c r="G5075" s="912"/>
    </row>
    <row r="5076" spans="1:7" ht="15" hidden="1" thickBot="1">
      <c r="A5076" s="909"/>
      <c r="B5076" s="95"/>
      <c r="C5076" s="95"/>
      <c r="D5076" s="95"/>
      <c r="E5076" s="242"/>
      <c r="F5076" s="286"/>
      <c r="G5076" s="113"/>
    </row>
    <row r="5077" spans="1:7" ht="15" hidden="1" thickBot="1">
      <c r="A5077" s="122"/>
      <c r="B5077" s="160"/>
      <c r="C5077" s="161"/>
      <c r="D5077" s="109"/>
      <c r="E5077" s="254"/>
      <c r="F5077" s="304"/>
      <c r="G5077" s="129"/>
    </row>
    <row r="5078" spans="1:7" ht="15" hidden="1" thickBot="1">
      <c r="A5078" s="1090"/>
      <c r="B5078" s="919"/>
      <c r="C5078" s="920"/>
      <c r="D5078" s="918"/>
      <c r="E5078" s="919"/>
      <c r="F5078" s="920"/>
      <c r="G5078" s="12"/>
    </row>
    <row r="5079" spans="1:7" ht="15" hidden="1" thickBot="1">
      <c r="A5079" s="991"/>
      <c r="B5079" s="991"/>
      <c r="C5079" s="991"/>
      <c r="D5079" s="923"/>
      <c r="E5079" s="924"/>
      <c r="F5079" s="925"/>
      <c r="G5079" s="153"/>
    </row>
    <row r="5080" spans="1:7" ht="15" hidden="1">
      <c r="A5080" s="162"/>
      <c r="B5080" s="162"/>
      <c r="C5080" s="162"/>
      <c r="D5080" s="162"/>
      <c r="E5080" s="258"/>
      <c r="F5080" s="301"/>
      <c r="G5080" s="162"/>
    </row>
    <row r="5081" spans="1:7" hidden="1">
      <c r="A5081" s="49"/>
      <c r="B5081" s="49"/>
      <c r="C5081" s="49"/>
      <c r="D5081" s="49"/>
      <c r="F5081" s="307"/>
      <c r="G5081" s="49"/>
    </row>
    <row r="5082" spans="1:7" ht="15" hidden="1" thickBot="1">
      <c r="A5082" s="1036"/>
      <c r="B5082" s="1037"/>
      <c r="C5082" s="1037"/>
      <c r="D5082" s="1037"/>
      <c r="E5082" s="1037"/>
      <c r="F5082" s="1037"/>
      <c r="G5082" s="1038"/>
    </row>
    <row r="5083" spans="1:7" ht="15" hidden="1" thickBot="1">
      <c r="A5083" s="1006"/>
      <c r="B5083" s="1007"/>
      <c r="C5083" s="1007"/>
      <c r="D5083" s="1007"/>
      <c r="E5083" s="1007"/>
      <c r="F5083" s="272"/>
      <c r="G5083" s="191"/>
    </row>
    <row r="5084" spans="1:7" ht="15" hidden="1" customHeight="1" thickBot="1">
      <c r="A5084" s="953"/>
      <c r="B5084" s="954"/>
      <c r="C5084" s="954"/>
      <c r="D5084" s="954"/>
      <c r="E5084" s="955"/>
      <c r="F5084" s="273"/>
      <c r="G5084" s="45"/>
    </row>
    <row r="5085" spans="1:7" ht="15" hidden="1" thickBot="1">
      <c r="A5085" s="956"/>
      <c r="B5085" s="957"/>
      <c r="C5085" s="957"/>
      <c r="D5085" s="957"/>
      <c r="E5085" s="958"/>
      <c r="F5085" s="273"/>
      <c r="G5085" s="46"/>
    </row>
    <row r="5086" spans="1:7" ht="15" hidden="1" thickBot="1">
      <c r="A5086" s="959"/>
      <c r="B5086" s="960"/>
      <c r="C5086" s="960"/>
      <c r="D5086" s="960"/>
      <c r="E5086" s="961"/>
      <c r="F5086" s="274"/>
      <c r="G5086" s="48"/>
    </row>
    <row r="5087" spans="1:7" ht="15" hidden="1" thickBot="1">
      <c r="A5087" s="1008"/>
      <c r="B5087" s="1009"/>
      <c r="C5087" s="1009"/>
      <c r="D5087" s="1009"/>
      <c r="E5087" s="1009"/>
      <c r="F5087" s="1009"/>
      <c r="G5087" s="1010"/>
    </row>
    <row r="5088" spans="1:7" ht="15" hidden="1" thickBot="1">
      <c r="A5088" s="982"/>
      <c r="B5088" s="913"/>
      <c r="C5088" s="914"/>
      <c r="D5088" s="95"/>
      <c r="E5088" s="242"/>
      <c r="F5088" s="286"/>
      <c r="G5088" s="97"/>
    </row>
    <row r="5089" spans="1:7" hidden="1">
      <c r="A5089" s="87"/>
      <c r="B5089" s="930"/>
      <c r="C5089" s="931"/>
      <c r="D5089" s="88"/>
      <c r="E5089" s="251"/>
      <c r="F5089" s="284"/>
      <c r="G5089" s="90"/>
    </row>
    <row r="5090" spans="1:7" hidden="1">
      <c r="A5090" s="91"/>
      <c r="B5090" s="968"/>
      <c r="C5090" s="969"/>
      <c r="D5090" s="92"/>
      <c r="E5090" s="252"/>
      <c r="F5090" s="285"/>
      <c r="G5090" s="94"/>
    </row>
    <row r="5091" spans="1:7" hidden="1">
      <c r="A5091" s="91"/>
      <c r="B5091" s="968"/>
      <c r="C5091" s="969"/>
      <c r="D5091" s="92"/>
      <c r="E5091" s="252"/>
      <c r="F5091" s="285"/>
      <c r="G5091" s="94"/>
    </row>
    <row r="5092" spans="1:7" ht="15" hidden="1" thickBot="1">
      <c r="A5092" s="994"/>
      <c r="B5092" s="995"/>
      <c r="C5092" s="995"/>
      <c r="D5092" s="981"/>
      <c r="E5092" s="981"/>
      <c r="F5092" s="981"/>
      <c r="G5092" s="13"/>
    </row>
    <row r="5093" spans="1:7" ht="15" hidden="1" thickBot="1">
      <c r="A5093" s="982"/>
      <c r="B5093" s="983"/>
      <c r="C5093" s="983"/>
      <c r="D5093" s="983"/>
      <c r="E5093" s="983"/>
      <c r="F5093" s="983"/>
      <c r="G5093" s="984"/>
    </row>
    <row r="5094" spans="1:7" ht="15" hidden="1" thickBot="1">
      <c r="A5094" s="982"/>
      <c r="B5094" s="913"/>
      <c r="C5094" s="914"/>
      <c r="D5094" s="95"/>
      <c r="E5094" s="242"/>
      <c r="F5094" s="286"/>
      <c r="G5094" s="97"/>
    </row>
    <row r="5095" spans="1:7" hidden="1">
      <c r="A5095" s="108"/>
      <c r="B5095" s="985"/>
      <c r="C5095" s="986"/>
      <c r="D5095" s="109"/>
      <c r="E5095" s="254"/>
      <c r="F5095" s="304"/>
      <c r="G5095" s="111"/>
    </row>
    <row r="5096" spans="1:7" ht="15" hidden="1" thickBot="1">
      <c r="A5096" s="98"/>
      <c r="B5096" s="928"/>
      <c r="C5096" s="929"/>
      <c r="D5096" s="92"/>
      <c r="E5096" s="252"/>
      <c r="F5096" s="287"/>
      <c r="G5096" s="102"/>
    </row>
    <row r="5097" spans="1:7" hidden="1">
      <c r="A5097" s="98"/>
      <c r="B5097" s="985"/>
      <c r="C5097" s="986"/>
      <c r="D5097" s="109"/>
      <c r="E5097" s="254"/>
      <c r="F5097" s="304"/>
      <c r="G5097" s="102"/>
    </row>
    <row r="5098" spans="1:7" ht="15" hidden="1" thickBot="1">
      <c r="A5098" s="996"/>
      <c r="B5098" s="997"/>
      <c r="C5098" s="998"/>
      <c r="D5098" s="981"/>
      <c r="E5098" s="981"/>
      <c r="F5098" s="981"/>
      <c r="G5098" s="13"/>
    </row>
    <row r="5099" spans="1:7" ht="15" hidden="1" thickBot="1">
      <c r="A5099" s="982"/>
      <c r="B5099" s="983"/>
      <c r="C5099" s="983"/>
      <c r="D5099" s="983"/>
      <c r="E5099" s="983"/>
      <c r="F5099" s="983"/>
      <c r="G5099" s="984"/>
    </row>
    <row r="5100" spans="1:7" ht="15" hidden="1" thickBot="1">
      <c r="A5100" s="982"/>
      <c r="B5100" s="913"/>
      <c r="C5100" s="914"/>
      <c r="D5100" s="95"/>
      <c r="E5100" s="242"/>
      <c r="F5100" s="286"/>
      <c r="G5100" s="97"/>
    </row>
    <row r="5101" spans="1:7" ht="15" hidden="1" thickBot="1">
      <c r="A5101" s="103"/>
      <c r="B5101" s="942"/>
      <c r="C5101" s="943"/>
      <c r="D5101" s="104"/>
      <c r="E5101" s="247"/>
      <c r="F5101" s="288"/>
      <c r="G5101" s="106"/>
    </row>
    <row r="5102" spans="1:7" ht="15" hidden="1" thickBot="1">
      <c r="A5102" s="978"/>
      <c r="B5102" s="979"/>
      <c r="C5102" s="980"/>
      <c r="D5102" s="981"/>
      <c r="E5102" s="981"/>
      <c r="F5102" s="981"/>
      <c r="G5102" s="13"/>
    </row>
    <row r="5103" spans="1:7" ht="15" hidden="1" thickBot="1">
      <c r="A5103" s="982"/>
      <c r="B5103" s="983"/>
      <c r="C5103" s="983"/>
      <c r="D5103" s="983"/>
      <c r="E5103" s="983"/>
      <c r="F5103" s="983"/>
      <c r="G5103" s="984"/>
    </row>
    <row r="5104" spans="1:7" ht="15" hidden="1" thickBot="1">
      <c r="A5104" s="982"/>
      <c r="B5104" s="913"/>
      <c r="C5104" s="914"/>
      <c r="D5104" s="95"/>
      <c r="E5104" s="242"/>
      <c r="F5104" s="289"/>
      <c r="G5104" s="97"/>
    </row>
    <row r="5105" spans="1:7" hidden="1">
      <c r="A5105" s="108"/>
      <c r="B5105" s="985"/>
      <c r="C5105" s="986"/>
      <c r="D5105" s="109"/>
      <c r="E5105" s="254"/>
      <c r="F5105" s="290"/>
      <c r="G5105" s="111"/>
    </row>
    <row r="5106" spans="1:7" ht="15" hidden="1" thickBot="1">
      <c r="A5106" s="987"/>
      <c r="B5106" s="988"/>
      <c r="C5106" s="989"/>
      <c r="D5106" s="990"/>
      <c r="E5106" s="990"/>
      <c r="F5106" s="990"/>
      <c r="G5106" s="14"/>
    </row>
    <row r="5107" spans="1:7" ht="15" hidden="1" thickBot="1">
      <c r="A5107" s="991"/>
      <c r="B5107" s="991"/>
      <c r="C5107" s="991"/>
      <c r="D5107" s="992"/>
      <c r="E5107" s="993"/>
      <c r="F5107" s="993"/>
      <c r="G5107" s="112"/>
    </row>
    <row r="5108" spans="1:7" hidden="1">
      <c r="A5108" s="49"/>
      <c r="B5108" s="49"/>
      <c r="C5108" s="49"/>
      <c r="D5108" s="49"/>
      <c r="F5108" s="307"/>
      <c r="G5108" s="49"/>
    </row>
    <row r="5109" spans="1:7" hidden="1">
      <c r="A5109" s="49"/>
      <c r="B5109" s="49"/>
      <c r="C5109" s="49"/>
      <c r="D5109" s="49"/>
      <c r="F5109" s="307"/>
      <c r="G5109" s="49"/>
    </row>
    <row r="5110" spans="1:7" hidden="1">
      <c r="A5110" s="49"/>
      <c r="B5110" s="49"/>
      <c r="C5110" s="49"/>
      <c r="D5110" s="49"/>
      <c r="F5110" s="307"/>
      <c r="G5110" s="49"/>
    </row>
    <row r="5111" spans="1:7" hidden="1">
      <c r="A5111" s="49"/>
      <c r="B5111" s="49"/>
      <c r="C5111" s="49"/>
      <c r="D5111" s="49"/>
      <c r="F5111" s="307"/>
      <c r="G5111" s="49"/>
    </row>
    <row r="5112" spans="1:7" hidden="1"/>
    <row r="5113" spans="1:7" hidden="1">
      <c r="A5113" s="49"/>
      <c r="B5113" s="49"/>
      <c r="C5113" s="49"/>
      <c r="D5113" s="49"/>
      <c r="F5113" s="307"/>
      <c r="G5113" s="49"/>
    </row>
    <row r="5114" spans="1:7" ht="15" hidden="1" thickBot="1">
      <c r="A5114" s="1036"/>
      <c r="B5114" s="1037"/>
      <c r="C5114" s="1037"/>
      <c r="D5114" s="1037"/>
      <c r="E5114" s="1037"/>
      <c r="F5114" s="1037"/>
      <c r="G5114" s="1038"/>
    </row>
    <row r="5115" spans="1:7" ht="15" hidden="1" thickBot="1">
      <c r="A5115" s="1006"/>
      <c r="B5115" s="1007"/>
      <c r="C5115" s="1007"/>
      <c r="D5115" s="1007"/>
      <c r="E5115" s="1007"/>
      <c r="F5115" s="272"/>
      <c r="G5115" s="43"/>
    </row>
    <row r="5116" spans="1:7" ht="15" hidden="1" customHeight="1" thickBot="1">
      <c r="A5116" s="953"/>
      <c r="B5116" s="954"/>
      <c r="C5116" s="954"/>
      <c r="D5116" s="954"/>
      <c r="E5116" s="955"/>
      <c r="F5116" s="273"/>
      <c r="G5116" s="45"/>
    </row>
    <row r="5117" spans="1:7" ht="15" hidden="1" thickBot="1">
      <c r="A5117" s="956"/>
      <c r="B5117" s="957"/>
      <c r="C5117" s="957"/>
      <c r="D5117" s="957"/>
      <c r="E5117" s="958"/>
      <c r="F5117" s="273"/>
      <c r="G5117" s="46"/>
    </row>
    <row r="5118" spans="1:7" ht="15" hidden="1" thickBot="1">
      <c r="A5118" s="959"/>
      <c r="B5118" s="960"/>
      <c r="C5118" s="960"/>
      <c r="D5118" s="960"/>
      <c r="E5118" s="961"/>
      <c r="F5118" s="274"/>
      <c r="G5118" s="48"/>
    </row>
    <row r="5119" spans="1:7" ht="15" hidden="1" thickBot="1">
      <c r="A5119" s="1008"/>
      <c r="B5119" s="1009"/>
      <c r="C5119" s="1009"/>
      <c r="D5119" s="1009"/>
      <c r="E5119" s="1009"/>
      <c r="F5119" s="1009"/>
      <c r="G5119" s="1010"/>
    </row>
    <row r="5120" spans="1:7" ht="15" hidden="1" thickBot="1">
      <c r="A5120" s="982"/>
      <c r="B5120" s="913"/>
      <c r="C5120" s="914"/>
      <c r="D5120" s="95"/>
      <c r="E5120" s="242"/>
      <c r="F5120" s="286"/>
      <c r="G5120" s="97"/>
    </row>
    <row r="5121" spans="1:7" hidden="1">
      <c r="A5121" s="87"/>
      <c r="B5121" s="930"/>
      <c r="C5121" s="931"/>
      <c r="D5121" s="88"/>
      <c r="E5121" s="251"/>
      <c r="F5121" s="284"/>
      <c r="G5121" s="90"/>
    </row>
    <row r="5122" spans="1:7" hidden="1">
      <c r="A5122" s="91"/>
      <c r="B5122" s="968"/>
      <c r="C5122" s="969"/>
      <c r="D5122" s="92"/>
      <c r="E5122" s="252"/>
      <c r="F5122" s="285"/>
      <c r="G5122" s="94"/>
    </row>
    <row r="5123" spans="1:7" hidden="1">
      <c r="A5123" s="91"/>
      <c r="B5123" s="968"/>
      <c r="C5123" s="969"/>
      <c r="D5123" s="92"/>
      <c r="E5123" s="252"/>
      <c r="F5123" s="285"/>
      <c r="G5123" s="94"/>
    </row>
    <row r="5124" spans="1:7" ht="15" hidden="1" thickBot="1">
      <c r="A5124" s="994"/>
      <c r="B5124" s="995"/>
      <c r="C5124" s="995"/>
      <c r="D5124" s="981"/>
      <c r="E5124" s="981"/>
      <c r="F5124" s="981"/>
      <c r="G5124" s="13"/>
    </row>
    <row r="5125" spans="1:7" ht="15" hidden="1" thickBot="1">
      <c r="A5125" s="982"/>
      <c r="B5125" s="983"/>
      <c r="C5125" s="983"/>
      <c r="D5125" s="983"/>
      <c r="E5125" s="983"/>
      <c r="F5125" s="983"/>
      <c r="G5125" s="984"/>
    </row>
    <row r="5126" spans="1:7" ht="15" hidden="1" thickBot="1">
      <c r="A5126" s="982"/>
      <c r="B5126" s="913"/>
      <c r="C5126" s="914"/>
      <c r="D5126" s="95"/>
      <c r="E5126" s="242"/>
      <c r="F5126" s="286"/>
      <c r="G5126" s="97"/>
    </row>
    <row r="5127" spans="1:7" hidden="1">
      <c r="A5127" s="108"/>
      <c r="B5127" s="985"/>
      <c r="C5127" s="986"/>
      <c r="D5127" s="109"/>
      <c r="E5127" s="254"/>
      <c r="F5127" s="304"/>
      <c r="G5127" s="111"/>
    </row>
    <row r="5128" spans="1:7" ht="15" hidden="1" thickBot="1">
      <c r="A5128" s="98"/>
      <c r="B5128" s="928"/>
      <c r="C5128" s="929"/>
      <c r="D5128" s="92"/>
      <c r="E5128" s="252"/>
      <c r="F5128" s="287"/>
      <c r="G5128" s="102"/>
    </row>
    <row r="5129" spans="1:7" hidden="1">
      <c r="A5129" s="98"/>
      <c r="B5129" s="985"/>
      <c r="C5129" s="986"/>
      <c r="D5129" s="109"/>
      <c r="E5129" s="254"/>
      <c r="F5129" s="304"/>
      <c r="G5129" s="102"/>
    </row>
    <row r="5130" spans="1:7" ht="15" hidden="1" thickBot="1">
      <c r="A5130" s="996"/>
      <c r="B5130" s="997"/>
      <c r="C5130" s="998"/>
      <c r="D5130" s="981"/>
      <c r="E5130" s="981"/>
      <c r="F5130" s="981"/>
      <c r="G5130" s="13"/>
    </row>
    <row r="5131" spans="1:7" ht="15" hidden="1" thickBot="1">
      <c r="A5131" s="982"/>
      <c r="B5131" s="983"/>
      <c r="C5131" s="983"/>
      <c r="D5131" s="983"/>
      <c r="E5131" s="983"/>
      <c r="F5131" s="983"/>
      <c r="G5131" s="984"/>
    </row>
    <row r="5132" spans="1:7" ht="15" hidden="1" thickBot="1">
      <c r="A5132" s="982"/>
      <c r="B5132" s="913"/>
      <c r="C5132" s="914"/>
      <c r="D5132" s="95"/>
      <c r="E5132" s="242"/>
      <c r="F5132" s="286"/>
      <c r="G5132" s="97"/>
    </row>
    <row r="5133" spans="1:7" ht="15" hidden="1" thickBot="1">
      <c r="A5133" s="103"/>
      <c r="B5133" s="938"/>
      <c r="C5133" s="939"/>
      <c r="D5133" s="104"/>
      <c r="E5133" s="247"/>
      <c r="F5133" s="288"/>
      <c r="G5133" s="106"/>
    </row>
    <row r="5134" spans="1:7" ht="15" hidden="1" thickBot="1">
      <c r="A5134" s="978"/>
      <c r="B5134" s="979"/>
      <c r="C5134" s="980"/>
      <c r="D5134" s="981"/>
      <c r="E5134" s="981"/>
      <c r="F5134" s="981"/>
      <c r="G5134" s="13"/>
    </row>
    <row r="5135" spans="1:7" ht="15" hidden="1" thickBot="1">
      <c r="A5135" s="982"/>
      <c r="B5135" s="983"/>
      <c r="C5135" s="983"/>
      <c r="D5135" s="983"/>
      <c r="E5135" s="983"/>
      <c r="F5135" s="983"/>
      <c r="G5135" s="984"/>
    </row>
    <row r="5136" spans="1:7" ht="15" hidden="1" thickBot="1">
      <c r="A5136" s="982"/>
      <c r="B5136" s="913"/>
      <c r="C5136" s="914"/>
      <c r="D5136" s="95"/>
      <c r="E5136" s="242"/>
      <c r="F5136" s="289"/>
      <c r="G5136" s="97"/>
    </row>
    <row r="5137" spans="1:7" hidden="1">
      <c r="A5137" s="108"/>
      <c r="B5137" s="985"/>
      <c r="C5137" s="986"/>
      <c r="D5137" s="109"/>
      <c r="E5137" s="254"/>
      <c r="F5137" s="290"/>
      <c r="G5137" s="111"/>
    </row>
    <row r="5138" spans="1:7" ht="15" hidden="1" thickBot="1">
      <c r="A5138" s="996"/>
      <c r="B5138" s="997"/>
      <c r="C5138" s="998"/>
      <c r="D5138" s="981"/>
      <c r="E5138" s="981"/>
      <c r="F5138" s="981"/>
      <c r="G5138" s="13"/>
    </row>
    <row r="5139" spans="1:7" ht="15" hidden="1" thickBot="1">
      <c r="A5139" s="991"/>
      <c r="B5139" s="991"/>
      <c r="C5139" s="991"/>
      <c r="D5139" s="992"/>
      <c r="E5139" s="993"/>
      <c r="F5139" s="993"/>
      <c r="G5139" s="112"/>
    </row>
    <row r="5140" spans="1:7" hidden="1">
      <c r="A5140" s="49"/>
      <c r="B5140" s="49"/>
      <c r="C5140" s="49"/>
      <c r="D5140" s="49"/>
      <c r="F5140" s="307"/>
      <c r="G5140" s="49"/>
    </row>
    <row r="5141" spans="1:7" hidden="1">
      <c r="A5141" s="49"/>
      <c r="B5141" s="49"/>
      <c r="C5141" s="49"/>
      <c r="D5141" s="49"/>
      <c r="F5141" s="307"/>
      <c r="G5141" s="49"/>
    </row>
    <row r="5142" spans="1:7" ht="15" hidden="1" thickBot="1">
      <c r="A5142" s="1036"/>
      <c r="B5142" s="1037"/>
      <c r="C5142" s="1037"/>
      <c r="D5142" s="1037"/>
      <c r="E5142" s="1037"/>
      <c r="F5142" s="1037"/>
      <c r="G5142" s="1038"/>
    </row>
    <row r="5143" spans="1:7" ht="15" hidden="1" thickBot="1">
      <c r="A5143" s="1006"/>
      <c r="B5143" s="1007"/>
      <c r="C5143" s="1007"/>
      <c r="D5143" s="1007"/>
      <c r="E5143" s="1007"/>
      <c r="F5143" s="272"/>
      <c r="G5143" s="43"/>
    </row>
    <row r="5144" spans="1:7" ht="15" hidden="1" customHeight="1" thickBot="1">
      <c r="A5144" s="953"/>
      <c r="B5144" s="954"/>
      <c r="C5144" s="954"/>
      <c r="D5144" s="954"/>
      <c r="E5144" s="955"/>
      <c r="F5144" s="273"/>
      <c r="G5144" s="45"/>
    </row>
    <row r="5145" spans="1:7" ht="15" hidden="1" thickBot="1">
      <c r="A5145" s="956"/>
      <c r="B5145" s="957"/>
      <c r="C5145" s="957"/>
      <c r="D5145" s="957"/>
      <c r="E5145" s="958"/>
      <c r="F5145" s="273"/>
      <c r="G5145" s="46"/>
    </row>
    <row r="5146" spans="1:7" ht="15" hidden="1" thickBot="1">
      <c r="A5146" s="959"/>
      <c r="B5146" s="960"/>
      <c r="C5146" s="960"/>
      <c r="D5146" s="960"/>
      <c r="E5146" s="961"/>
      <c r="F5146" s="274"/>
      <c r="G5146" s="48"/>
    </row>
    <row r="5147" spans="1:7" ht="15" hidden="1" thickBot="1">
      <c r="A5147" s="1008"/>
      <c r="B5147" s="1009"/>
      <c r="C5147" s="1009"/>
      <c r="D5147" s="1009"/>
      <c r="E5147" s="1009"/>
      <c r="F5147" s="1009"/>
      <c r="G5147" s="1010"/>
    </row>
    <row r="5148" spans="1:7" ht="15" hidden="1" thickBot="1">
      <c r="A5148" s="982"/>
      <c r="B5148" s="913"/>
      <c r="C5148" s="914"/>
      <c r="D5148" s="95"/>
      <c r="E5148" s="242"/>
      <c r="F5148" s="286"/>
      <c r="G5148" s="97"/>
    </row>
    <row r="5149" spans="1:7" hidden="1">
      <c r="A5149" s="87"/>
      <c r="B5149" s="930"/>
      <c r="C5149" s="931"/>
      <c r="D5149" s="88"/>
      <c r="E5149" s="251"/>
      <c r="F5149" s="284"/>
      <c r="G5149" s="90"/>
    </row>
    <row r="5150" spans="1:7" hidden="1">
      <c r="A5150" s="91"/>
      <c r="B5150" s="968"/>
      <c r="C5150" s="969"/>
      <c r="D5150" s="92"/>
      <c r="E5150" s="252"/>
      <c r="F5150" s="285"/>
      <c r="G5150" s="94"/>
    </row>
    <row r="5151" spans="1:7" hidden="1">
      <c r="A5151" s="91"/>
      <c r="B5151" s="968"/>
      <c r="C5151" s="969"/>
      <c r="D5151" s="92"/>
      <c r="E5151" s="252"/>
      <c r="F5151" s="285"/>
      <c r="G5151" s="94"/>
    </row>
    <row r="5152" spans="1:7" ht="15" hidden="1" thickBot="1">
      <c r="A5152" s="994"/>
      <c r="B5152" s="995"/>
      <c r="C5152" s="995"/>
      <c r="D5152" s="981"/>
      <c r="E5152" s="981"/>
      <c r="F5152" s="981"/>
      <c r="G5152" s="13"/>
    </row>
    <row r="5153" spans="1:7" ht="15" hidden="1" thickBot="1">
      <c r="A5153" s="982"/>
      <c r="B5153" s="983"/>
      <c r="C5153" s="983"/>
      <c r="D5153" s="983"/>
      <c r="E5153" s="983"/>
      <c r="F5153" s="983"/>
      <c r="G5153" s="984"/>
    </row>
    <row r="5154" spans="1:7" ht="15" hidden="1" thickBot="1">
      <c r="A5154" s="982"/>
      <c r="B5154" s="913"/>
      <c r="C5154" s="914"/>
      <c r="D5154" s="95"/>
      <c r="E5154" s="242"/>
      <c r="F5154" s="286"/>
      <c r="G5154" s="97"/>
    </row>
    <row r="5155" spans="1:7" hidden="1">
      <c r="A5155" s="108"/>
      <c r="B5155" s="985"/>
      <c r="C5155" s="986"/>
      <c r="D5155" s="109"/>
      <c r="E5155" s="254"/>
      <c r="F5155" s="304"/>
      <c r="G5155" s="111"/>
    </row>
    <row r="5156" spans="1:7" ht="15" hidden="1" thickBot="1">
      <c r="A5156" s="98"/>
      <c r="B5156" s="928"/>
      <c r="C5156" s="929"/>
      <c r="D5156" s="92"/>
      <c r="E5156" s="252"/>
      <c r="F5156" s="287"/>
      <c r="G5156" s="102"/>
    </row>
    <row r="5157" spans="1:7" hidden="1">
      <c r="A5157" s="98"/>
      <c r="B5157" s="985"/>
      <c r="C5157" s="986"/>
      <c r="D5157" s="109"/>
      <c r="E5157" s="254"/>
      <c r="F5157" s="304"/>
      <c r="G5157" s="102"/>
    </row>
    <row r="5158" spans="1:7" ht="15" hidden="1" thickBot="1">
      <c r="A5158" s="996"/>
      <c r="B5158" s="997"/>
      <c r="C5158" s="998"/>
      <c r="D5158" s="981"/>
      <c r="E5158" s="981"/>
      <c r="F5158" s="981"/>
      <c r="G5158" s="13"/>
    </row>
    <row r="5159" spans="1:7" ht="15" hidden="1" thickBot="1">
      <c r="A5159" s="982"/>
      <c r="B5159" s="983"/>
      <c r="C5159" s="983"/>
      <c r="D5159" s="983"/>
      <c r="E5159" s="983"/>
      <c r="F5159" s="983"/>
      <c r="G5159" s="984"/>
    </row>
    <row r="5160" spans="1:7" ht="15" hidden="1" thickBot="1">
      <c r="A5160" s="982"/>
      <c r="B5160" s="913"/>
      <c r="C5160" s="914"/>
      <c r="D5160" s="95"/>
      <c r="E5160" s="242"/>
      <c r="F5160" s="286"/>
      <c r="G5160" s="97"/>
    </row>
    <row r="5161" spans="1:7" ht="15" hidden="1" thickBot="1">
      <c r="A5161" s="103"/>
      <c r="B5161" s="942"/>
      <c r="C5161" s="943"/>
      <c r="D5161" s="104"/>
      <c r="E5161" s="247"/>
      <c r="F5161" s="288"/>
      <c r="G5161" s="106"/>
    </row>
    <row r="5162" spans="1:7" ht="15" hidden="1" thickBot="1">
      <c r="A5162" s="978"/>
      <c r="B5162" s="979"/>
      <c r="C5162" s="980"/>
      <c r="D5162" s="981"/>
      <c r="E5162" s="981"/>
      <c r="F5162" s="981"/>
      <c r="G5162" s="13"/>
    </row>
    <row r="5163" spans="1:7" ht="15" hidden="1" thickBot="1">
      <c r="A5163" s="982"/>
      <c r="B5163" s="983"/>
      <c r="C5163" s="983"/>
      <c r="D5163" s="983"/>
      <c r="E5163" s="983"/>
      <c r="F5163" s="983"/>
      <c r="G5163" s="984"/>
    </row>
    <row r="5164" spans="1:7" ht="15" hidden="1" thickBot="1">
      <c r="A5164" s="982"/>
      <c r="B5164" s="913"/>
      <c r="C5164" s="914"/>
      <c r="D5164" s="95"/>
      <c r="E5164" s="242"/>
      <c r="F5164" s="289"/>
      <c r="G5164" s="97"/>
    </row>
    <row r="5165" spans="1:7" hidden="1">
      <c r="A5165" s="108"/>
      <c r="B5165" s="985"/>
      <c r="C5165" s="986"/>
      <c r="D5165" s="109"/>
      <c r="E5165" s="254"/>
      <c r="F5165" s="290"/>
      <c r="G5165" s="111"/>
    </row>
    <row r="5166" spans="1:7" ht="15" hidden="1" thickBot="1">
      <c r="A5166" s="987"/>
      <c r="B5166" s="988"/>
      <c r="C5166" s="989"/>
      <c r="D5166" s="990"/>
      <c r="E5166" s="990"/>
      <c r="F5166" s="990"/>
      <c r="G5166" s="14"/>
    </row>
    <row r="5167" spans="1:7" ht="15" hidden="1" thickBot="1">
      <c r="A5167" s="991"/>
      <c r="B5167" s="991"/>
      <c r="C5167" s="991"/>
      <c r="D5167" s="992"/>
      <c r="E5167" s="993"/>
      <c r="F5167" s="993"/>
      <c r="G5167" s="112"/>
    </row>
    <row r="5168" spans="1:7" hidden="1">
      <c r="A5168" s="49"/>
      <c r="B5168" s="49"/>
      <c r="C5168" s="49"/>
      <c r="D5168" s="49"/>
      <c r="F5168" s="307"/>
      <c r="G5168" s="49"/>
    </row>
    <row r="5169" spans="1:7" hidden="1">
      <c r="A5169" s="49"/>
      <c r="B5169" s="49"/>
      <c r="C5169" s="49"/>
      <c r="D5169" s="49"/>
      <c r="F5169" s="307"/>
      <c r="G5169" s="49"/>
    </row>
    <row r="5170" spans="1:7" hidden="1">
      <c r="A5170" s="49"/>
      <c r="B5170" s="49"/>
      <c r="C5170" s="49"/>
      <c r="D5170" s="49"/>
      <c r="F5170" s="307"/>
      <c r="G5170" s="49"/>
    </row>
    <row r="5171" spans="1:7" hidden="1">
      <c r="A5171" s="49"/>
      <c r="B5171" s="49"/>
      <c r="C5171" s="49"/>
      <c r="D5171" s="49"/>
      <c r="F5171" s="307"/>
      <c r="G5171" s="49"/>
    </row>
    <row r="5172" spans="1:7" ht="15" hidden="1" thickBot="1">
      <c r="A5172" s="1036"/>
      <c r="B5172" s="1037"/>
      <c r="C5172" s="1037"/>
      <c r="D5172" s="1037"/>
      <c r="E5172" s="1037"/>
      <c r="F5172" s="1037"/>
      <c r="G5172" s="1038"/>
    </row>
    <row r="5173" spans="1:7" ht="15" hidden="1" thickBot="1">
      <c r="A5173" s="1006"/>
      <c r="B5173" s="1007"/>
      <c r="C5173" s="1007"/>
      <c r="D5173" s="1007"/>
      <c r="E5173" s="1007"/>
      <c r="F5173" s="272"/>
      <c r="G5173" s="43"/>
    </row>
    <row r="5174" spans="1:7" ht="15" hidden="1" customHeight="1" thickBot="1">
      <c r="A5174" s="953"/>
      <c r="B5174" s="954"/>
      <c r="C5174" s="954"/>
      <c r="D5174" s="954"/>
      <c r="E5174" s="955"/>
      <c r="F5174" s="273"/>
      <c r="G5174" s="45"/>
    </row>
    <row r="5175" spans="1:7" ht="15" hidden="1" thickBot="1">
      <c r="A5175" s="956"/>
      <c r="B5175" s="957"/>
      <c r="C5175" s="957"/>
      <c r="D5175" s="957"/>
      <c r="E5175" s="958"/>
      <c r="F5175" s="273"/>
      <c r="G5175" s="46"/>
    </row>
    <row r="5176" spans="1:7" ht="15" hidden="1" thickBot="1">
      <c r="A5176" s="959"/>
      <c r="B5176" s="960"/>
      <c r="C5176" s="960"/>
      <c r="D5176" s="960"/>
      <c r="E5176" s="961"/>
      <c r="F5176" s="274"/>
      <c r="G5176" s="48"/>
    </row>
    <row r="5177" spans="1:7" ht="15" hidden="1" thickBot="1">
      <c r="A5177" s="1008"/>
      <c r="B5177" s="1009"/>
      <c r="C5177" s="1009"/>
      <c r="D5177" s="1009"/>
      <c r="E5177" s="1009"/>
      <c r="F5177" s="1009"/>
      <c r="G5177" s="1010"/>
    </row>
    <row r="5178" spans="1:7" ht="15" hidden="1" thickBot="1">
      <c r="A5178" s="982"/>
      <c r="B5178" s="913"/>
      <c r="C5178" s="914"/>
      <c r="D5178" s="95"/>
      <c r="E5178" s="242"/>
      <c r="F5178" s="286"/>
      <c r="G5178" s="97"/>
    </row>
    <row r="5179" spans="1:7" hidden="1">
      <c r="A5179" s="87"/>
      <c r="B5179" s="930"/>
      <c r="C5179" s="931"/>
      <c r="D5179" s="88"/>
      <c r="E5179" s="251"/>
      <c r="F5179" s="284"/>
      <c r="G5179" s="90"/>
    </row>
    <row r="5180" spans="1:7" hidden="1">
      <c r="A5180" s="91"/>
      <c r="B5180" s="968"/>
      <c r="C5180" s="969"/>
      <c r="D5180" s="92"/>
      <c r="E5180" s="252"/>
      <c r="F5180" s="285"/>
      <c r="G5180" s="94"/>
    </row>
    <row r="5181" spans="1:7" hidden="1">
      <c r="A5181" s="91"/>
      <c r="B5181" s="968"/>
      <c r="C5181" s="969"/>
      <c r="D5181" s="92"/>
      <c r="E5181" s="252"/>
      <c r="F5181" s="285"/>
      <c r="G5181" s="94"/>
    </row>
    <row r="5182" spans="1:7" ht="15" hidden="1" thickBot="1">
      <c r="A5182" s="994"/>
      <c r="B5182" s="995"/>
      <c r="C5182" s="995"/>
      <c r="D5182" s="981"/>
      <c r="E5182" s="981"/>
      <c r="F5182" s="981"/>
      <c r="G5182" s="13"/>
    </row>
    <row r="5183" spans="1:7" ht="15" hidden="1" thickBot="1">
      <c r="A5183" s="982"/>
      <c r="B5183" s="983"/>
      <c r="C5183" s="983"/>
      <c r="D5183" s="983"/>
      <c r="E5183" s="983"/>
      <c r="F5183" s="983"/>
      <c r="G5183" s="984"/>
    </row>
    <row r="5184" spans="1:7" ht="15" hidden="1" thickBot="1">
      <c r="A5184" s="982"/>
      <c r="B5184" s="913"/>
      <c r="C5184" s="914"/>
      <c r="D5184" s="95"/>
      <c r="E5184" s="242"/>
      <c r="F5184" s="286"/>
      <c r="G5184" s="97"/>
    </row>
    <row r="5185" spans="1:7" hidden="1">
      <c r="A5185" s="108"/>
      <c r="B5185" s="985"/>
      <c r="C5185" s="986"/>
      <c r="D5185" s="109"/>
      <c r="E5185" s="251"/>
      <c r="F5185" s="304"/>
      <c r="G5185" s="111"/>
    </row>
    <row r="5186" spans="1:7" hidden="1">
      <c r="A5186" s="98"/>
      <c r="B5186" s="928"/>
      <c r="C5186" s="929"/>
      <c r="D5186" s="92"/>
      <c r="E5186" s="252"/>
      <c r="F5186" s="287"/>
      <c r="G5186" s="102"/>
    </row>
    <row r="5187" spans="1:7" hidden="1">
      <c r="A5187" s="98"/>
      <c r="B5187" s="928"/>
      <c r="C5187" s="929"/>
      <c r="D5187" s="99"/>
      <c r="E5187" s="253"/>
      <c r="F5187" s="287"/>
      <c r="G5187" s="102"/>
    </row>
    <row r="5188" spans="1:7" hidden="1">
      <c r="A5188" s="98"/>
      <c r="B5188" s="928"/>
      <c r="C5188" s="929"/>
      <c r="D5188" s="92"/>
      <c r="E5188" s="252"/>
      <c r="F5188" s="287"/>
      <c r="G5188" s="102"/>
    </row>
    <row r="5189" spans="1:7" hidden="1">
      <c r="A5189" s="98"/>
      <c r="B5189" s="928"/>
      <c r="C5189" s="929"/>
      <c r="D5189" s="99"/>
      <c r="E5189" s="253"/>
      <c r="F5189" s="287"/>
      <c r="G5189" s="102"/>
    </row>
    <row r="5190" spans="1:7" ht="15" hidden="1" thickBot="1">
      <c r="A5190" s="996"/>
      <c r="B5190" s="997"/>
      <c r="C5190" s="998"/>
      <c r="D5190" s="981"/>
      <c r="E5190" s="981"/>
      <c r="F5190" s="981"/>
      <c r="G5190" s="13"/>
    </row>
    <row r="5191" spans="1:7" ht="15" hidden="1" thickBot="1">
      <c r="A5191" s="982"/>
      <c r="B5191" s="983"/>
      <c r="C5191" s="983"/>
      <c r="D5191" s="983"/>
      <c r="E5191" s="983"/>
      <c r="F5191" s="983"/>
      <c r="G5191" s="984"/>
    </row>
    <row r="5192" spans="1:7" ht="15" hidden="1" thickBot="1">
      <c r="A5192" s="982"/>
      <c r="B5192" s="913"/>
      <c r="C5192" s="914"/>
      <c r="D5192" s="95"/>
      <c r="E5192" s="242"/>
      <c r="F5192" s="286"/>
      <c r="G5192" s="97"/>
    </row>
    <row r="5193" spans="1:7" ht="15" hidden="1" thickBot="1">
      <c r="A5193" s="103"/>
      <c r="B5193" s="942"/>
      <c r="C5193" s="943"/>
      <c r="D5193" s="104"/>
      <c r="E5193" s="247"/>
      <c r="F5193" s="288"/>
      <c r="G5193" s="106"/>
    </row>
    <row r="5194" spans="1:7" ht="15" hidden="1" thickBot="1">
      <c r="A5194" s="978"/>
      <c r="B5194" s="979"/>
      <c r="C5194" s="980"/>
      <c r="D5194" s="981"/>
      <c r="E5194" s="981"/>
      <c r="F5194" s="981"/>
      <c r="G5194" s="13"/>
    </row>
    <row r="5195" spans="1:7" ht="15" hidden="1" thickBot="1">
      <c r="A5195" s="982"/>
      <c r="B5195" s="983"/>
      <c r="C5195" s="983"/>
      <c r="D5195" s="983"/>
      <c r="E5195" s="983"/>
      <c r="F5195" s="983"/>
      <c r="G5195" s="984"/>
    </row>
    <row r="5196" spans="1:7" ht="15" hidden="1" thickBot="1">
      <c r="A5196" s="982"/>
      <c r="B5196" s="913"/>
      <c r="C5196" s="914"/>
      <c r="D5196" s="95"/>
      <c r="E5196" s="242"/>
      <c r="F5196" s="289"/>
      <c r="G5196" s="97"/>
    </row>
    <row r="5197" spans="1:7" hidden="1">
      <c r="A5197" s="108"/>
      <c r="B5197" s="985"/>
      <c r="C5197" s="986"/>
      <c r="D5197" s="109"/>
      <c r="E5197" s="254"/>
      <c r="F5197" s="290"/>
      <c r="G5197" s="111"/>
    </row>
    <row r="5198" spans="1:7" ht="15" hidden="1" thickBot="1">
      <c r="A5198" s="987"/>
      <c r="B5198" s="988"/>
      <c r="C5198" s="989"/>
      <c r="D5198" s="990"/>
      <c r="E5198" s="990"/>
      <c r="F5198" s="990"/>
      <c r="G5198" s="14"/>
    </row>
    <row r="5199" spans="1:7" ht="15" hidden="1" thickBot="1">
      <c r="A5199" s="991"/>
      <c r="B5199" s="991"/>
      <c r="C5199" s="991"/>
      <c r="D5199" s="992"/>
      <c r="E5199" s="993"/>
      <c r="F5199" s="993"/>
      <c r="G5199" s="112"/>
    </row>
    <row r="5200" spans="1:7" hidden="1">
      <c r="A5200" s="49"/>
      <c r="B5200" s="49"/>
      <c r="C5200" s="49"/>
      <c r="D5200" s="49"/>
      <c r="F5200" s="307"/>
      <c r="G5200" s="49"/>
    </row>
    <row r="5201" spans="1:7" hidden="1">
      <c r="A5201" s="49"/>
      <c r="B5201" s="49"/>
      <c r="C5201" s="49"/>
      <c r="D5201" s="49"/>
      <c r="F5201" s="307"/>
      <c r="G5201" s="49"/>
    </row>
    <row r="5202" spans="1:7" ht="15" hidden="1" thickBot="1">
      <c r="A5202" s="1036"/>
      <c r="B5202" s="1037"/>
      <c r="C5202" s="1037"/>
      <c r="D5202" s="1037"/>
      <c r="E5202" s="1037"/>
      <c r="F5202" s="1037"/>
      <c r="G5202" s="1038"/>
    </row>
    <row r="5203" spans="1:7" ht="15" hidden="1" thickBot="1">
      <c r="A5203" s="1006"/>
      <c r="B5203" s="1007"/>
      <c r="C5203" s="1007"/>
      <c r="D5203" s="1007"/>
      <c r="E5203" s="1007"/>
      <c r="F5203" s="272"/>
      <c r="G5203" s="43"/>
    </row>
    <row r="5204" spans="1:7" ht="15" hidden="1" customHeight="1" thickBot="1">
      <c r="A5204" s="953"/>
      <c r="B5204" s="954"/>
      <c r="C5204" s="954"/>
      <c r="D5204" s="954"/>
      <c r="E5204" s="955"/>
      <c r="F5204" s="273"/>
      <c r="G5204" s="45"/>
    </row>
    <row r="5205" spans="1:7" ht="15" hidden="1" thickBot="1">
      <c r="A5205" s="956"/>
      <c r="B5205" s="957"/>
      <c r="C5205" s="957"/>
      <c r="D5205" s="957"/>
      <c r="E5205" s="958"/>
      <c r="F5205" s="273"/>
      <c r="G5205" s="46"/>
    </row>
    <row r="5206" spans="1:7" ht="15" hidden="1" thickBot="1">
      <c r="A5206" s="959"/>
      <c r="B5206" s="960"/>
      <c r="C5206" s="960"/>
      <c r="D5206" s="960"/>
      <c r="E5206" s="961"/>
      <c r="F5206" s="274"/>
      <c r="G5206" s="48"/>
    </row>
    <row r="5207" spans="1:7" ht="15" hidden="1" thickBot="1">
      <c r="A5207" s="1008"/>
      <c r="B5207" s="1009"/>
      <c r="C5207" s="1009"/>
      <c r="D5207" s="1009"/>
      <c r="E5207" s="1009"/>
      <c r="F5207" s="1009"/>
      <c r="G5207" s="1010"/>
    </row>
    <row r="5208" spans="1:7" ht="15" hidden="1" thickBot="1">
      <c r="A5208" s="982"/>
      <c r="B5208" s="913"/>
      <c r="C5208" s="914"/>
      <c r="D5208" s="95"/>
      <c r="E5208" s="242"/>
      <c r="F5208" s="286"/>
      <c r="G5208" s="97"/>
    </row>
    <row r="5209" spans="1:7" hidden="1">
      <c r="A5209" s="87"/>
      <c r="B5209" s="930"/>
      <c r="C5209" s="931"/>
      <c r="D5209" s="88"/>
      <c r="E5209" s="251"/>
      <c r="F5209" s="284"/>
      <c r="G5209" s="90"/>
    </row>
    <row r="5210" spans="1:7" hidden="1">
      <c r="A5210" s="91"/>
      <c r="B5210" s="968"/>
      <c r="C5210" s="969"/>
      <c r="D5210" s="92"/>
      <c r="E5210" s="252"/>
      <c r="F5210" s="285"/>
      <c r="G5210" s="94"/>
    </row>
    <row r="5211" spans="1:7" hidden="1">
      <c r="A5211" s="91"/>
      <c r="B5211" s="968"/>
      <c r="C5211" s="969"/>
      <c r="D5211" s="92"/>
      <c r="E5211" s="252"/>
      <c r="F5211" s="285"/>
      <c r="G5211" s="94"/>
    </row>
    <row r="5212" spans="1:7" ht="15" hidden="1" thickBot="1">
      <c r="A5212" s="994"/>
      <c r="B5212" s="995"/>
      <c r="C5212" s="995"/>
      <c r="D5212" s="981"/>
      <c r="E5212" s="981"/>
      <c r="F5212" s="981"/>
      <c r="G5212" s="13"/>
    </row>
    <row r="5213" spans="1:7" ht="15" hidden="1" thickBot="1">
      <c r="A5213" s="982"/>
      <c r="B5213" s="983"/>
      <c r="C5213" s="983"/>
      <c r="D5213" s="983"/>
      <c r="E5213" s="983"/>
      <c r="F5213" s="983"/>
      <c r="G5213" s="984"/>
    </row>
    <row r="5214" spans="1:7" ht="15" hidden="1" thickBot="1">
      <c r="A5214" s="982"/>
      <c r="B5214" s="913"/>
      <c r="C5214" s="914"/>
      <c r="D5214" s="95"/>
      <c r="E5214" s="242"/>
      <c r="F5214" s="286"/>
      <c r="G5214" s="97"/>
    </row>
    <row r="5215" spans="1:7" ht="15" hidden="1" thickBot="1">
      <c r="A5215" s="108"/>
      <c r="B5215" s="985"/>
      <c r="C5215" s="986"/>
      <c r="D5215" s="109"/>
      <c r="E5215" s="254"/>
      <c r="F5215" s="304"/>
      <c r="G5215" s="111"/>
    </row>
    <row r="5216" spans="1:7" hidden="1">
      <c r="A5216" s="98"/>
      <c r="B5216" s="928"/>
      <c r="C5216" s="929"/>
      <c r="D5216" s="109"/>
      <c r="E5216" s="252"/>
      <c r="F5216" s="287"/>
      <c r="G5216" s="102"/>
    </row>
    <row r="5217" spans="1:7" hidden="1">
      <c r="A5217" s="98"/>
      <c r="B5217" s="928"/>
      <c r="C5217" s="929"/>
      <c r="D5217" s="99"/>
      <c r="E5217" s="253"/>
      <c r="F5217" s="287"/>
      <c r="G5217" s="102"/>
    </row>
    <row r="5218" spans="1:7" ht="15" hidden="1" thickBot="1">
      <c r="A5218" s="996"/>
      <c r="B5218" s="997"/>
      <c r="C5218" s="998"/>
      <c r="D5218" s="981"/>
      <c r="E5218" s="981"/>
      <c r="F5218" s="981"/>
      <c r="G5218" s="13"/>
    </row>
    <row r="5219" spans="1:7" ht="15" hidden="1" thickBot="1">
      <c r="A5219" s="982"/>
      <c r="B5219" s="983"/>
      <c r="C5219" s="983"/>
      <c r="D5219" s="983"/>
      <c r="E5219" s="983"/>
      <c r="F5219" s="983"/>
      <c r="G5219" s="984"/>
    </row>
    <row r="5220" spans="1:7" ht="15" hidden="1" thickBot="1">
      <c r="A5220" s="982"/>
      <c r="B5220" s="913"/>
      <c r="C5220" s="914"/>
      <c r="D5220" s="95"/>
      <c r="E5220" s="242"/>
      <c r="F5220" s="286"/>
      <c r="G5220" s="97"/>
    </row>
    <row r="5221" spans="1:7" ht="15" hidden="1" thickBot="1">
      <c r="A5221" s="103"/>
      <c r="B5221" s="942"/>
      <c r="C5221" s="943"/>
      <c r="D5221" s="104"/>
      <c r="E5221" s="247"/>
      <c r="F5221" s="288"/>
      <c r="G5221" s="106"/>
    </row>
    <row r="5222" spans="1:7" ht="15" hidden="1" thickBot="1">
      <c r="A5222" s="978"/>
      <c r="B5222" s="979"/>
      <c r="C5222" s="980"/>
      <c r="D5222" s="981"/>
      <c r="E5222" s="981"/>
      <c r="F5222" s="981"/>
      <c r="G5222" s="13"/>
    </row>
    <row r="5223" spans="1:7" ht="15" hidden="1" thickBot="1">
      <c r="A5223" s="982"/>
      <c r="B5223" s="983"/>
      <c r="C5223" s="983"/>
      <c r="D5223" s="983"/>
      <c r="E5223" s="983"/>
      <c r="F5223" s="983"/>
      <c r="G5223" s="984"/>
    </row>
    <row r="5224" spans="1:7" ht="15" hidden="1" thickBot="1">
      <c r="A5224" s="982"/>
      <c r="B5224" s="913"/>
      <c r="C5224" s="914"/>
      <c r="D5224" s="95"/>
      <c r="E5224" s="242"/>
      <c r="F5224" s="289"/>
      <c r="G5224" s="97"/>
    </row>
    <row r="5225" spans="1:7" hidden="1">
      <c r="A5225" s="108"/>
      <c r="B5225" s="985"/>
      <c r="C5225" s="986"/>
      <c r="D5225" s="109"/>
      <c r="E5225" s="254"/>
      <c r="F5225" s="290"/>
      <c r="G5225" s="111"/>
    </row>
    <row r="5226" spans="1:7" ht="15" hidden="1" thickBot="1">
      <c r="A5226" s="987"/>
      <c r="B5226" s="988"/>
      <c r="C5226" s="989"/>
      <c r="D5226" s="990"/>
      <c r="E5226" s="990"/>
      <c r="F5226" s="990"/>
      <c r="G5226" s="14"/>
    </row>
    <row r="5227" spans="1:7" ht="15" hidden="1" thickBot="1">
      <c r="A5227" s="991"/>
      <c r="B5227" s="991"/>
      <c r="C5227" s="991"/>
      <c r="D5227" s="992"/>
      <c r="E5227" s="993"/>
      <c r="F5227" s="993"/>
      <c r="G5227" s="112"/>
    </row>
    <row r="5228" spans="1:7" hidden="1">
      <c r="A5228" s="49"/>
      <c r="B5228" s="49"/>
      <c r="C5228" s="49"/>
      <c r="D5228" s="49"/>
      <c r="F5228" s="307"/>
      <c r="G5228" s="49"/>
    </row>
    <row r="5229" spans="1:7" hidden="1">
      <c r="A5229" s="49"/>
      <c r="B5229" s="49"/>
      <c r="C5229" s="49"/>
      <c r="D5229" s="49"/>
      <c r="F5229" s="307"/>
      <c r="G5229" s="49"/>
    </row>
    <row r="5230" spans="1:7" ht="15" hidden="1" thickBot="1">
      <c r="A5230" s="1036"/>
      <c r="B5230" s="1037"/>
      <c r="C5230" s="1037"/>
      <c r="D5230" s="1037"/>
      <c r="E5230" s="1037"/>
      <c r="F5230" s="1037"/>
      <c r="G5230" s="1038"/>
    </row>
    <row r="5231" spans="1:7" ht="15" hidden="1" thickBot="1">
      <c r="A5231" s="1006"/>
      <c r="B5231" s="1007"/>
      <c r="C5231" s="1007"/>
      <c r="D5231" s="1007"/>
      <c r="E5231" s="1007"/>
      <c r="F5231" s="272"/>
      <c r="G5231" s="43"/>
    </row>
    <row r="5232" spans="1:7" ht="15" hidden="1" customHeight="1" thickBot="1">
      <c r="A5232" s="953"/>
      <c r="B5232" s="954"/>
      <c r="C5232" s="954"/>
      <c r="D5232" s="954"/>
      <c r="E5232" s="955"/>
      <c r="F5232" s="273"/>
      <c r="G5232" s="45"/>
    </row>
    <row r="5233" spans="1:7" ht="15" hidden="1" thickBot="1">
      <c r="A5233" s="956"/>
      <c r="B5233" s="957"/>
      <c r="C5233" s="957"/>
      <c r="D5233" s="957"/>
      <c r="E5233" s="958"/>
      <c r="F5233" s="273"/>
      <c r="G5233" s="46"/>
    </row>
    <row r="5234" spans="1:7" ht="15" hidden="1" thickBot="1">
      <c r="A5234" s="959"/>
      <c r="B5234" s="960"/>
      <c r="C5234" s="960"/>
      <c r="D5234" s="960"/>
      <c r="E5234" s="961"/>
      <c r="F5234" s="274"/>
      <c r="G5234" s="48"/>
    </row>
    <row r="5235" spans="1:7" ht="15" hidden="1" thickBot="1">
      <c r="A5235" s="1008"/>
      <c r="B5235" s="1009"/>
      <c r="C5235" s="1009"/>
      <c r="D5235" s="1009"/>
      <c r="E5235" s="1009"/>
      <c r="F5235" s="1009"/>
      <c r="G5235" s="1010"/>
    </row>
    <row r="5236" spans="1:7" ht="15" hidden="1" thickBot="1">
      <c r="A5236" s="982"/>
      <c r="B5236" s="913"/>
      <c r="C5236" s="914"/>
      <c r="D5236" s="95"/>
      <c r="E5236" s="242"/>
      <c r="F5236" s="286"/>
      <c r="G5236" s="97"/>
    </row>
    <row r="5237" spans="1:7" hidden="1">
      <c r="A5237" s="87"/>
      <c r="B5237" s="930"/>
      <c r="C5237" s="931"/>
      <c r="D5237" s="88"/>
      <c r="E5237" s="251"/>
      <c r="F5237" s="284"/>
      <c r="G5237" s="90"/>
    </row>
    <row r="5238" spans="1:7" hidden="1">
      <c r="A5238" s="91"/>
      <c r="B5238" s="968"/>
      <c r="C5238" s="969"/>
      <c r="D5238" s="92"/>
      <c r="E5238" s="252"/>
      <c r="F5238" s="285"/>
      <c r="G5238" s="94"/>
    </row>
    <row r="5239" spans="1:7" hidden="1">
      <c r="A5239" s="91"/>
      <c r="B5239" s="968"/>
      <c r="C5239" s="969"/>
      <c r="D5239" s="92"/>
      <c r="E5239" s="252"/>
      <c r="F5239" s="285"/>
      <c r="G5239" s="94"/>
    </row>
    <row r="5240" spans="1:7" ht="15" hidden="1" thickBot="1">
      <c r="A5240" s="994"/>
      <c r="B5240" s="995"/>
      <c r="C5240" s="995"/>
      <c r="D5240" s="981"/>
      <c r="E5240" s="981"/>
      <c r="F5240" s="981"/>
      <c r="G5240" s="13"/>
    </row>
    <row r="5241" spans="1:7" ht="15" hidden="1" thickBot="1">
      <c r="A5241" s="982"/>
      <c r="B5241" s="983"/>
      <c r="C5241" s="983"/>
      <c r="D5241" s="983"/>
      <c r="E5241" s="983"/>
      <c r="F5241" s="983"/>
      <c r="G5241" s="984"/>
    </row>
    <row r="5242" spans="1:7" ht="15" hidden="1" thickBot="1">
      <c r="A5242" s="982"/>
      <c r="B5242" s="913"/>
      <c r="C5242" s="914"/>
      <c r="D5242" s="95"/>
      <c r="E5242" s="242"/>
      <c r="F5242" s="286"/>
      <c r="G5242" s="97"/>
    </row>
    <row r="5243" spans="1:7" ht="15" hidden="1" thickBot="1">
      <c r="A5243" s="108"/>
      <c r="B5243" s="985"/>
      <c r="C5243" s="986"/>
      <c r="D5243" s="109"/>
      <c r="E5243" s="254"/>
      <c r="F5243" s="304"/>
      <c r="G5243" s="111"/>
    </row>
    <row r="5244" spans="1:7" hidden="1">
      <c r="A5244" s="98"/>
      <c r="B5244" s="985"/>
      <c r="C5244" s="986"/>
      <c r="D5244" s="109"/>
      <c r="E5244" s="254"/>
      <c r="F5244" s="304"/>
      <c r="G5244" s="102"/>
    </row>
    <row r="5245" spans="1:7" ht="15" hidden="1" thickBot="1">
      <c r="A5245" s="98"/>
      <c r="B5245" s="928"/>
      <c r="C5245" s="929"/>
      <c r="D5245" s="92"/>
      <c r="E5245" s="252"/>
      <c r="F5245" s="287"/>
      <c r="G5245" s="102"/>
    </row>
    <row r="5246" spans="1:7" hidden="1">
      <c r="A5246" s="98"/>
      <c r="B5246" s="985"/>
      <c r="C5246" s="986"/>
      <c r="D5246" s="109"/>
      <c r="E5246" s="254"/>
      <c r="F5246" s="304"/>
      <c r="G5246" s="102"/>
    </row>
    <row r="5247" spans="1:7" ht="15" hidden="1" thickBot="1">
      <c r="A5247" s="996"/>
      <c r="B5247" s="997"/>
      <c r="C5247" s="998"/>
      <c r="D5247" s="981"/>
      <c r="E5247" s="981"/>
      <c r="F5247" s="981"/>
      <c r="G5247" s="13"/>
    </row>
    <row r="5248" spans="1:7" ht="15" hidden="1" thickBot="1">
      <c r="A5248" s="982"/>
      <c r="B5248" s="983"/>
      <c r="C5248" s="983"/>
      <c r="D5248" s="983"/>
      <c r="E5248" s="983"/>
      <c r="F5248" s="983"/>
      <c r="G5248" s="984"/>
    </row>
    <row r="5249" spans="1:7" ht="15" hidden="1" thickBot="1">
      <c r="A5249" s="982"/>
      <c r="B5249" s="913"/>
      <c r="C5249" s="914"/>
      <c r="D5249" s="95"/>
      <c r="E5249" s="242"/>
      <c r="F5249" s="286"/>
      <c r="G5249" s="97"/>
    </row>
    <row r="5250" spans="1:7" ht="15" hidden="1" thickBot="1">
      <c r="A5250" s="103"/>
      <c r="B5250" s="942"/>
      <c r="C5250" s="943"/>
      <c r="D5250" s="104"/>
      <c r="E5250" s="247"/>
      <c r="F5250" s="288"/>
      <c r="G5250" s="106"/>
    </row>
    <row r="5251" spans="1:7" ht="15" hidden="1" thickBot="1">
      <c r="A5251" s="978"/>
      <c r="B5251" s="979"/>
      <c r="C5251" s="980"/>
      <c r="D5251" s="981"/>
      <c r="E5251" s="981"/>
      <c r="F5251" s="981"/>
      <c r="G5251" s="13"/>
    </row>
    <row r="5252" spans="1:7" ht="15" hidden="1" thickBot="1">
      <c r="A5252" s="982"/>
      <c r="B5252" s="983"/>
      <c r="C5252" s="983"/>
      <c r="D5252" s="983"/>
      <c r="E5252" s="983"/>
      <c r="F5252" s="983"/>
      <c r="G5252" s="984"/>
    </row>
    <row r="5253" spans="1:7" ht="15" hidden="1" thickBot="1">
      <c r="A5253" s="982"/>
      <c r="B5253" s="913"/>
      <c r="C5253" s="914"/>
      <c r="D5253" s="95"/>
      <c r="E5253" s="242"/>
      <c r="F5253" s="289"/>
      <c r="G5253" s="97"/>
    </row>
    <row r="5254" spans="1:7" hidden="1">
      <c r="A5254" s="108"/>
      <c r="B5254" s="985"/>
      <c r="C5254" s="986"/>
      <c r="D5254" s="109"/>
      <c r="E5254" s="254"/>
      <c r="F5254" s="290"/>
      <c r="G5254" s="111"/>
    </row>
    <row r="5255" spans="1:7" ht="15" hidden="1" thickBot="1">
      <c r="A5255" s="987"/>
      <c r="B5255" s="988"/>
      <c r="C5255" s="989"/>
      <c r="D5255" s="990"/>
      <c r="E5255" s="990"/>
      <c r="F5255" s="990"/>
      <c r="G5255" s="14"/>
    </row>
    <row r="5256" spans="1:7" ht="15" hidden="1" thickBot="1">
      <c r="A5256" s="991"/>
      <c r="B5256" s="991"/>
      <c r="C5256" s="991"/>
      <c r="D5256" s="992"/>
      <c r="E5256" s="993"/>
      <c r="F5256" s="993"/>
      <c r="G5256" s="112"/>
    </row>
    <row r="5257" spans="1:7" hidden="1">
      <c r="A5257" s="49"/>
      <c r="B5257" s="49"/>
      <c r="C5257" s="49"/>
      <c r="D5257" s="49"/>
      <c r="F5257" s="307"/>
      <c r="G5257" s="49"/>
    </row>
    <row r="5258" spans="1:7" hidden="1">
      <c r="A5258" s="49"/>
      <c r="B5258" s="49"/>
      <c r="C5258" s="49"/>
      <c r="D5258" s="49"/>
      <c r="F5258" s="307"/>
      <c r="G5258" s="49"/>
    </row>
    <row r="5259" spans="1:7" ht="15" hidden="1" thickBot="1">
      <c r="A5259" s="1116"/>
      <c r="B5259" s="1117"/>
      <c r="C5259" s="1117"/>
      <c r="D5259" s="1117"/>
      <c r="E5259" s="1117"/>
      <c r="F5259" s="1117"/>
      <c r="G5259" s="1118"/>
    </row>
    <row r="5260" spans="1:7" ht="15" hidden="1" thickBot="1">
      <c r="A5260" s="950"/>
      <c r="B5260" s="951"/>
      <c r="C5260" s="951"/>
      <c r="D5260" s="951"/>
      <c r="E5260" s="952"/>
      <c r="F5260" s="272"/>
      <c r="G5260" s="43"/>
    </row>
    <row r="5261" spans="1:7" ht="15" hidden="1" customHeight="1" thickBot="1">
      <c r="A5261" s="953"/>
      <c r="B5261" s="954"/>
      <c r="C5261" s="954"/>
      <c r="D5261" s="954"/>
      <c r="E5261" s="955"/>
      <c r="F5261" s="273"/>
      <c r="G5261" s="45"/>
    </row>
    <row r="5262" spans="1:7" ht="15" hidden="1" thickBot="1">
      <c r="A5262" s="956"/>
      <c r="B5262" s="957"/>
      <c r="C5262" s="957"/>
      <c r="D5262" s="957"/>
      <c r="E5262" s="958"/>
      <c r="F5262" s="273"/>
      <c r="G5262" s="46"/>
    </row>
    <row r="5263" spans="1:7" ht="15" hidden="1" thickBot="1">
      <c r="A5263" s="959"/>
      <c r="B5263" s="960"/>
      <c r="C5263" s="960"/>
      <c r="D5263" s="960"/>
      <c r="E5263" s="961"/>
      <c r="F5263" s="274"/>
      <c r="G5263" s="48"/>
    </row>
    <row r="5264" spans="1:7" ht="15" hidden="1" thickBot="1">
      <c r="A5264" s="1119"/>
      <c r="B5264" s="1033"/>
      <c r="C5264" s="1034"/>
      <c r="D5264" s="1034"/>
      <c r="E5264" s="1034"/>
      <c r="F5264" s="1034"/>
      <c r="G5264" s="1120"/>
    </row>
    <row r="5265" spans="1:7" ht="15" hidden="1" thickBot="1">
      <c r="A5265" s="1114"/>
      <c r="B5265" s="913"/>
      <c r="C5265" s="914"/>
      <c r="D5265" s="95"/>
      <c r="E5265" s="242"/>
      <c r="F5265" s="286"/>
      <c r="G5265" s="97"/>
    </row>
    <row r="5266" spans="1:7" hidden="1">
      <c r="A5266" s="195"/>
      <c r="B5266" s="930"/>
      <c r="C5266" s="931"/>
      <c r="D5266" s="88"/>
      <c r="E5266" s="251"/>
      <c r="F5266" s="284"/>
      <c r="G5266" s="90"/>
    </row>
    <row r="5267" spans="1:7" hidden="1">
      <c r="A5267" s="196"/>
      <c r="B5267" s="968"/>
      <c r="C5267" s="969"/>
      <c r="D5267" s="92"/>
      <c r="E5267" s="252"/>
      <c r="F5267" s="285"/>
      <c r="G5267" s="94"/>
    </row>
    <row r="5268" spans="1:7" hidden="1">
      <c r="A5268" s="196"/>
      <c r="B5268" s="968"/>
      <c r="C5268" s="969"/>
      <c r="D5268" s="92"/>
      <c r="E5268" s="252"/>
      <c r="F5268" s="285"/>
      <c r="G5268" s="94"/>
    </row>
    <row r="5269" spans="1:7" ht="15" hidden="1" thickBot="1">
      <c r="A5269" s="1109"/>
      <c r="B5269" s="971"/>
      <c r="C5269" s="972"/>
      <c r="D5269" s="1110"/>
      <c r="E5269" s="1111"/>
      <c r="F5269" s="1112"/>
      <c r="G5269" s="13"/>
    </row>
    <row r="5270" spans="1:7" ht="15" hidden="1" thickBot="1">
      <c r="A5270" s="1113"/>
      <c r="B5270" s="910"/>
      <c r="C5270" s="911"/>
      <c r="D5270" s="911"/>
      <c r="E5270" s="911"/>
      <c r="F5270" s="911"/>
      <c r="G5270" s="1115"/>
    </row>
    <row r="5271" spans="1:7" ht="15" hidden="1" thickBot="1">
      <c r="A5271" s="1114"/>
      <c r="B5271" s="913"/>
      <c r="C5271" s="914"/>
      <c r="D5271" s="95"/>
      <c r="E5271" s="242"/>
      <c r="F5271" s="286"/>
      <c r="G5271" s="97"/>
    </row>
    <row r="5272" spans="1:7" hidden="1">
      <c r="A5272" s="197"/>
      <c r="B5272" s="985"/>
      <c r="C5272" s="986"/>
      <c r="D5272" s="99"/>
      <c r="E5272" s="253"/>
      <c r="F5272" s="287"/>
      <c r="G5272" s="102"/>
    </row>
    <row r="5273" spans="1:7" hidden="1">
      <c r="A5273" s="197"/>
      <c r="B5273" s="928"/>
      <c r="C5273" s="929"/>
      <c r="D5273" s="92"/>
      <c r="E5273" s="252"/>
      <c r="F5273" s="287"/>
      <c r="G5273" s="102"/>
    </row>
    <row r="5274" spans="1:7" hidden="1">
      <c r="A5274" s="197"/>
      <c r="B5274" s="928"/>
      <c r="C5274" s="929"/>
      <c r="D5274" s="99"/>
      <c r="E5274" s="253"/>
      <c r="F5274" s="287"/>
      <c r="G5274" s="102"/>
    </row>
    <row r="5275" spans="1:7" hidden="1">
      <c r="A5275" s="197"/>
      <c r="B5275" s="928"/>
      <c r="C5275" s="929"/>
      <c r="D5275" s="99"/>
      <c r="E5275" s="253"/>
      <c r="F5275" s="287"/>
      <c r="G5275" s="102"/>
    </row>
    <row r="5276" spans="1:7" hidden="1">
      <c r="A5276" s="197"/>
      <c r="B5276" s="928"/>
      <c r="C5276" s="929"/>
      <c r="D5276" s="99"/>
      <c r="E5276" s="253"/>
      <c r="F5276" s="287"/>
      <c r="G5276" s="102"/>
    </row>
    <row r="5277" spans="1:7" hidden="1">
      <c r="A5277" s="197"/>
      <c r="B5277" s="928"/>
      <c r="C5277" s="929"/>
      <c r="D5277" s="99"/>
      <c r="E5277" s="253"/>
      <c r="F5277" s="287"/>
      <c r="G5277" s="102"/>
    </row>
    <row r="5278" spans="1:7" hidden="1">
      <c r="A5278" s="197"/>
      <c r="B5278" s="928"/>
      <c r="C5278" s="929"/>
      <c r="D5278" s="99"/>
      <c r="E5278" s="253"/>
      <c r="F5278" s="287"/>
      <c r="G5278" s="102"/>
    </row>
    <row r="5279" spans="1:7" hidden="1">
      <c r="A5279" s="197"/>
      <c r="B5279" s="928"/>
      <c r="C5279" s="929"/>
      <c r="D5279" s="99"/>
      <c r="E5279" s="253"/>
      <c r="F5279" s="287"/>
      <c r="G5279" s="102"/>
    </row>
    <row r="5280" spans="1:7" hidden="1">
      <c r="A5280" s="197"/>
      <c r="B5280" s="928"/>
      <c r="C5280" s="929"/>
      <c r="D5280" s="99"/>
      <c r="E5280" s="252"/>
      <c r="F5280" s="287"/>
      <c r="G5280" s="102"/>
    </row>
    <row r="5281" spans="1:7" hidden="1">
      <c r="A5281" s="197"/>
      <c r="B5281" s="928"/>
      <c r="C5281" s="929"/>
      <c r="D5281" s="99"/>
      <c r="E5281" s="253"/>
      <c r="F5281" s="287"/>
      <c r="G5281" s="102"/>
    </row>
    <row r="5282" spans="1:7" hidden="1">
      <c r="A5282" s="197"/>
      <c r="B5282" s="928"/>
      <c r="C5282" s="929"/>
      <c r="D5282" s="99"/>
      <c r="E5282" s="253"/>
      <c r="F5282" s="287"/>
      <c r="G5282" s="102"/>
    </row>
    <row r="5283" spans="1:7" hidden="1">
      <c r="A5283" s="197"/>
      <c r="B5283" s="928"/>
      <c r="C5283" s="929"/>
      <c r="D5283" s="99"/>
      <c r="E5283" s="253"/>
      <c r="F5283" s="287"/>
      <c r="G5283" s="102"/>
    </row>
    <row r="5284" spans="1:7" hidden="1">
      <c r="A5284" s="197"/>
      <c r="B5284" s="928"/>
      <c r="C5284" s="929"/>
      <c r="D5284" s="99"/>
      <c r="E5284" s="253"/>
      <c r="F5284" s="287"/>
      <c r="G5284" s="102"/>
    </row>
    <row r="5285" spans="1:7" hidden="1">
      <c r="A5285" s="197"/>
      <c r="B5285" s="928"/>
      <c r="C5285" s="929"/>
      <c r="D5285" s="99"/>
      <c r="E5285" s="253"/>
      <c r="F5285" s="287"/>
      <c r="G5285" s="102"/>
    </row>
    <row r="5286" spans="1:7" ht="15" hidden="1" thickBot="1">
      <c r="A5286" s="1121"/>
      <c r="B5286" s="1122"/>
      <c r="C5286" s="1123"/>
      <c r="D5286" s="1124"/>
      <c r="E5286" s="1125"/>
      <c r="F5286" s="1126"/>
      <c r="G5286" s="13"/>
    </row>
    <row r="5287" spans="1:7" ht="15" hidden="1" thickBot="1">
      <c r="A5287" s="1113"/>
      <c r="B5287" s="910"/>
      <c r="C5287" s="911"/>
      <c r="D5287" s="911"/>
      <c r="E5287" s="911"/>
      <c r="F5287" s="911"/>
      <c r="G5287" s="1115"/>
    </row>
    <row r="5288" spans="1:7" ht="15" hidden="1" thickBot="1">
      <c r="A5288" s="1114"/>
      <c r="B5288" s="913"/>
      <c r="C5288" s="914"/>
      <c r="D5288" s="95"/>
      <c r="E5288" s="242"/>
      <c r="F5288" s="286"/>
      <c r="G5288" s="97"/>
    </row>
    <row r="5289" spans="1:7" ht="15" hidden="1" thickBot="1">
      <c r="A5289" s="198"/>
      <c r="B5289" s="938"/>
      <c r="C5289" s="939"/>
      <c r="D5289" s="104"/>
      <c r="E5289" s="247"/>
      <c r="F5289" s="288"/>
      <c r="G5289" s="106"/>
    </row>
    <row r="5290" spans="1:7" ht="15" hidden="1" thickBot="1">
      <c r="A5290" s="198"/>
      <c r="B5290" s="940"/>
      <c r="C5290" s="941"/>
      <c r="D5290" s="157"/>
      <c r="E5290" s="259"/>
      <c r="F5290" s="288"/>
      <c r="G5290" s="106"/>
    </row>
    <row r="5291" spans="1:7" ht="15" hidden="1" thickBot="1">
      <c r="A5291" s="1135"/>
      <c r="B5291" s="945"/>
      <c r="C5291" s="946"/>
      <c r="D5291" s="947"/>
      <c r="E5291" s="948"/>
      <c r="F5291" s="949"/>
      <c r="G5291" s="13"/>
    </row>
    <row r="5292" spans="1:7" ht="15" hidden="1" thickBot="1">
      <c r="A5292" s="1113"/>
      <c r="B5292" s="910"/>
      <c r="C5292" s="911"/>
      <c r="D5292" s="911"/>
      <c r="E5292" s="911"/>
      <c r="F5292" s="911"/>
      <c r="G5292" s="1115"/>
    </row>
    <row r="5293" spans="1:7" ht="15" hidden="1" thickBot="1">
      <c r="A5293" s="1114"/>
      <c r="B5293" s="913"/>
      <c r="C5293" s="914"/>
      <c r="D5293" s="95"/>
      <c r="E5293" s="242"/>
      <c r="F5293" s="289"/>
      <c r="G5293" s="97"/>
    </row>
    <row r="5294" spans="1:7" ht="15" hidden="1" thickBot="1">
      <c r="A5294" s="199"/>
      <c r="B5294" s="985"/>
      <c r="C5294" s="986"/>
      <c r="D5294" s="109"/>
      <c r="E5294" s="254"/>
      <c r="F5294" s="290"/>
      <c r="G5294" s="111"/>
    </row>
    <row r="5295" spans="1:7" hidden="1">
      <c r="A5295" s="199"/>
      <c r="B5295" s="985"/>
      <c r="C5295" s="986"/>
      <c r="D5295" s="109"/>
      <c r="E5295" s="254"/>
      <c r="F5295" s="290"/>
      <c r="G5295" s="111"/>
    </row>
    <row r="5296" spans="1:7" ht="15" hidden="1" thickBot="1">
      <c r="A5296" s="1127"/>
      <c r="B5296" s="1128"/>
      <c r="C5296" s="1129"/>
      <c r="D5296" s="1130"/>
      <c r="E5296" s="1131"/>
      <c r="F5296" s="1132"/>
      <c r="G5296" s="14"/>
    </row>
    <row r="5297" spans="1:7" ht="15" hidden="1" thickBot="1">
      <c r="A5297" s="1133"/>
      <c r="B5297" s="991"/>
      <c r="C5297" s="1134"/>
      <c r="D5297" s="923"/>
      <c r="E5297" s="924"/>
      <c r="F5297" s="925"/>
      <c r="G5297" s="112"/>
    </row>
    <row r="5298" spans="1:7" hidden="1">
      <c r="A5298" s="49"/>
      <c r="B5298" s="49"/>
      <c r="C5298" s="49"/>
      <c r="D5298" s="49"/>
      <c r="F5298" s="307"/>
      <c r="G5298" s="49"/>
    </row>
    <row r="5299" spans="1:7" hidden="1">
      <c r="A5299" s="49"/>
      <c r="B5299" s="49"/>
      <c r="C5299" s="49"/>
      <c r="D5299" s="49"/>
      <c r="F5299" s="307"/>
      <c r="G5299" s="49"/>
    </row>
    <row r="5300" spans="1:7" ht="15" hidden="1" thickBot="1">
      <c r="A5300" s="1116"/>
      <c r="B5300" s="1117"/>
      <c r="C5300" s="1117"/>
      <c r="D5300" s="1117"/>
      <c r="E5300" s="1117"/>
      <c r="F5300" s="1117"/>
      <c r="G5300" s="1118"/>
    </row>
    <row r="5301" spans="1:7" ht="15" hidden="1" thickBot="1">
      <c r="A5301" s="950"/>
      <c r="B5301" s="951"/>
      <c r="C5301" s="951"/>
      <c r="D5301" s="951"/>
      <c r="E5301" s="952"/>
      <c r="F5301" s="272"/>
      <c r="G5301" s="43"/>
    </row>
    <row r="5302" spans="1:7" ht="15" hidden="1" customHeight="1" thickBot="1">
      <c r="A5302" s="953"/>
      <c r="B5302" s="954"/>
      <c r="C5302" s="954"/>
      <c r="D5302" s="954"/>
      <c r="E5302" s="955"/>
      <c r="F5302" s="273"/>
      <c r="G5302" s="45"/>
    </row>
    <row r="5303" spans="1:7" ht="15" hidden="1" thickBot="1">
      <c r="A5303" s="956"/>
      <c r="B5303" s="957"/>
      <c r="C5303" s="957"/>
      <c r="D5303" s="957"/>
      <c r="E5303" s="958"/>
      <c r="F5303" s="273"/>
      <c r="G5303" s="46"/>
    </row>
    <row r="5304" spans="1:7" ht="15" hidden="1" thickBot="1">
      <c r="A5304" s="959"/>
      <c r="B5304" s="960"/>
      <c r="C5304" s="960"/>
      <c r="D5304" s="960"/>
      <c r="E5304" s="961"/>
      <c r="F5304" s="274"/>
      <c r="G5304" s="48"/>
    </row>
    <row r="5305" spans="1:7" ht="15" hidden="1" thickBot="1">
      <c r="A5305" s="1119"/>
      <c r="B5305" s="1033"/>
      <c r="C5305" s="1034"/>
      <c r="D5305" s="1034"/>
      <c r="E5305" s="1034"/>
      <c r="F5305" s="1034"/>
      <c r="G5305" s="1120"/>
    </row>
    <row r="5306" spans="1:7" ht="15" hidden="1" thickBot="1">
      <c r="A5306" s="1114"/>
      <c r="B5306" s="913"/>
      <c r="C5306" s="914"/>
      <c r="D5306" s="95"/>
      <c r="E5306" s="242"/>
      <c r="F5306" s="286"/>
      <c r="G5306" s="97"/>
    </row>
    <row r="5307" spans="1:7" hidden="1">
      <c r="A5307" s="195"/>
      <c r="B5307" s="930"/>
      <c r="C5307" s="931"/>
      <c r="D5307" s="88"/>
      <c r="E5307" s="251"/>
      <c r="F5307" s="284"/>
      <c r="G5307" s="90"/>
    </row>
    <row r="5308" spans="1:7" hidden="1">
      <c r="A5308" s="196"/>
      <c r="B5308" s="968"/>
      <c r="C5308" s="969"/>
      <c r="D5308" s="92"/>
      <c r="E5308" s="252"/>
      <c r="F5308" s="285"/>
      <c r="G5308" s="94"/>
    </row>
    <row r="5309" spans="1:7" hidden="1">
      <c r="A5309" s="196"/>
      <c r="B5309" s="968"/>
      <c r="C5309" s="969"/>
      <c r="D5309" s="92"/>
      <c r="E5309" s="252"/>
      <c r="F5309" s="285"/>
      <c r="G5309" s="94"/>
    </row>
    <row r="5310" spans="1:7" ht="15" hidden="1" thickBot="1">
      <c r="A5310" s="1109"/>
      <c r="B5310" s="971"/>
      <c r="C5310" s="972"/>
      <c r="D5310" s="1110"/>
      <c r="E5310" s="1111"/>
      <c r="F5310" s="1112"/>
      <c r="G5310" s="13"/>
    </row>
    <row r="5311" spans="1:7" ht="15" hidden="1" thickBot="1">
      <c r="A5311" s="1113"/>
      <c r="B5311" s="910"/>
      <c r="C5311" s="911"/>
      <c r="D5311" s="911"/>
      <c r="E5311" s="911"/>
      <c r="F5311" s="911"/>
      <c r="G5311" s="1115"/>
    </row>
    <row r="5312" spans="1:7" ht="15" hidden="1" thickBot="1">
      <c r="A5312" s="1114"/>
      <c r="B5312" s="913"/>
      <c r="C5312" s="914"/>
      <c r="D5312" s="95"/>
      <c r="E5312" s="242"/>
      <c r="F5312" s="286"/>
      <c r="G5312" s="97"/>
    </row>
    <row r="5313" spans="1:7" hidden="1">
      <c r="A5313" s="197"/>
      <c r="B5313" s="985"/>
      <c r="C5313" s="986"/>
      <c r="D5313" s="99"/>
      <c r="E5313" s="253"/>
      <c r="F5313" s="287"/>
      <c r="G5313" s="102"/>
    </row>
    <row r="5314" spans="1:7" hidden="1">
      <c r="A5314" s="197"/>
      <c r="B5314" s="928"/>
      <c r="C5314" s="929"/>
      <c r="D5314" s="92"/>
      <c r="E5314" s="252"/>
      <c r="F5314" s="287"/>
      <c r="G5314" s="102"/>
    </row>
    <row r="5315" spans="1:7" hidden="1">
      <c r="A5315" s="197"/>
      <c r="B5315" s="928"/>
      <c r="C5315" s="929"/>
      <c r="D5315" s="99"/>
      <c r="E5315" s="253"/>
      <c r="F5315" s="287"/>
      <c r="G5315" s="102"/>
    </row>
    <row r="5316" spans="1:7" hidden="1">
      <c r="A5316" s="197"/>
      <c r="B5316" s="928"/>
      <c r="C5316" s="929"/>
      <c r="D5316" s="99"/>
      <c r="E5316" s="253"/>
      <c r="F5316" s="287"/>
      <c r="G5316" s="102"/>
    </row>
    <row r="5317" spans="1:7" hidden="1">
      <c r="A5317" s="197"/>
      <c r="B5317" s="928"/>
      <c r="C5317" s="929"/>
      <c r="D5317" s="99"/>
      <c r="E5317" s="253"/>
      <c r="F5317" s="287"/>
      <c r="G5317" s="102"/>
    </row>
    <row r="5318" spans="1:7" hidden="1">
      <c r="A5318" s="197"/>
      <c r="B5318" s="928"/>
      <c r="C5318" s="929"/>
      <c r="D5318" s="99"/>
      <c r="E5318" s="253"/>
      <c r="F5318" s="287"/>
      <c r="G5318" s="102"/>
    </row>
    <row r="5319" spans="1:7" hidden="1">
      <c r="A5319" s="197"/>
      <c r="B5319" s="928"/>
      <c r="C5319" s="929"/>
      <c r="D5319" s="99"/>
      <c r="E5319" s="253"/>
      <c r="F5319" s="287"/>
      <c r="G5319" s="102"/>
    </row>
    <row r="5320" spans="1:7" hidden="1">
      <c r="A5320" s="197"/>
      <c r="B5320" s="928"/>
      <c r="C5320" s="929"/>
      <c r="D5320" s="99"/>
      <c r="E5320" s="253"/>
      <c r="F5320" s="287"/>
      <c r="G5320" s="102"/>
    </row>
    <row r="5321" spans="1:7" hidden="1">
      <c r="A5321" s="197"/>
      <c r="B5321" s="928"/>
      <c r="C5321" s="929"/>
      <c r="D5321" s="99"/>
      <c r="E5321" s="252"/>
      <c r="F5321" s="287"/>
      <c r="G5321" s="102"/>
    </row>
    <row r="5322" spans="1:7" hidden="1">
      <c r="A5322" s="197"/>
      <c r="B5322" s="928"/>
      <c r="C5322" s="929"/>
      <c r="D5322" s="99"/>
      <c r="E5322" s="253"/>
      <c r="F5322" s="287"/>
      <c r="G5322" s="102"/>
    </row>
    <row r="5323" spans="1:7" hidden="1">
      <c r="A5323" s="197"/>
      <c r="B5323" s="928"/>
      <c r="C5323" s="929"/>
      <c r="D5323" s="99"/>
      <c r="E5323" s="253"/>
      <c r="F5323" s="287"/>
      <c r="G5323" s="102"/>
    </row>
    <row r="5324" spans="1:7" hidden="1">
      <c r="A5324" s="197"/>
      <c r="B5324" s="928"/>
      <c r="C5324" s="929"/>
      <c r="D5324" s="99"/>
      <c r="E5324" s="253"/>
      <c r="F5324" s="287"/>
      <c r="G5324" s="102"/>
    </row>
    <row r="5325" spans="1:7" hidden="1">
      <c r="A5325" s="197"/>
      <c r="B5325" s="928"/>
      <c r="C5325" s="929"/>
      <c r="D5325" s="99"/>
      <c r="E5325" s="253"/>
      <c r="F5325" s="287"/>
      <c r="G5325" s="102"/>
    </row>
    <row r="5326" spans="1:7" hidden="1">
      <c r="A5326" s="197"/>
      <c r="B5326" s="928"/>
      <c r="C5326" s="929"/>
      <c r="D5326" s="99"/>
      <c r="E5326" s="253"/>
      <c r="F5326" s="287"/>
      <c r="G5326" s="102"/>
    </row>
    <row r="5327" spans="1:7" ht="15" hidden="1" thickBot="1">
      <c r="A5327" s="1121"/>
      <c r="B5327" s="1122"/>
      <c r="C5327" s="1123"/>
      <c r="D5327" s="1124"/>
      <c r="E5327" s="1125"/>
      <c r="F5327" s="1126"/>
      <c r="G5327" s="13"/>
    </row>
    <row r="5328" spans="1:7" ht="15" hidden="1" thickBot="1">
      <c r="A5328" s="1113"/>
      <c r="B5328" s="910"/>
      <c r="C5328" s="911"/>
      <c r="D5328" s="911"/>
      <c r="E5328" s="911"/>
      <c r="F5328" s="911"/>
      <c r="G5328" s="1115"/>
    </row>
    <row r="5329" spans="1:7" ht="15" hidden="1" thickBot="1">
      <c r="A5329" s="1114"/>
      <c r="B5329" s="913"/>
      <c r="C5329" s="914"/>
      <c r="D5329" s="95"/>
      <c r="E5329" s="242"/>
      <c r="F5329" s="286"/>
      <c r="G5329" s="97"/>
    </row>
    <row r="5330" spans="1:7" ht="15" hidden="1" thickBot="1">
      <c r="A5330" s="198"/>
      <c r="B5330" s="1095"/>
      <c r="C5330" s="1096"/>
      <c r="D5330" s="104"/>
      <c r="E5330" s="247"/>
      <c r="F5330" s="288"/>
      <c r="G5330" s="106"/>
    </row>
    <row r="5331" spans="1:7" ht="15" hidden="1" thickBot="1">
      <c r="A5331" s="198"/>
      <c r="B5331" s="1136"/>
      <c r="C5331" s="1137"/>
      <c r="D5331" s="104"/>
      <c r="E5331" s="247"/>
      <c r="F5331" s="288"/>
      <c r="G5331" s="106"/>
    </row>
    <row r="5332" spans="1:7" ht="15" hidden="1" thickBot="1">
      <c r="A5332" s="1135"/>
      <c r="B5332" s="945"/>
      <c r="C5332" s="946"/>
      <c r="D5332" s="947"/>
      <c r="E5332" s="948"/>
      <c r="F5332" s="949"/>
      <c r="G5332" s="13"/>
    </row>
    <row r="5333" spans="1:7" ht="15" hidden="1" thickBot="1">
      <c r="A5333" s="1113"/>
      <c r="B5333" s="910"/>
      <c r="C5333" s="911"/>
      <c r="D5333" s="911"/>
      <c r="E5333" s="911"/>
      <c r="F5333" s="911"/>
      <c r="G5333" s="1115"/>
    </row>
    <row r="5334" spans="1:7" ht="15" hidden="1" thickBot="1">
      <c r="A5334" s="1114"/>
      <c r="B5334" s="913"/>
      <c r="C5334" s="914"/>
      <c r="D5334" s="95"/>
      <c r="E5334" s="242"/>
      <c r="F5334" s="289"/>
      <c r="G5334" s="97"/>
    </row>
    <row r="5335" spans="1:7" ht="15" hidden="1" thickBot="1">
      <c r="A5335" s="199"/>
      <c r="B5335" s="985"/>
      <c r="C5335" s="986"/>
      <c r="D5335" s="109"/>
      <c r="E5335" s="254"/>
      <c r="F5335" s="290"/>
      <c r="G5335" s="111"/>
    </row>
    <row r="5336" spans="1:7" hidden="1">
      <c r="A5336" s="199"/>
      <c r="B5336" s="985"/>
      <c r="C5336" s="986"/>
      <c r="D5336" s="109"/>
      <c r="E5336" s="254"/>
      <c r="F5336" s="290"/>
      <c r="G5336" s="111"/>
    </row>
    <row r="5337" spans="1:7" ht="15" hidden="1" thickBot="1">
      <c r="A5337" s="1127"/>
      <c r="B5337" s="1128"/>
      <c r="C5337" s="1129"/>
      <c r="D5337" s="1130"/>
      <c r="E5337" s="1131"/>
      <c r="F5337" s="1132"/>
      <c r="G5337" s="14"/>
    </row>
    <row r="5338" spans="1:7" ht="15" hidden="1" thickBot="1">
      <c r="A5338" s="1133"/>
      <c r="B5338" s="991"/>
      <c r="C5338" s="1134"/>
      <c r="D5338" s="923"/>
      <c r="E5338" s="924"/>
      <c r="F5338" s="925"/>
      <c r="G5338" s="112"/>
    </row>
    <row r="5339" spans="1:7" hidden="1">
      <c r="A5339" s="49"/>
      <c r="B5339" s="49"/>
      <c r="C5339" s="49"/>
      <c r="D5339" s="49"/>
      <c r="F5339" s="307"/>
      <c r="G5339" s="49"/>
    </row>
    <row r="5340" spans="1:7" hidden="1">
      <c r="A5340" s="49"/>
      <c r="B5340" s="49"/>
      <c r="C5340" s="49"/>
      <c r="D5340" s="49"/>
      <c r="F5340" s="307"/>
      <c r="G5340" s="49"/>
    </row>
    <row r="5341" spans="1:7" ht="15" hidden="1" thickBot="1">
      <c r="A5341" s="1116"/>
      <c r="B5341" s="1117"/>
      <c r="C5341" s="1117"/>
      <c r="D5341" s="1117"/>
      <c r="E5341" s="1117"/>
      <c r="F5341" s="1117"/>
      <c r="G5341" s="1118"/>
    </row>
    <row r="5342" spans="1:7" ht="15" hidden="1" thickBot="1">
      <c r="A5342" s="950"/>
      <c r="B5342" s="951"/>
      <c r="C5342" s="951"/>
      <c r="D5342" s="951"/>
      <c r="E5342" s="952"/>
      <c r="F5342" s="272"/>
      <c r="G5342" s="43"/>
    </row>
    <row r="5343" spans="1:7" ht="15" hidden="1" customHeight="1" thickBot="1">
      <c r="A5343" s="953"/>
      <c r="B5343" s="954"/>
      <c r="C5343" s="954"/>
      <c r="D5343" s="954"/>
      <c r="E5343" s="955"/>
      <c r="F5343" s="273"/>
      <c r="G5343" s="45"/>
    </row>
    <row r="5344" spans="1:7" ht="15" hidden="1" thickBot="1">
      <c r="A5344" s="956"/>
      <c r="B5344" s="957"/>
      <c r="C5344" s="957"/>
      <c r="D5344" s="957"/>
      <c r="E5344" s="958"/>
      <c r="F5344" s="273"/>
      <c r="G5344" s="46"/>
    </row>
    <row r="5345" spans="1:7" ht="15" hidden="1" thickBot="1">
      <c r="A5345" s="959"/>
      <c r="B5345" s="960"/>
      <c r="C5345" s="960"/>
      <c r="D5345" s="960"/>
      <c r="E5345" s="961"/>
      <c r="F5345" s="274"/>
      <c r="G5345" s="48"/>
    </row>
    <row r="5346" spans="1:7" ht="15" hidden="1" thickBot="1">
      <c r="A5346" s="1119"/>
      <c r="B5346" s="1033"/>
      <c r="C5346" s="1034"/>
      <c r="D5346" s="1034"/>
      <c r="E5346" s="1034"/>
      <c r="F5346" s="1034"/>
      <c r="G5346" s="1120"/>
    </row>
    <row r="5347" spans="1:7" ht="15" hidden="1" thickBot="1">
      <c r="A5347" s="1114"/>
      <c r="B5347" s="913"/>
      <c r="C5347" s="914"/>
      <c r="D5347" s="95"/>
      <c r="E5347" s="242"/>
      <c r="F5347" s="286"/>
      <c r="G5347" s="97"/>
    </row>
    <row r="5348" spans="1:7" hidden="1">
      <c r="A5348" s="195"/>
      <c r="B5348" s="930"/>
      <c r="C5348" s="931"/>
      <c r="D5348" s="88"/>
      <c r="E5348" s="251"/>
      <c r="F5348" s="284"/>
      <c r="G5348" s="90"/>
    </row>
    <row r="5349" spans="1:7" hidden="1">
      <c r="A5349" s="196"/>
      <c r="B5349" s="968"/>
      <c r="C5349" s="969"/>
      <c r="D5349" s="92"/>
      <c r="E5349" s="252"/>
      <c r="F5349" s="285"/>
      <c r="G5349" s="94"/>
    </row>
    <row r="5350" spans="1:7" hidden="1">
      <c r="A5350" s="196"/>
      <c r="B5350" s="968"/>
      <c r="C5350" s="969"/>
      <c r="D5350" s="92"/>
      <c r="E5350" s="252"/>
      <c r="F5350" s="285"/>
      <c r="G5350" s="94"/>
    </row>
    <row r="5351" spans="1:7" ht="15" hidden="1" thickBot="1">
      <c r="A5351" s="1109"/>
      <c r="B5351" s="971"/>
      <c r="C5351" s="972"/>
      <c r="D5351" s="1110"/>
      <c r="E5351" s="1111"/>
      <c r="F5351" s="1112"/>
      <c r="G5351" s="13"/>
    </row>
    <row r="5352" spans="1:7" ht="15" hidden="1" thickBot="1">
      <c r="A5352" s="1113"/>
      <c r="B5352" s="910"/>
      <c r="C5352" s="911"/>
      <c r="D5352" s="911"/>
      <c r="E5352" s="911"/>
      <c r="F5352" s="911"/>
      <c r="G5352" s="1115"/>
    </row>
    <row r="5353" spans="1:7" ht="15" hidden="1" thickBot="1">
      <c r="A5353" s="1114"/>
      <c r="B5353" s="913"/>
      <c r="C5353" s="914"/>
      <c r="D5353" s="95"/>
      <c r="E5353" s="242"/>
      <c r="F5353" s="286"/>
      <c r="G5353" s="97"/>
    </row>
    <row r="5354" spans="1:7" hidden="1">
      <c r="A5354" s="197"/>
      <c r="B5354" s="985"/>
      <c r="C5354" s="986"/>
      <c r="D5354" s="99"/>
      <c r="E5354" s="253"/>
      <c r="F5354" s="287"/>
      <c r="G5354" s="102"/>
    </row>
    <row r="5355" spans="1:7" ht="15" hidden="1" thickBot="1">
      <c r="A5355" s="1121"/>
      <c r="B5355" s="1122"/>
      <c r="C5355" s="1123"/>
      <c r="D5355" s="1124"/>
      <c r="E5355" s="1125"/>
      <c r="F5355" s="1126"/>
      <c r="G5355" s="13"/>
    </row>
    <row r="5356" spans="1:7" ht="15" hidden="1" thickBot="1">
      <c r="A5356" s="1113"/>
      <c r="B5356" s="910"/>
      <c r="C5356" s="911"/>
      <c r="D5356" s="911"/>
      <c r="E5356" s="911"/>
      <c r="F5356" s="911"/>
      <c r="G5356" s="1115"/>
    </row>
    <row r="5357" spans="1:7" ht="15" hidden="1" thickBot="1">
      <c r="A5357" s="1114"/>
      <c r="B5357" s="913"/>
      <c r="C5357" s="914"/>
      <c r="D5357" s="95"/>
      <c r="E5357" s="242"/>
      <c r="F5357" s="286"/>
      <c r="G5357" s="97"/>
    </row>
    <row r="5358" spans="1:7" ht="15" hidden="1" thickBot="1">
      <c r="A5358" s="198"/>
      <c r="B5358" s="1095"/>
      <c r="C5358" s="1096"/>
      <c r="D5358" s="104"/>
      <c r="E5358" s="247"/>
      <c r="F5358" s="288"/>
      <c r="G5358" s="106"/>
    </row>
    <row r="5359" spans="1:7" ht="15" hidden="1" thickBot="1">
      <c r="A5359" s="198"/>
      <c r="B5359" s="1136"/>
      <c r="C5359" s="1137"/>
      <c r="D5359" s="104"/>
      <c r="E5359" s="247"/>
      <c r="F5359" s="288"/>
      <c r="G5359" s="106"/>
    </row>
    <row r="5360" spans="1:7" ht="15" hidden="1" thickBot="1">
      <c r="A5360" s="1135"/>
      <c r="B5360" s="945"/>
      <c r="C5360" s="946"/>
      <c r="D5360" s="947"/>
      <c r="E5360" s="948"/>
      <c r="F5360" s="949"/>
      <c r="G5360" s="13"/>
    </row>
    <row r="5361" spans="1:7" ht="15" hidden="1" thickBot="1">
      <c r="A5361" s="1113"/>
      <c r="B5361" s="910"/>
      <c r="C5361" s="911"/>
      <c r="D5361" s="911"/>
      <c r="E5361" s="911"/>
      <c r="F5361" s="911"/>
      <c r="G5361" s="1115"/>
    </row>
    <row r="5362" spans="1:7" ht="15" hidden="1" thickBot="1">
      <c r="A5362" s="1114"/>
      <c r="B5362" s="913"/>
      <c r="C5362" s="914"/>
      <c r="D5362" s="95"/>
      <c r="E5362" s="242"/>
      <c r="F5362" s="289"/>
      <c r="G5362" s="97"/>
    </row>
    <row r="5363" spans="1:7" ht="15" hidden="1" thickBot="1">
      <c r="A5363" s="199"/>
      <c r="B5363" s="985"/>
      <c r="C5363" s="986"/>
      <c r="D5363" s="109"/>
      <c r="E5363" s="254"/>
      <c r="F5363" s="290"/>
      <c r="G5363" s="111"/>
    </row>
    <row r="5364" spans="1:7" hidden="1">
      <c r="A5364" s="199"/>
      <c r="B5364" s="985"/>
      <c r="C5364" s="986"/>
      <c r="D5364" s="109"/>
      <c r="E5364" s="254"/>
      <c r="F5364" s="290"/>
      <c r="G5364" s="111"/>
    </row>
    <row r="5365" spans="1:7" ht="15" hidden="1" thickBot="1">
      <c r="A5365" s="1127"/>
      <c r="B5365" s="1128"/>
      <c r="C5365" s="1129"/>
      <c r="D5365" s="1130"/>
      <c r="E5365" s="1131"/>
      <c r="F5365" s="1132"/>
      <c r="G5365" s="14"/>
    </row>
    <row r="5366" spans="1:7" ht="15" hidden="1" thickBot="1">
      <c r="A5366" s="1133"/>
      <c r="B5366" s="991"/>
      <c r="C5366" s="1134"/>
      <c r="D5366" s="923"/>
      <c r="E5366" s="924"/>
      <c r="F5366" s="925"/>
      <c r="G5366" s="112"/>
    </row>
    <row r="5367" spans="1:7" hidden="1">
      <c r="A5367" s="49"/>
      <c r="B5367" s="49"/>
      <c r="C5367" s="49"/>
      <c r="D5367" s="49"/>
      <c r="F5367" s="307"/>
      <c r="G5367" s="49"/>
    </row>
    <row r="5368" spans="1:7" hidden="1">
      <c r="A5368" s="49"/>
      <c r="B5368" s="49"/>
      <c r="C5368" s="49"/>
      <c r="D5368" s="49"/>
      <c r="F5368" s="307"/>
      <c r="G5368" s="49"/>
    </row>
    <row r="5369" spans="1:7" ht="15" hidden="1" thickBot="1">
      <c r="A5369" s="1036"/>
      <c r="B5369" s="1037"/>
      <c r="C5369" s="1037"/>
      <c r="D5369" s="1037"/>
      <c r="E5369" s="1037"/>
      <c r="F5369" s="1037"/>
      <c r="G5369" s="1038"/>
    </row>
    <row r="5370" spans="1:7" ht="15" hidden="1" thickBot="1">
      <c r="A5370" s="1006"/>
      <c r="B5370" s="1007"/>
      <c r="C5370" s="1007"/>
      <c r="D5370" s="1007"/>
      <c r="E5370" s="1007"/>
      <c r="F5370" s="272"/>
      <c r="G5370" s="43"/>
    </row>
    <row r="5371" spans="1:7" ht="15" hidden="1" customHeight="1" thickBot="1">
      <c r="A5371" s="953"/>
      <c r="B5371" s="954"/>
      <c r="C5371" s="954"/>
      <c r="D5371" s="954"/>
      <c r="E5371" s="955"/>
      <c r="F5371" s="273"/>
      <c r="G5371" s="45"/>
    </row>
    <row r="5372" spans="1:7" ht="15" hidden="1" thickBot="1">
      <c r="A5372" s="956"/>
      <c r="B5372" s="957"/>
      <c r="C5372" s="957"/>
      <c r="D5372" s="957"/>
      <c r="E5372" s="958"/>
      <c r="F5372" s="273"/>
      <c r="G5372" s="46"/>
    </row>
    <row r="5373" spans="1:7" ht="15" hidden="1" thickBot="1">
      <c r="A5373" s="959"/>
      <c r="B5373" s="960"/>
      <c r="C5373" s="960"/>
      <c r="D5373" s="960"/>
      <c r="E5373" s="961"/>
      <c r="F5373" s="274"/>
      <c r="G5373" s="48"/>
    </row>
    <row r="5374" spans="1:7" ht="15" hidden="1" thickBot="1">
      <c r="A5374" s="1008"/>
      <c r="B5374" s="1009"/>
      <c r="C5374" s="1009"/>
      <c r="D5374" s="1009"/>
      <c r="E5374" s="1009"/>
      <c r="F5374" s="1009"/>
      <c r="G5374" s="1010"/>
    </row>
    <row r="5375" spans="1:7" ht="15" hidden="1" thickBot="1">
      <c r="A5375" s="982"/>
      <c r="B5375" s="913"/>
      <c r="C5375" s="914"/>
      <c r="D5375" s="95"/>
      <c r="E5375" s="242"/>
      <c r="F5375" s="286"/>
      <c r="G5375" s="97"/>
    </row>
    <row r="5376" spans="1:7" hidden="1">
      <c r="A5376" s="87"/>
      <c r="B5376" s="930"/>
      <c r="C5376" s="931"/>
      <c r="D5376" s="88"/>
      <c r="E5376" s="251"/>
      <c r="F5376" s="284"/>
      <c r="G5376" s="90"/>
    </row>
    <row r="5377" spans="1:7" hidden="1">
      <c r="A5377" s="91"/>
      <c r="B5377" s="968"/>
      <c r="C5377" s="969"/>
      <c r="D5377" s="92"/>
      <c r="E5377" s="252"/>
      <c r="F5377" s="285"/>
      <c r="G5377" s="94"/>
    </row>
    <row r="5378" spans="1:7" hidden="1">
      <c r="A5378" s="91"/>
      <c r="B5378" s="968"/>
      <c r="C5378" s="969"/>
      <c r="D5378" s="92"/>
      <c r="E5378" s="252"/>
      <c r="F5378" s="285"/>
      <c r="G5378" s="94"/>
    </row>
    <row r="5379" spans="1:7" ht="15" hidden="1" thickBot="1">
      <c r="A5379" s="994"/>
      <c r="B5379" s="995"/>
      <c r="C5379" s="995"/>
      <c r="D5379" s="981"/>
      <c r="E5379" s="981"/>
      <c r="F5379" s="981"/>
      <c r="G5379" s="13"/>
    </row>
    <row r="5380" spans="1:7" ht="15" hidden="1" thickBot="1">
      <c r="A5380" s="982"/>
      <c r="B5380" s="983"/>
      <c r="C5380" s="983"/>
      <c r="D5380" s="983"/>
      <c r="E5380" s="983"/>
      <c r="F5380" s="983"/>
      <c r="G5380" s="984"/>
    </row>
    <row r="5381" spans="1:7" ht="15" hidden="1" thickBot="1">
      <c r="A5381" s="982"/>
      <c r="B5381" s="913"/>
      <c r="C5381" s="914"/>
      <c r="D5381" s="95"/>
      <c r="E5381" s="242"/>
      <c r="F5381" s="286"/>
      <c r="G5381" s="97"/>
    </row>
    <row r="5382" spans="1:7" hidden="1">
      <c r="A5382" s="108"/>
      <c r="B5382" s="985"/>
      <c r="C5382" s="986"/>
      <c r="D5382" s="109"/>
      <c r="E5382" s="254"/>
      <c r="F5382" s="304"/>
      <c r="G5382" s="111"/>
    </row>
    <row r="5383" spans="1:7" ht="15" hidden="1" thickBot="1">
      <c r="A5383" s="98"/>
      <c r="B5383" s="928"/>
      <c r="C5383" s="929"/>
      <c r="D5383" s="92"/>
      <c r="E5383" s="252"/>
      <c r="F5383" s="287"/>
      <c r="G5383" s="102"/>
    </row>
    <row r="5384" spans="1:7" hidden="1">
      <c r="A5384" s="98"/>
      <c r="B5384" s="985"/>
      <c r="C5384" s="986"/>
      <c r="D5384" s="109"/>
      <c r="E5384" s="254"/>
      <c r="F5384" s="304"/>
      <c r="G5384" s="102"/>
    </row>
    <row r="5385" spans="1:7" ht="15" hidden="1" thickBot="1">
      <c r="A5385" s="996"/>
      <c r="B5385" s="997"/>
      <c r="C5385" s="998"/>
      <c r="D5385" s="981"/>
      <c r="E5385" s="981"/>
      <c r="F5385" s="981"/>
      <c r="G5385" s="13"/>
    </row>
    <row r="5386" spans="1:7" ht="15" hidden="1" thickBot="1">
      <c r="A5386" s="982"/>
      <c r="B5386" s="983"/>
      <c r="C5386" s="983"/>
      <c r="D5386" s="983"/>
      <c r="E5386" s="983"/>
      <c r="F5386" s="983"/>
      <c r="G5386" s="984"/>
    </row>
    <row r="5387" spans="1:7" ht="15" hidden="1" thickBot="1">
      <c r="A5387" s="982"/>
      <c r="B5387" s="913"/>
      <c r="C5387" s="914"/>
      <c r="D5387" s="95"/>
      <c r="E5387" s="242"/>
      <c r="F5387" s="286"/>
      <c r="G5387" s="97"/>
    </row>
    <row r="5388" spans="1:7" ht="15" hidden="1" thickBot="1">
      <c r="A5388" s="103"/>
      <c r="B5388" s="942"/>
      <c r="C5388" s="943"/>
      <c r="D5388" s="104"/>
      <c r="E5388" s="247"/>
      <c r="F5388" s="288"/>
      <c r="G5388" s="106"/>
    </row>
    <row r="5389" spans="1:7" ht="15" hidden="1" thickBot="1">
      <c r="A5389" s="978"/>
      <c r="B5389" s="979"/>
      <c r="C5389" s="980"/>
      <c r="D5389" s="981"/>
      <c r="E5389" s="981"/>
      <c r="F5389" s="981"/>
      <c r="G5389" s="13"/>
    </row>
    <row r="5390" spans="1:7" ht="15" hidden="1" thickBot="1">
      <c r="A5390" s="982"/>
      <c r="B5390" s="983"/>
      <c r="C5390" s="983"/>
      <c r="D5390" s="983"/>
      <c r="E5390" s="983"/>
      <c r="F5390" s="983"/>
      <c r="G5390" s="984"/>
    </row>
    <row r="5391" spans="1:7" ht="15" hidden="1" thickBot="1">
      <c r="A5391" s="982"/>
      <c r="B5391" s="913"/>
      <c r="C5391" s="914"/>
      <c r="D5391" s="95"/>
      <c r="E5391" s="242"/>
      <c r="F5391" s="289"/>
      <c r="G5391" s="97"/>
    </row>
    <row r="5392" spans="1:7" hidden="1">
      <c r="A5392" s="108"/>
      <c r="B5392" s="985"/>
      <c r="C5392" s="986"/>
      <c r="D5392" s="109"/>
      <c r="E5392" s="254"/>
      <c r="F5392" s="290"/>
      <c r="G5392" s="111"/>
    </row>
    <row r="5393" spans="1:7" ht="15" hidden="1" thickBot="1">
      <c r="A5393" s="987"/>
      <c r="B5393" s="988"/>
      <c r="C5393" s="989"/>
      <c r="D5393" s="990"/>
      <c r="E5393" s="990"/>
      <c r="F5393" s="990"/>
      <c r="G5393" s="14"/>
    </row>
    <row r="5394" spans="1:7" ht="15" hidden="1" thickBot="1">
      <c r="A5394" s="991"/>
      <c r="B5394" s="991"/>
      <c r="C5394" s="991"/>
      <c r="D5394" s="992"/>
      <c r="E5394" s="993"/>
      <c r="F5394" s="993"/>
      <c r="G5394" s="112"/>
    </row>
    <row r="5395" spans="1:7" hidden="1">
      <c r="A5395" s="49"/>
      <c r="B5395" s="49"/>
      <c r="C5395" s="49"/>
      <c r="D5395" s="49"/>
      <c r="F5395" s="307"/>
      <c r="G5395" s="49"/>
    </row>
    <row r="5396" spans="1:7" ht="15.75" hidden="1" thickBot="1">
      <c r="A5396" s="162"/>
      <c r="B5396" s="162"/>
      <c r="C5396" s="162"/>
      <c r="D5396" s="162"/>
      <c r="E5396" s="258"/>
      <c r="F5396" s="301"/>
      <c r="G5396" s="162"/>
    </row>
    <row r="5397" spans="1:7" ht="15" hidden="1" thickBot="1">
      <c r="A5397" s="1027"/>
      <c r="B5397" s="1028"/>
      <c r="C5397" s="1028"/>
      <c r="D5397" s="1028"/>
      <c r="E5397" s="1028"/>
      <c r="F5397" s="1028"/>
      <c r="G5397" s="1029"/>
    </row>
    <row r="5398" spans="1:7" ht="15" hidden="1" thickBot="1">
      <c r="A5398" s="950"/>
      <c r="B5398" s="951"/>
      <c r="C5398" s="951"/>
      <c r="D5398" s="951"/>
      <c r="E5398" s="952"/>
      <c r="F5398" s="272"/>
      <c r="G5398" s="43"/>
    </row>
    <row r="5399" spans="1:7" ht="15" hidden="1" customHeight="1" thickBot="1">
      <c r="A5399" s="953"/>
      <c r="B5399" s="954"/>
      <c r="C5399" s="954"/>
      <c r="D5399" s="954"/>
      <c r="E5399" s="955"/>
      <c r="F5399" s="273"/>
      <c r="G5399" s="45"/>
    </row>
    <row r="5400" spans="1:7" ht="15" hidden="1" thickBot="1">
      <c r="A5400" s="956"/>
      <c r="B5400" s="957"/>
      <c r="C5400" s="957"/>
      <c r="D5400" s="957"/>
      <c r="E5400" s="958"/>
      <c r="F5400" s="273"/>
      <c r="G5400" s="46"/>
    </row>
    <row r="5401" spans="1:7" ht="15" hidden="1" thickBot="1">
      <c r="A5401" s="959"/>
      <c r="B5401" s="960"/>
      <c r="C5401" s="960"/>
      <c r="D5401" s="960"/>
      <c r="E5401" s="961"/>
      <c r="F5401" s="274"/>
      <c r="G5401" s="48"/>
    </row>
    <row r="5402" spans="1:7" ht="15" hidden="1" thickBot="1">
      <c r="A5402" s="962"/>
      <c r="B5402" s="963"/>
      <c r="C5402" s="964"/>
      <c r="D5402" s="964"/>
      <c r="E5402" s="964"/>
      <c r="F5402" s="964"/>
      <c r="G5402" s="965"/>
    </row>
    <row r="5403" spans="1:7" ht="15" hidden="1" thickBot="1">
      <c r="A5403" s="909"/>
      <c r="B5403" s="913"/>
      <c r="C5403" s="914"/>
      <c r="D5403" s="95"/>
      <c r="E5403" s="242"/>
      <c r="F5403" s="286"/>
      <c r="G5403" s="113"/>
    </row>
    <row r="5404" spans="1:7" ht="15" hidden="1" thickBot="1">
      <c r="A5404" s="114"/>
      <c r="B5404" s="966"/>
      <c r="C5404" s="967"/>
      <c r="D5404" s="88"/>
      <c r="E5404" s="251"/>
      <c r="F5404" s="284"/>
      <c r="G5404" s="117"/>
    </row>
    <row r="5405" spans="1:7" hidden="1">
      <c r="A5405" s="154"/>
      <c r="B5405" s="968"/>
      <c r="C5405" s="969"/>
      <c r="D5405" s="171"/>
      <c r="E5405" s="260"/>
      <c r="F5405" s="285"/>
      <c r="G5405" s="149"/>
    </row>
    <row r="5406" spans="1:7" ht="15" hidden="1" thickBot="1">
      <c r="A5406" s="970"/>
      <c r="B5406" s="971"/>
      <c r="C5406" s="972"/>
      <c r="D5406" s="973"/>
      <c r="E5406" s="974"/>
      <c r="F5406" s="975"/>
      <c r="G5406" s="11"/>
    </row>
    <row r="5407" spans="1:7" ht="15" hidden="1" thickBot="1">
      <c r="A5407" s="908"/>
      <c r="B5407" s="910"/>
      <c r="C5407" s="911"/>
      <c r="D5407" s="911"/>
      <c r="E5407" s="911"/>
      <c r="F5407" s="911"/>
      <c r="G5407" s="912"/>
    </row>
    <row r="5408" spans="1:7" ht="15" hidden="1" thickBot="1">
      <c r="A5408" s="909"/>
      <c r="B5408" s="913"/>
      <c r="C5408" s="914"/>
      <c r="D5408" s="95"/>
      <c r="E5408" s="242"/>
      <c r="F5408" s="286"/>
      <c r="G5408" s="113"/>
    </row>
    <row r="5409" spans="1:7" ht="15" hidden="1" thickBot="1">
      <c r="A5409" s="122"/>
      <c r="B5409" s="976"/>
      <c r="C5409" s="977"/>
      <c r="D5409" s="88"/>
      <c r="E5409" s="251"/>
      <c r="F5409" s="284"/>
      <c r="G5409" s="149"/>
    </row>
    <row r="5410" spans="1:7" ht="15" hidden="1" thickBot="1">
      <c r="A5410" s="155"/>
      <c r="B5410" s="930"/>
      <c r="C5410" s="931"/>
      <c r="D5410" s="88"/>
      <c r="E5410" s="251"/>
      <c r="F5410" s="284"/>
      <c r="G5410" s="149"/>
    </row>
    <row r="5411" spans="1:7" ht="15" hidden="1" thickBot="1">
      <c r="A5411" s="178"/>
      <c r="B5411" s="926"/>
      <c r="C5411" s="927"/>
      <c r="D5411" s="88"/>
      <c r="E5411" s="261"/>
      <c r="F5411" s="305"/>
      <c r="G5411" s="181"/>
    </row>
    <row r="5412" spans="1:7" ht="15" hidden="1" thickBot="1">
      <c r="A5412" s="122"/>
      <c r="B5412" s="930"/>
      <c r="C5412" s="931"/>
      <c r="D5412" s="88"/>
      <c r="E5412" s="251"/>
      <c r="F5412" s="284"/>
      <c r="G5412" s="149"/>
    </row>
    <row r="5413" spans="1:7" hidden="1">
      <c r="A5413" s="155"/>
      <c r="B5413" s="930"/>
      <c r="C5413" s="931"/>
      <c r="D5413" s="88"/>
      <c r="E5413" s="251"/>
      <c r="F5413" s="284"/>
      <c r="G5413" s="149"/>
    </row>
    <row r="5414" spans="1:7" ht="15" hidden="1" thickBot="1">
      <c r="A5414" s="178"/>
      <c r="B5414" s="926"/>
      <c r="C5414" s="927"/>
      <c r="D5414" s="179"/>
      <c r="E5414" s="261"/>
      <c r="F5414" s="305"/>
      <c r="G5414" s="181"/>
    </row>
    <row r="5415" spans="1:7" ht="15" hidden="1" thickBot="1">
      <c r="A5415" s="932"/>
      <c r="B5415" s="933"/>
      <c r="C5415" s="934"/>
      <c r="D5415" s="935"/>
      <c r="E5415" s="936"/>
      <c r="F5415" s="937"/>
      <c r="G5415" s="18"/>
    </row>
    <row r="5416" spans="1:7" ht="15" hidden="1" thickBot="1">
      <c r="A5416" s="908"/>
      <c r="B5416" s="910"/>
      <c r="C5416" s="911"/>
      <c r="D5416" s="911"/>
      <c r="E5416" s="911"/>
      <c r="F5416" s="911"/>
      <c r="G5416" s="912"/>
    </row>
    <row r="5417" spans="1:7" ht="15" hidden="1" thickBot="1">
      <c r="A5417" s="909"/>
      <c r="B5417" s="913"/>
      <c r="C5417" s="914"/>
      <c r="D5417" s="95"/>
      <c r="E5417" s="242"/>
      <c r="F5417" s="286"/>
      <c r="G5417" s="113"/>
    </row>
    <row r="5418" spans="1:7" ht="15" hidden="1" thickBot="1">
      <c r="A5418" s="130"/>
      <c r="B5418" s="942"/>
      <c r="C5418" s="943"/>
      <c r="D5418" s="104"/>
      <c r="E5418" s="247"/>
      <c r="F5418" s="288"/>
      <c r="G5418" s="131"/>
    </row>
    <row r="5419" spans="1:7" ht="15" hidden="1" thickBot="1">
      <c r="A5419" s="130"/>
      <c r="B5419" s="942"/>
      <c r="C5419" s="943"/>
      <c r="D5419" s="104"/>
      <c r="E5419" s="247"/>
      <c r="F5419" s="288"/>
      <c r="G5419" s="131"/>
    </row>
    <row r="5420" spans="1:7" ht="15" hidden="1" thickBot="1">
      <c r="A5420" s="944"/>
      <c r="B5420" s="945"/>
      <c r="C5420" s="946"/>
      <c r="D5420" s="947"/>
      <c r="E5420" s="948"/>
      <c r="F5420" s="949"/>
      <c r="G5420" s="11"/>
    </row>
    <row r="5421" spans="1:7" ht="15" hidden="1" thickBot="1">
      <c r="A5421" s="908"/>
      <c r="B5421" s="910"/>
      <c r="C5421" s="911"/>
      <c r="D5421" s="911"/>
      <c r="E5421" s="911"/>
      <c r="F5421" s="911"/>
      <c r="G5421" s="912"/>
    </row>
    <row r="5422" spans="1:7" ht="15" hidden="1" thickBot="1">
      <c r="A5422" s="909"/>
      <c r="B5422" s="913"/>
      <c r="C5422" s="914"/>
      <c r="D5422" s="95"/>
      <c r="E5422" s="242"/>
      <c r="F5422" s="286"/>
      <c r="G5422" s="113"/>
    </row>
    <row r="5423" spans="1:7" ht="15" hidden="1" thickBot="1">
      <c r="A5423" s="122"/>
      <c r="B5423" s="985"/>
      <c r="C5423" s="986"/>
      <c r="D5423" s="109"/>
      <c r="E5423" s="254"/>
      <c r="F5423" s="290"/>
      <c r="G5423" s="129"/>
    </row>
    <row r="5424" spans="1:7" ht="15" hidden="1" thickBot="1">
      <c r="A5424" s="915"/>
      <c r="B5424" s="916"/>
      <c r="C5424" s="917"/>
      <c r="D5424" s="918"/>
      <c r="E5424" s="919"/>
      <c r="F5424" s="920"/>
      <c r="G5424" s="12"/>
    </row>
    <row r="5425" spans="1:7" ht="15" hidden="1" thickBot="1">
      <c r="A5425" s="921"/>
      <c r="B5425" s="922"/>
      <c r="C5425" s="922"/>
      <c r="D5425" s="923"/>
      <c r="E5425" s="924"/>
      <c r="F5425" s="925"/>
      <c r="G5425" s="112"/>
    </row>
    <row r="5426" spans="1:7" hidden="1">
      <c r="A5426" s="40"/>
      <c r="B5426" s="40"/>
      <c r="C5426" s="40"/>
      <c r="D5426" s="146"/>
      <c r="E5426" s="250"/>
      <c r="F5426" s="298"/>
      <c r="G5426" s="147"/>
    </row>
    <row r="5427" spans="1:7" ht="15.75" hidden="1" thickBot="1">
      <c r="A5427" s="162"/>
      <c r="B5427" s="162"/>
      <c r="C5427" s="162"/>
      <c r="D5427" s="162"/>
      <c r="E5427" s="258"/>
      <c r="F5427" s="301"/>
      <c r="G5427" s="162"/>
    </row>
    <row r="5428" spans="1:7" ht="15" hidden="1" thickBot="1">
      <c r="A5428" s="1027"/>
      <c r="B5428" s="1028"/>
      <c r="C5428" s="1028"/>
      <c r="D5428" s="1028"/>
      <c r="E5428" s="1028"/>
      <c r="F5428" s="1028"/>
      <c r="G5428" s="1029"/>
    </row>
    <row r="5429" spans="1:7" ht="15" hidden="1" thickBot="1">
      <c r="A5429" s="950"/>
      <c r="B5429" s="951"/>
      <c r="C5429" s="951"/>
      <c r="D5429" s="951"/>
      <c r="E5429" s="952"/>
      <c r="F5429" s="272"/>
      <c r="G5429" s="191"/>
    </row>
    <row r="5430" spans="1:7" ht="15" hidden="1" customHeight="1" thickBot="1">
      <c r="A5430" s="953"/>
      <c r="B5430" s="954"/>
      <c r="C5430" s="954"/>
      <c r="D5430" s="954"/>
      <c r="E5430" s="955"/>
      <c r="F5430" s="273"/>
      <c r="G5430" s="45"/>
    </row>
    <row r="5431" spans="1:7" ht="15" hidden="1" thickBot="1">
      <c r="A5431" s="956"/>
      <c r="B5431" s="957"/>
      <c r="C5431" s="957"/>
      <c r="D5431" s="957"/>
      <c r="E5431" s="958"/>
      <c r="F5431" s="273"/>
      <c r="G5431" s="46"/>
    </row>
    <row r="5432" spans="1:7" ht="15" hidden="1" thickBot="1">
      <c r="A5432" s="959"/>
      <c r="B5432" s="960"/>
      <c r="C5432" s="960"/>
      <c r="D5432" s="960"/>
      <c r="E5432" s="961"/>
      <c r="F5432" s="274"/>
      <c r="G5432" s="48"/>
    </row>
    <row r="5433" spans="1:7" ht="15" hidden="1" thickBot="1">
      <c r="A5433" s="962"/>
      <c r="B5433" s="963"/>
      <c r="C5433" s="964"/>
      <c r="D5433" s="964"/>
      <c r="E5433" s="964"/>
      <c r="F5433" s="964"/>
      <c r="G5433" s="965"/>
    </row>
    <row r="5434" spans="1:7" ht="15" hidden="1" thickBot="1">
      <c r="A5434" s="909"/>
      <c r="B5434" s="913"/>
      <c r="C5434" s="914"/>
      <c r="D5434" s="95"/>
      <c r="E5434" s="242"/>
      <c r="F5434" s="286"/>
      <c r="G5434" s="113"/>
    </row>
    <row r="5435" spans="1:7" ht="15" hidden="1" thickBot="1">
      <c r="A5435" s="114"/>
      <c r="B5435" s="966"/>
      <c r="C5435" s="967"/>
      <c r="D5435" s="88"/>
      <c r="E5435" s="251"/>
      <c r="F5435" s="284"/>
      <c r="G5435" s="117"/>
    </row>
    <row r="5436" spans="1:7" ht="15" hidden="1" thickBot="1">
      <c r="A5436" s="114"/>
      <c r="B5436" s="966"/>
      <c r="C5436" s="967"/>
      <c r="D5436" s="88"/>
      <c r="E5436" s="251"/>
      <c r="F5436" s="284"/>
      <c r="G5436" s="117"/>
    </row>
    <row r="5437" spans="1:7" ht="15" hidden="1" thickBot="1">
      <c r="A5437" s="114"/>
      <c r="B5437" s="966"/>
      <c r="C5437" s="967"/>
      <c r="D5437" s="88"/>
      <c r="E5437" s="251"/>
      <c r="F5437" s="284"/>
      <c r="G5437" s="117"/>
    </row>
    <row r="5438" spans="1:7" ht="15" hidden="1" thickBot="1">
      <c r="A5438" s="114"/>
      <c r="B5438" s="966"/>
      <c r="C5438" s="967"/>
      <c r="D5438" s="88"/>
      <c r="E5438" s="251"/>
      <c r="F5438" s="284"/>
      <c r="G5438" s="117"/>
    </row>
    <row r="5439" spans="1:7" ht="15" hidden="1" thickBot="1">
      <c r="A5439" s="114"/>
      <c r="B5439" s="966"/>
      <c r="C5439" s="967"/>
      <c r="D5439" s="88"/>
      <c r="E5439" s="251"/>
      <c r="F5439" s="284"/>
      <c r="G5439" s="117"/>
    </row>
    <row r="5440" spans="1:7" ht="15" hidden="1" thickBot="1">
      <c r="A5440" s="114"/>
      <c r="B5440" s="966"/>
      <c r="C5440" s="967"/>
      <c r="D5440" s="88"/>
      <c r="E5440" s="251"/>
      <c r="F5440" s="284"/>
      <c r="G5440" s="117"/>
    </row>
    <row r="5441" spans="1:7" ht="15" hidden="1" thickBot="1">
      <c r="A5441" s="970"/>
      <c r="B5441" s="971"/>
      <c r="C5441" s="972"/>
      <c r="D5441" s="973"/>
      <c r="E5441" s="974"/>
      <c r="F5441" s="975"/>
      <c r="G5441" s="11"/>
    </row>
    <row r="5442" spans="1:7" ht="15" hidden="1" thickBot="1">
      <c r="A5442" s="908"/>
      <c r="B5442" s="910"/>
      <c r="C5442" s="911"/>
      <c r="D5442" s="911"/>
      <c r="E5442" s="911"/>
      <c r="F5442" s="911"/>
      <c r="G5442" s="912"/>
    </row>
    <row r="5443" spans="1:7" ht="15" hidden="1" thickBot="1">
      <c r="A5443" s="909"/>
      <c r="B5443" s="913"/>
      <c r="C5443" s="914"/>
      <c r="D5443" s="95"/>
      <c r="E5443" s="242"/>
      <c r="F5443" s="292"/>
      <c r="G5443" s="113"/>
    </row>
    <row r="5444" spans="1:7" ht="15" hidden="1" thickBot="1">
      <c r="A5444" s="114"/>
      <c r="B5444" s="966"/>
      <c r="C5444" s="967"/>
      <c r="D5444" s="88"/>
      <c r="E5444" s="251"/>
      <c r="F5444" s="284"/>
      <c r="G5444" s="117"/>
    </row>
    <row r="5445" spans="1:7" ht="15" hidden="1" thickBot="1">
      <c r="A5445" s="114"/>
      <c r="B5445" s="966"/>
      <c r="C5445" s="967"/>
      <c r="D5445" s="88"/>
      <c r="E5445" s="251"/>
      <c r="F5445" s="284"/>
      <c r="G5445" s="117"/>
    </row>
    <row r="5446" spans="1:7" ht="15" hidden="1" thickBot="1">
      <c r="A5446" s="114"/>
      <c r="B5446" s="966"/>
      <c r="C5446" s="967"/>
      <c r="D5446" s="88"/>
      <c r="E5446" s="251"/>
      <c r="F5446" s="284"/>
      <c r="G5446" s="117"/>
    </row>
    <row r="5447" spans="1:7" ht="15" hidden="1" thickBot="1">
      <c r="A5447" s="114"/>
      <c r="B5447" s="966"/>
      <c r="C5447" s="967"/>
      <c r="D5447" s="88"/>
      <c r="E5447" s="251"/>
      <c r="F5447" s="284"/>
      <c r="G5447" s="117"/>
    </row>
    <row r="5448" spans="1:7" ht="15" hidden="1" thickBot="1">
      <c r="A5448" s="114"/>
      <c r="B5448" s="966"/>
      <c r="C5448" s="967"/>
      <c r="D5448" s="88"/>
      <c r="E5448" s="251"/>
      <c r="F5448" s="284"/>
      <c r="G5448" s="117"/>
    </row>
    <row r="5449" spans="1:7" ht="15" hidden="1" thickBot="1">
      <c r="A5449" s="114"/>
      <c r="B5449" s="966"/>
      <c r="C5449" s="967"/>
      <c r="D5449" s="88"/>
      <c r="E5449" s="251"/>
      <c r="F5449" s="284"/>
      <c r="G5449" s="117"/>
    </row>
    <row r="5450" spans="1:7" ht="15" hidden="1" thickBot="1">
      <c r="A5450" s="114"/>
      <c r="B5450" s="966"/>
      <c r="C5450" s="967"/>
      <c r="D5450" s="88"/>
      <c r="E5450" s="251"/>
      <c r="F5450" s="284"/>
      <c r="G5450" s="117"/>
    </row>
    <row r="5451" spans="1:7" ht="15" hidden="1" thickBot="1">
      <c r="A5451" s="114"/>
      <c r="B5451" s="966"/>
      <c r="C5451" s="967"/>
      <c r="D5451" s="88"/>
      <c r="E5451" s="251"/>
      <c r="F5451" s="284"/>
      <c r="G5451" s="117"/>
    </row>
    <row r="5452" spans="1:7" ht="15" hidden="1" thickBot="1">
      <c r="A5452" s="114"/>
      <c r="B5452" s="966"/>
      <c r="C5452" s="967"/>
      <c r="D5452" s="88"/>
      <c r="E5452" s="251"/>
      <c r="F5452" s="284"/>
      <c r="G5452" s="117"/>
    </row>
    <row r="5453" spans="1:7" ht="15" hidden="1" thickBot="1">
      <c r="A5453" s="114"/>
      <c r="B5453" s="966"/>
      <c r="C5453" s="967"/>
      <c r="D5453" s="88"/>
      <c r="E5453" s="251"/>
      <c r="F5453" s="284"/>
      <c r="G5453" s="117"/>
    </row>
    <row r="5454" spans="1:7" ht="15" hidden="1" thickBot="1">
      <c r="A5454" s="114"/>
      <c r="B5454" s="966"/>
      <c r="C5454" s="967"/>
      <c r="D5454" s="88"/>
      <c r="E5454" s="251"/>
      <c r="F5454" s="284"/>
      <c r="G5454" s="117"/>
    </row>
    <row r="5455" spans="1:7" ht="15" hidden="1" thickBot="1">
      <c r="A5455" s="114"/>
      <c r="B5455" s="966"/>
      <c r="C5455" s="967"/>
      <c r="D5455" s="88"/>
      <c r="E5455" s="251"/>
      <c r="F5455" s="284"/>
      <c r="G5455" s="117"/>
    </row>
    <row r="5456" spans="1:7" ht="15" hidden="1" thickBot="1">
      <c r="A5456" s="114"/>
      <c r="B5456" s="966"/>
      <c r="C5456" s="967"/>
      <c r="D5456" s="88"/>
      <c r="E5456" s="251"/>
      <c r="F5456" s="284"/>
      <c r="G5456" s="117"/>
    </row>
    <row r="5457" spans="1:7" ht="15" hidden="1" thickBot="1">
      <c r="A5457" s="932"/>
      <c r="B5457" s="933"/>
      <c r="C5457" s="934"/>
      <c r="D5457" s="935"/>
      <c r="E5457" s="936"/>
      <c r="F5457" s="937"/>
      <c r="G5457" s="18"/>
    </row>
    <row r="5458" spans="1:7" ht="15" hidden="1" thickBot="1">
      <c r="A5458" s="908"/>
      <c r="B5458" s="910"/>
      <c r="C5458" s="911"/>
      <c r="D5458" s="911"/>
      <c r="E5458" s="911"/>
      <c r="F5458" s="911"/>
      <c r="G5458" s="912"/>
    </row>
    <row r="5459" spans="1:7" ht="15" hidden="1" thickBot="1">
      <c r="A5459" s="909"/>
      <c r="B5459" s="913"/>
      <c r="C5459" s="914"/>
      <c r="D5459" s="95"/>
      <c r="E5459" s="242"/>
      <c r="F5459" s="286"/>
      <c r="G5459" s="113"/>
    </row>
    <row r="5460" spans="1:7" ht="15" hidden="1" thickBot="1">
      <c r="A5460" s="156"/>
      <c r="B5460" s="938"/>
      <c r="C5460" s="939"/>
      <c r="D5460" s="104"/>
      <c r="E5460" s="247"/>
      <c r="F5460" s="303"/>
      <c r="G5460" s="159"/>
    </row>
    <row r="5461" spans="1:7" ht="15" hidden="1" thickBot="1">
      <c r="A5461" s="944"/>
      <c r="B5461" s="945"/>
      <c r="C5461" s="946"/>
      <c r="D5461" s="947"/>
      <c r="E5461" s="948"/>
      <c r="F5461" s="949"/>
      <c r="G5461" s="11"/>
    </row>
    <row r="5462" spans="1:7" ht="15" hidden="1" thickBot="1">
      <c r="A5462" s="908"/>
      <c r="B5462" s="910"/>
      <c r="C5462" s="911"/>
      <c r="D5462" s="911"/>
      <c r="E5462" s="911"/>
      <c r="F5462" s="911"/>
      <c r="G5462" s="912"/>
    </row>
    <row r="5463" spans="1:7" ht="15" hidden="1" thickBot="1">
      <c r="A5463" s="909"/>
      <c r="B5463" s="913"/>
      <c r="C5463" s="914"/>
      <c r="D5463" s="95"/>
      <c r="E5463" s="242"/>
      <c r="F5463" s="286"/>
      <c r="G5463" s="113"/>
    </row>
    <row r="5464" spans="1:7" ht="15" hidden="1" thickBot="1">
      <c r="A5464" s="122"/>
      <c r="B5464" s="985"/>
      <c r="C5464" s="986"/>
      <c r="D5464" s="109"/>
      <c r="E5464" s="254"/>
      <c r="F5464" s="304"/>
      <c r="G5464" s="129"/>
    </row>
    <row r="5465" spans="1:7" ht="15" hidden="1" thickBot="1">
      <c r="A5465" s="165"/>
      <c r="B5465" s="985"/>
      <c r="C5465" s="986"/>
      <c r="D5465" s="168"/>
      <c r="E5465" s="262"/>
      <c r="F5465" s="306"/>
      <c r="G5465" s="129"/>
    </row>
    <row r="5466" spans="1:7" ht="15" hidden="1" thickBot="1">
      <c r="A5466" s="915"/>
      <c r="B5466" s="916"/>
      <c r="C5466" s="917"/>
      <c r="D5466" s="918"/>
      <c r="E5466" s="919"/>
      <c r="F5466" s="920"/>
      <c r="G5466" s="12"/>
    </row>
    <row r="5467" spans="1:7" ht="15" hidden="1" thickBot="1">
      <c r="A5467" s="921"/>
      <c r="B5467" s="922"/>
      <c r="C5467" s="922"/>
      <c r="D5467" s="923"/>
      <c r="E5467" s="924"/>
      <c r="F5467" s="925"/>
      <c r="G5467" s="112"/>
    </row>
    <row r="5468" spans="1:7" hidden="1">
      <c r="A5468" s="40"/>
      <c r="B5468" s="40"/>
      <c r="C5468" s="40"/>
      <c r="D5468" s="146"/>
      <c r="E5468" s="250"/>
      <c r="F5468" s="298"/>
      <c r="G5468" s="147"/>
    </row>
    <row r="5469" spans="1:7" ht="15.75" hidden="1" thickBot="1">
      <c r="A5469" s="162"/>
      <c r="B5469" s="162"/>
      <c r="C5469" s="162"/>
      <c r="D5469" s="162"/>
      <c r="E5469" s="258"/>
      <c r="F5469" s="301"/>
      <c r="G5469" s="162"/>
    </row>
    <row r="5470" spans="1:7" ht="15" hidden="1" thickBot="1">
      <c r="A5470" s="1027"/>
      <c r="B5470" s="1028"/>
      <c r="C5470" s="1028"/>
      <c r="D5470" s="1028"/>
      <c r="E5470" s="1028"/>
      <c r="F5470" s="1028"/>
      <c r="G5470" s="1029"/>
    </row>
    <row r="5471" spans="1:7" ht="15" hidden="1" thickBot="1">
      <c r="A5471" s="950"/>
      <c r="B5471" s="951"/>
      <c r="C5471" s="951"/>
      <c r="D5471" s="951"/>
      <c r="E5471" s="952"/>
      <c r="F5471" s="272"/>
      <c r="G5471" s="43"/>
    </row>
    <row r="5472" spans="1:7" ht="15" hidden="1" customHeight="1" thickBot="1">
      <c r="A5472" s="953"/>
      <c r="B5472" s="954"/>
      <c r="C5472" s="954"/>
      <c r="D5472" s="954"/>
      <c r="E5472" s="955"/>
      <c r="F5472" s="273"/>
      <c r="G5472" s="45"/>
    </row>
    <row r="5473" spans="1:7" ht="15" hidden="1" thickBot="1">
      <c r="A5473" s="956"/>
      <c r="B5473" s="957"/>
      <c r="C5473" s="957"/>
      <c r="D5473" s="957"/>
      <c r="E5473" s="958"/>
      <c r="F5473" s="273"/>
      <c r="G5473" s="46"/>
    </row>
    <row r="5474" spans="1:7" ht="15" hidden="1" thickBot="1">
      <c r="A5474" s="959"/>
      <c r="B5474" s="960"/>
      <c r="C5474" s="960"/>
      <c r="D5474" s="960"/>
      <c r="E5474" s="961"/>
      <c r="F5474" s="274"/>
      <c r="G5474" s="48"/>
    </row>
    <row r="5475" spans="1:7" ht="15" hidden="1" thickBot="1">
      <c r="A5475" s="962"/>
      <c r="B5475" s="963"/>
      <c r="C5475" s="964"/>
      <c r="D5475" s="964"/>
      <c r="E5475" s="964"/>
      <c r="F5475" s="964"/>
      <c r="G5475" s="965"/>
    </row>
    <row r="5476" spans="1:7" ht="15" hidden="1" thickBot="1">
      <c r="A5476" s="909"/>
      <c r="B5476" s="913"/>
      <c r="C5476" s="914"/>
      <c r="D5476" s="95"/>
      <c r="E5476" s="242"/>
      <c r="F5476" s="286"/>
      <c r="G5476" s="113"/>
    </row>
    <row r="5477" spans="1:7" ht="15" hidden="1" thickBot="1">
      <c r="A5477" s="114"/>
      <c r="B5477" s="966"/>
      <c r="C5477" s="967"/>
      <c r="D5477" s="88"/>
      <c r="E5477" s="251"/>
      <c r="F5477" s="284"/>
      <c r="G5477" s="117"/>
    </row>
    <row r="5478" spans="1:7" hidden="1">
      <c r="A5478" s="154"/>
      <c r="B5478" s="968"/>
      <c r="C5478" s="969"/>
      <c r="D5478" s="171"/>
      <c r="E5478" s="260"/>
      <c r="F5478" s="285"/>
      <c r="G5478" s="149"/>
    </row>
    <row r="5479" spans="1:7" ht="15" hidden="1" thickBot="1">
      <c r="A5479" s="970"/>
      <c r="B5479" s="971"/>
      <c r="C5479" s="972"/>
      <c r="D5479" s="973"/>
      <c r="E5479" s="974"/>
      <c r="F5479" s="975"/>
      <c r="G5479" s="11"/>
    </row>
    <row r="5480" spans="1:7" ht="15" hidden="1" thickBot="1">
      <c r="A5480" s="908"/>
      <c r="B5480" s="910"/>
      <c r="C5480" s="911"/>
      <c r="D5480" s="911"/>
      <c r="E5480" s="911"/>
      <c r="F5480" s="911"/>
      <c r="G5480" s="912"/>
    </row>
    <row r="5481" spans="1:7" ht="15" hidden="1" thickBot="1">
      <c r="A5481" s="909"/>
      <c r="B5481" s="913"/>
      <c r="C5481" s="914"/>
      <c r="D5481" s="95"/>
      <c r="E5481" s="242"/>
      <c r="F5481" s="286"/>
      <c r="G5481" s="113"/>
    </row>
    <row r="5482" spans="1:7" hidden="1">
      <c r="A5482" s="122"/>
      <c r="B5482" s="976"/>
      <c r="C5482" s="977"/>
      <c r="D5482" s="88"/>
      <c r="E5482" s="251"/>
      <c r="F5482" s="284"/>
      <c r="G5482" s="149"/>
    </row>
    <row r="5483" spans="1:7" ht="15" hidden="1" thickBot="1">
      <c r="A5483" s="178"/>
      <c r="B5483" s="926"/>
      <c r="C5483" s="927"/>
      <c r="D5483" s="179"/>
      <c r="E5483" s="261"/>
      <c r="F5483" s="305"/>
      <c r="G5483" s="181"/>
    </row>
    <row r="5484" spans="1:7" ht="15" hidden="1" thickBot="1">
      <c r="A5484" s="932"/>
      <c r="B5484" s="933"/>
      <c r="C5484" s="934"/>
      <c r="D5484" s="935"/>
      <c r="E5484" s="936"/>
      <c r="F5484" s="937"/>
      <c r="G5484" s="18"/>
    </row>
    <row r="5485" spans="1:7" ht="15" hidden="1" thickBot="1">
      <c r="A5485" s="908"/>
      <c r="B5485" s="910"/>
      <c r="C5485" s="911"/>
      <c r="D5485" s="911"/>
      <c r="E5485" s="911"/>
      <c r="F5485" s="911"/>
      <c r="G5485" s="912"/>
    </row>
    <row r="5486" spans="1:7" ht="15" hidden="1" thickBot="1">
      <c r="A5486" s="909"/>
      <c r="B5486" s="913"/>
      <c r="C5486" s="914"/>
      <c r="D5486" s="95"/>
      <c r="E5486" s="242"/>
      <c r="F5486" s="286"/>
      <c r="G5486" s="113"/>
    </row>
    <row r="5487" spans="1:7" ht="15" hidden="1" thickBot="1">
      <c r="A5487" s="130"/>
      <c r="B5487" s="942"/>
      <c r="C5487" s="943"/>
      <c r="D5487" s="104"/>
      <c r="E5487" s="247"/>
      <c r="F5487" s="288"/>
      <c r="G5487" s="131"/>
    </row>
    <row r="5488" spans="1:7" ht="15" hidden="1" thickBot="1">
      <c r="A5488" s="130"/>
      <c r="B5488" s="942"/>
      <c r="C5488" s="943"/>
      <c r="D5488" s="104"/>
      <c r="E5488" s="247"/>
      <c r="F5488" s="288"/>
      <c r="G5488" s="131"/>
    </row>
    <row r="5489" spans="1:7" ht="15" hidden="1" thickBot="1">
      <c r="A5489" s="944"/>
      <c r="B5489" s="945"/>
      <c r="C5489" s="946"/>
      <c r="D5489" s="947"/>
      <c r="E5489" s="948"/>
      <c r="F5489" s="949"/>
      <c r="G5489" s="11"/>
    </row>
    <row r="5490" spans="1:7" ht="15" hidden="1" thickBot="1">
      <c r="A5490" s="908"/>
      <c r="B5490" s="910"/>
      <c r="C5490" s="911"/>
      <c r="D5490" s="911"/>
      <c r="E5490" s="911"/>
      <c r="F5490" s="911"/>
      <c r="G5490" s="912"/>
    </row>
    <row r="5491" spans="1:7" ht="15" hidden="1" thickBot="1">
      <c r="A5491" s="909"/>
      <c r="B5491" s="913"/>
      <c r="C5491" s="914"/>
      <c r="D5491" s="95"/>
      <c r="E5491" s="242"/>
      <c r="F5491" s="286"/>
      <c r="G5491" s="113"/>
    </row>
    <row r="5492" spans="1:7" ht="15" hidden="1" thickBot="1">
      <c r="A5492" s="122"/>
      <c r="B5492" s="985"/>
      <c r="C5492" s="986"/>
      <c r="D5492" s="109"/>
      <c r="E5492" s="254"/>
      <c r="F5492" s="290"/>
      <c r="G5492" s="129"/>
    </row>
    <row r="5493" spans="1:7" ht="15" hidden="1" thickBot="1">
      <c r="A5493" s="915"/>
      <c r="B5493" s="916"/>
      <c r="C5493" s="917"/>
      <c r="D5493" s="918"/>
      <c r="E5493" s="919"/>
      <c r="F5493" s="920"/>
      <c r="G5493" s="12"/>
    </row>
    <row r="5494" spans="1:7" ht="15" hidden="1" thickBot="1">
      <c r="A5494" s="921"/>
      <c r="B5494" s="922"/>
      <c r="C5494" s="922"/>
      <c r="D5494" s="923"/>
      <c r="E5494" s="924"/>
      <c r="F5494" s="925"/>
      <c r="G5494" s="112"/>
    </row>
    <row r="5495" spans="1:7" hidden="1">
      <c r="A5495" s="40"/>
      <c r="B5495" s="40"/>
      <c r="C5495" s="40"/>
      <c r="D5495" s="146"/>
      <c r="E5495" s="250"/>
      <c r="F5495" s="298"/>
      <c r="G5495" s="147"/>
    </row>
    <row r="5496" spans="1:7" ht="15.75" hidden="1" thickBot="1">
      <c r="A5496" s="162"/>
      <c r="B5496" s="162"/>
      <c r="C5496" s="162"/>
      <c r="D5496" s="162"/>
      <c r="E5496" s="258"/>
      <c r="F5496" s="301"/>
      <c r="G5496" s="162"/>
    </row>
    <row r="5497" spans="1:7" ht="15" hidden="1" thickBot="1">
      <c r="A5497" s="1027"/>
      <c r="B5497" s="1028"/>
      <c r="C5497" s="1028"/>
      <c r="D5497" s="1028"/>
      <c r="E5497" s="1028"/>
      <c r="F5497" s="1028"/>
      <c r="G5497" s="1029"/>
    </row>
    <row r="5498" spans="1:7" ht="15" hidden="1" thickBot="1">
      <c r="A5498" s="950"/>
      <c r="B5498" s="951"/>
      <c r="C5498" s="951"/>
      <c r="D5498" s="951"/>
      <c r="E5498" s="952"/>
      <c r="F5498" s="272"/>
      <c r="G5498" s="43"/>
    </row>
    <row r="5499" spans="1:7" ht="15" hidden="1" customHeight="1" thickBot="1">
      <c r="A5499" s="953"/>
      <c r="B5499" s="954"/>
      <c r="C5499" s="954"/>
      <c r="D5499" s="954"/>
      <c r="E5499" s="955"/>
      <c r="F5499" s="273"/>
      <c r="G5499" s="45"/>
    </row>
    <row r="5500" spans="1:7" ht="15" hidden="1" thickBot="1">
      <c r="A5500" s="956"/>
      <c r="B5500" s="957"/>
      <c r="C5500" s="957"/>
      <c r="D5500" s="957"/>
      <c r="E5500" s="958"/>
      <c r="F5500" s="273"/>
      <c r="G5500" s="46"/>
    </row>
    <row r="5501" spans="1:7" ht="15" hidden="1" thickBot="1">
      <c r="A5501" s="959"/>
      <c r="B5501" s="960"/>
      <c r="C5501" s="960"/>
      <c r="D5501" s="960"/>
      <c r="E5501" s="961"/>
      <c r="F5501" s="274"/>
      <c r="G5501" s="48"/>
    </row>
    <row r="5502" spans="1:7" ht="15" hidden="1" thickBot="1">
      <c r="A5502" s="962"/>
      <c r="B5502" s="963"/>
      <c r="C5502" s="964"/>
      <c r="D5502" s="964"/>
      <c r="E5502" s="964"/>
      <c r="F5502" s="964"/>
      <c r="G5502" s="965"/>
    </row>
    <row r="5503" spans="1:7" ht="15" hidden="1" thickBot="1">
      <c r="A5503" s="909"/>
      <c r="B5503" s="913"/>
      <c r="C5503" s="914"/>
      <c r="D5503" s="95"/>
      <c r="E5503" s="242"/>
      <c r="F5503" s="286"/>
      <c r="G5503" s="113"/>
    </row>
    <row r="5504" spans="1:7" ht="15" hidden="1" thickBot="1">
      <c r="A5504" s="114"/>
      <c r="B5504" s="966"/>
      <c r="C5504" s="967"/>
      <c r="D5504" s="88"/>
      <c r="E5504" s="251"/>
      <c r="F5504" s="284"/>
      <c r="G5504" s="117"/>
    </row>
    <row r="5505" spans="1:7" hidden="1">
      <c r="A5505" s="154"/>
      <c r="B5505" s="968"/>
      <c r="C5505" s="969"/>
      <c r="D5505" s="171"/>
      <c r="E5505" s="260"/>
      <c r="F5505" s="285"/>
      <c r="G5505" s="149"/>
    </row>
    <row r="5506" spans="1:7" ht="15" hidden="1" thickBot="1">
      <c r="A5506" s="970"/>
      <c r="B5506" s="971"/>
      <c r="C5506" s="972"/>
      <c r="D5506" s="973"/>
      <c r="E5506" s="974"/>
      <c r="F5506" s="975"/>
      <c r="G5506" s="11"/>
    </row>
    <row r="5507" spans="1:7" ht="15" hidden="1" thickBot="1">
      <c r="A5507" s="908"/>
      <c r="B5507" s="910"/>
      <c r="C5507" s="911"/>
      <c r="D5507" s="911"/>
      <c r="E5507" s="911"/>
      <c r="F5507" s="911"/>
      <c r="G5507" s="912"/>
    </row>
    <row r="5508" spans="1:7" ht="15" hidden="1" thickBot="1">
      <c r="A5508" s="909"/>
      <c r="B5508" s="913"/>
      <c r="C5508" s="914"/>
      <c r="D5508" s="95"/>
      <c r="E5508" s="242"/>
      <c r="F5508" s="286"/>
      <c r="G5508" s="113"/>
    </row>
    <row r="5509" spans="1:7" hidden="1">
      <c r="A5509" s="122"/>
      <c r="B5509" s="976"/>
      <c r="C5509" s="977"/>
      <c r="D5509" s="88"/>
      <c r="E5509" s="251"/>
      <c r="F5509" s="284"/>
      <c r="G5509" s="149"/>
    </row>
    <row r="5510" spans="1:7" ht="15" hidden="1" thickBot="1">
      <c r="A5510" s="178"/>
      <c r="B5510" s="926"/>
      <c r="C5510" s="927"/>
      <c r="D5510" s="179"/>
      <c r="E5510" s="261"/>
      <c r="F5510" s="305"/>
      <c r="G5510" s="181"/>
    </row>
    <row r="5511" spans="1:7" ht="15" hidden="1" thickBot="1">
      <c r="A5511" s="932"/>
      <c r="B5511" s="933"/>
      <c r="C5511" s="934"/>
      <c r="D5511" s="935"/>
      <c r="E5511" s="936"/>
      <c r="F5511" s="937"/>
      <c r="G5511" s="18"/>
    </row>
    <row r="5512" spans="1:7" ht="15" hidden="1" thickBot="1">
      <c r="A5512" s="908"/>
      <c r="B5512" s="910"/>
      <c r="C5512" s="911"/>
      <c r="D5512" s="911"/>
      <c r="E5512" s="911"/>
      <c r="F5512" s="911"/>
      <c r="G5512" s="912"/>
    </row>
    <row r="5513" spans="1:7" ht="15" hidden="1" thickBot="1">
      <c r="A5513" s="909"/>
      <c r="B5513" s="913"/>
      <c r="C5513" s="914"/>
      <c r="D5513" s="95"/>
      <c r="E5513" s="242"/>
      <c r="F5513" s="286"/>
      <c r="G5513" s="113"/>
    </row>
    <row r="5514" spans="1:7" ht="15" hidden="1" thickBot="1">
      <c r="A5514" s="130"/>
      <c r="B5514" s="942"/>
      <c r="C5514" s="943"/>
      <c r="D5514" s="104"/>
      <c r="E5514" s="247"/>
      <c r="F5514" s="288"/>
      <c r="G5514" s="131"/>
    </row>
    <row r="5515" spans="1:7" ht="15" hidden="1" thickBot="1">
      <c r="A5515" s="130"/>
      <c r="B5515" s="942"/>
      <c r="C5515" s="943"/>
      <c r="D5515" s="104"/>
      <c r="E5515" s="247"/>
      <c r="F5515" s="288"/>
      <c r="G5515" s="131"/>
    </row>
    <row r="5516" spans="1:7" ht="15" hidden="1" thickBot="1">
      <c r="A5516" s="944"/>
      <c r="B5516" s="945"/>
      <c r="C5516" s="946"/>
      <c r="D5516" s="947"/>
      <c r="E5516" s="948"/>
      <c r="F5516" s="949"/>
      <c r="G5516" s="11"/>
    </row>
    <row r="5517" spans="1:7" ht="15" hidden="1" thickBot="1">
      <c r="A5517" s="908"/>
      <c r="B5517" s="910"/>
      <c r="C5517" s="911"/>
      <c r="D5517" s="911"/>
      <c r="E5517" s="911"/>
      <c r="F5517" s="911"/>
      <c r="G5517" s="912"/>
    </row>
    <row r="5518" spans="1:7" ht="15" hidden="1" thickBot="1">
      <c r="A5518" s="909"/>
      <c r="B5518" s="913"/>
      <c r="C5518" s="914"/>
      <c r="D5518" s="95"/>
      <c r="E5518" s="242"/>
      <c r="F5518" s="286"/>
      <c r="G5518" s="113"/>
    </row>
    <row r="5519" spans="1:7" ht="15" hidden="1" thickBot="1">
      <c r="A5519" s="122"/>
      <c r="B5519" s="985"/>
      <c r="C5519" s="986"/>
      <c r="D5519" s="109"/>
      <c r="E5519" s="254"/>
      <c r="F5519" s="290"/>
      <c r="G5519" s="129"/>
    </row>
    <row r="5520" spans="1:7" ht="15" hidden="1" thickBot="1">
      <c r="A5520" s="915"/>
      <c r="B5520" s="916"/>
      <c r="C5520" s="917"/>
      <c r="D5520" s="918"/>
      <c r="E5520" s="919"/>
      <c r="F5520" s="920"/>
      <c r="G5520" s="12"/>
    </row>
    <row r="5521" spans="1:7" ht="15" hidden="1" thickBot="1">
      <c r="A5521" s="921"/>
      <c r="B5521" s="922"/>
      <c r="C5521" s="922"/>
      <c r="D5521" s="923"/>
      <c r="E5521" s="924"/>
      <c r="F5521" s="925"/>
      <c r="G5521" s="112"/>
    </row>
    <row r="5522" spans="1:7" hidden="1">
      <c r="A5522" s="40"/>
      <c r="B5522" s="40"/>
      <c r="C5522" s="40"/>
      <c r="D5522" s="146"/>
      <c r="E5522" s="250"/>
      <c r="F5522" s="298"/>
      <c r="G5522" s="147"/>
    </row>
    <row r="5523" spans="1:7" ht="15.75" hidden="1" thickBot="1">
      <c r="A5523" s="162"/>
      <c r="B5523" s="162"/>
      <c r="C5523" s="162"/>
      <c r="D5523" s="162"/>
      <c r="E5523" s="258"/>
      <c r="F5523" s="301"/>
      <c r="G5523" s="162"/>
    </row>
    <row r="5524" spans="1:7" ht="15" hidden="1" thickBot="1">
      <c r="A5524" s="1027"/>
      <c r="B5524" s="1028"/>
      <c r="C5524" s="1028"/>
      <c r="D5524" s="1028"/>
      <c r="E5524" s="1028"/>
      <c r="F5524" s="1028"/>
      <c r="G5524" s="1029"/>
    </row>
    <row r="5525" spans="1:7" ht="15" hidden="1" thickBot="1">
      <c r="A5525" s="950"/>
      <c r="B5525" s="951"/>
      <c r="C5525" s="951"/>
      <c r="D5525" s="951"/>
      <c r="E5525" s="952"/>
      <c r="F5525" s="272"/>
      <c r="G5525" s="43"/>
    </row>
    <row r="5526" spans="1:7" ht="15" hidden="1" customHeight="1" thickBot="1">
      <c r="A5526" s="953"/>
      <c r="B5526" s="954"/>
      <c r="C5526" s="954"/>
      <c r="D5526" s="954"/>
      <c r="E5526" s="955"/>
      <c r="F5526" s="273"/>
      <c r="G5526" s="45"/>
    </row>
    <row r="5527" spans="1:7" ht="15" hidden="1" thickBot="1">
      <c r="A5527" s="956"/>
      <c r="B5527" s="957"/>
      <c r="C5527" s="957"/>
      <c r="D5527" s="957"/>
      <c r="E5527" s="958"/>
      <c r="F5527" s="273"/>
      <c r="G5527" s="46"/>
    </row>
    <row r="5528" spans="1:7" ht="15" hidden="1" thickBot="1">
      <c r="A5528" s="959"/>
      <c r="B5528" s="960"/>
      <c r="C5528" s="960"/>
      <c r="D5528" s="960"/>
      <c r="E5528" s="961"/>
      <c r="F5528" s="274"/>
      <c r="G5528" s="48"/>
    </row>
    <row r="5529" spans="1:7" ht="15" hidden="1" thickBot="1">
      <c r="A5529" s="962"/>
      <c r="B5529" s="963"/>
      <c r="C5529" s="964"/>
      <c r="D5529" s="964"/>
      <c r="E5529" s="964"/>
      <c r="F5529" s="964"/>
      <c r="G5529" s="965"/>
    </row>
    <row r="5530" spans="1:7" ht="15" hidden="1" thickBot="1">
      <c r="A5530" s="909"/>
      <c r="B5530" s="913"/>
      <c r="C5530" s="914"/>
      <c r="D5530" s="95"/>
      <c r="E5530" s="242"/>
      <c r="F5530" s="286"/>
      <c r="G5530" s="113"/>
    </row>
    <row r="5531" spans="1:7" ht="15" hidden="1" thickBot="1">
      <c r="A5531" s="114"/>
      <c r="B5531" s="966"/>
      <c r="C5531" s="967"/>
      <c r="D5531" s="88"/>
      <c r="E5531" s="251"/>
      <c r="F5531" s="284"/>
      <c r="G5531" s="117"/>
    </row>
    <row r="5532" spans="1:7" hidden="1">
      <c r="A5532" s="154"/>
      <c r="B5532" s="968"/>
      <c r="C5532" s="969"/>
      <c r="D5532" s="171"/>
      <c r="E5532" s="260"/>
      <c r="F5532" s="285"/>
      <c r="G5532" s="149"/>
    </row>
    <row r="5533" spans="1:7" ht="15" hidden="1" thickBot="1">
      <c r="A5533" s="970"/>
      <c r="B5533" s="971"/>
      <c r="C5533" s="972"/>
      <c r="D5533" s="973"/>
      <c r="E5533" s="974"/>
      <c r="F5533" s="975"/>
      <c r="G5533" s="11"/>
    </row>
    <row r="5534" spans="1:7" ht="15" hidden="1" thickBot="1">
      <c r="A5534" s="908"/>
      <c r="B5534" s="910"/>
      <c r="C5534" s="911"/>
      <c r="D5534" s="911"/>
      <c r="E5534" s="911"/>
      <c r="F5534" s="911"/>
      <c r="G5534" s="912"/>
    </row>
    <row r="5535" spans="1:7" ht="15" hidden="1" thickBot="1">
      <c r="A5535" s="909"/>
      <c r="B5535" s="913"/>
      <c r="C5535" s="914"/>
      <c r="D5535" s="95"/>
      <c r="E5535" s="242"/>
      <c r="F5535" s="286"/>
      <c r="G5535" s="113"/>
    </row>
    <row r="5536" spans="1:7" hidden="1">
      <c r="A5536" s="122"/>
      <c r="B5536" s="976"/>
      <c r="C5536" s="977"/>
      <c r="D5536" s="88"/>
      <c r="E5536" s="251"/>
      <c r="F5536" s="284"/>
      <c r="G5536" s="149"/>
    </row>
    <row r="5537" spans="1:7" ht="15" hidden="1" thickBot="1">
      <c r="A5537" s="178"/>
      <c r="B5537" s="926"/>
      <c r="C5537" s="927"/>
      <c r="D5537" s="179"/>
      <c r="E5537" s="261"/>
      <c r="F5537" s="305"/>
      <c r="G5537" s="181"/>
    </row>
    <row r="5538" spans="1:7" ht="15" hidden="1" thickBot="1">
      <c r="A5538" s="932"/>
      <c r="B5538" s="933"/>
      <c r="C5538" s="934"/>
      <c r="D5538" s="935"/>
      <c r="E5538" s="936"/>
      <c r="F5538" s="937"/>
      <c r="G5538" s="18"/>
    </row>
    <row r="5539" spans="1:7" ht="15" hidden="1" thickBot="1">
      <c r="A5539" s="908"/>
      <c r="B5539" s="910"/>
      <c r="C5539" s="911"/>
      <c r="D5539" s="911"/>
      <c r="E5539" s="911"/>
      <c r="F5539" s="911"/>
      <c r="G5539" s="912"/>
    </row>
    <row r="5540" spans="1:7" ht="15" hidden="1" thickBot="1">
      <c r="A5540" s="909"/>
      <c r="B5540" s="913"/>
      <c r="C5540" s="914"/>
      <c r="D5540" s="95"/>
      <c r="E5540" s="242"/>
      <c r="F5540" s="286"/>
      <c r="G5540" s="113"/>
    </row>
    <row r="5541" spans="1:7" ht="15" hidden="1" thickBot="1">
      <c r="A5541" s="130"/>
      <c r="B5541" s="942"/>
      <c r="C5541" s="943"/>
      <c r="D5541" s="104"/>
      <c r="E5541" s="247"/>
      <c r="F5541" s="288"/>
      <c r="G5541" s="131"/>
    </row>
    <row r="5542" spans="1:7" ht="15" hidden="1" thickBot="1">
      <c r="A5542" s="130"/>
      <c r="B5542" s="942"/>
      <c r="C5542" s="943"/>
      <c r="D5542" s="104"/>
      <c r="E5542" s="247"/>
      <c r="F5542" s="288"/>
      <c r="G5542" s="131"/>
    </row>
    <row r="5543" spans="1:7" ht="15" hidden="1" thickBot="1">
      <c r="A5543" s="944"/>
      <c r="B5543" s="945"/>
      <c r="C5543" s="946"/>
      <c r="D5543" s="947"/>
      <c r="E5543" s="948"/>
      <c r="F5543" s="949"/>
      <c r="G5543" s="11"/>
    </row>
    <row r="5544" spans="1:7" ht="15" hidden="1" thickBot="1">
      <c r="A5544" s="908"/>
      <c r="B5544" s="910"/>
      <c r="C5544" s="911"/>
      <c r="D5544" s="911"/>
      <c r="E5544" s="911"/>
      <c r="F5544" s="911"/>
      <c r="G5544" s="912"/>
    </row>
    <row r="5545" spans="1:7" ht="15" hidden="1" thickBot="1">
      <c r="A5545" s="909"/>
      <c r="B5545" s="913"/>
      <c r="C5545" s="914"/>
      <c r="D5545" s="95"/>
      <c r="E5545" s="242"/>
      <c r="F5545" s="286"/>
      <c r="G5545" s="113"/>
    </row>
    <row r="5546" spans="1:7" ht="15" hidden="1" thickBot="1">
      <c r="A5546" s="122"/>
      <c r="B5546" s="985"/>
      <c r="C5546" s="986"/>
      <c r="D5546" s="109"/>
      <c r="E5546" s="254"/>
      <c r="F5546" s="290"/>
      <c r="G5546" s="129"/>
    </row>
    <row r="5547" spans="1:7" ht="15" hidden="1" thickBot="1">
      <c r="A5547" s="915"/>
      <c r="B5547" s="916"/>
      <c r="C5547" s="917"/>
      <c r="D5547" s="918"/>
      <c r="E5547" s="919"/>
      <c r="F5547" s="920"/>
      <c r="G5547" s="12"/>
    </row>
    <row r="5548" spans="1:7" ht="15" hidden="1" thickBot="1">
      <c r="A5548" s="921"/>
      <c r="B5548" s="922"/>
      <c r="C5548" s="922"/>
      <c r="D5548" s="923"/>
      <c r="E5548" s="924"/>
      <c r="F5548" s="925"/>
      <c r="G5548" s="112"/>
    </row>
    <row r="5549" spans="1:7" hidden="1">
      <c r="A5549" s="40"/>
      <c r="B5549" s="40"/>
      <c r="C5549" s="40"/>
      <c r="D5549" s="146"/>
      <c r="E5549" s="250"/>
      <c r="F5549" s="298"/>
      <c r="G5549" s="147"/>
    </row>
    <row r="5550" spans="1:7" ht="15" hidden="1" thickBot="1">
      <c r="A5550" s="40"/>
      <c r="B5550" s="40"/>
      <c r="C5550" s="40"/>
      <c r="D5550" s="146"/>
      <c r="E5550" s="250"/>
      <c r="F5550" s="298"/>
      <c r="G5550" s="147"/>
    </row>
    <row r="5551" spans="1:7" ht="15" hidden="1" thickBot="1">
      <c r="A5551" s="1027"/>
      <c r="B5551" s="1028"/>
      <c r="C5551" s="1028"/>
      <c r="D5551" s="1028"/>
      <c r="E5551" s="1028"/>
      <c r="F5551" s="1028"/>
      <c r="G5551" s="1029"/>
    </row>
    <row r="5552" spans="1:7" ht="15" hidden="1" thickBot="1">
      <c r="A5552" s="950"/>
      <c r="B5552" s="951"/>
      <c r="C5552" s="951"/>
      <c r="D5552" s="951"/>
      <c r="E5552" s="952"/>
      <c r="F5552" s="272"/>
      <c r="G5552" s="191"/>
    </row>
    <row r="5553" spans="1:7" ht="14.45" hidden="1" customHeight="1" thickBot="1">
      <c r="A5553" s="953"/>
      <c r="B5553" s="954"/>
      <c r="C5553" s="954"/>
      <c r="D5553" s="954"/>
      <c r="E5553" s="955"/>
      <c r="F5553" s="273"/>
      <c r="G5553" s="45"/>
    </row>
    <row r="5554" spans="1:7" ht="15" hidden="1" thickBot="1">
      <c r="A5554" s="956"/>
      <c r="B5554" s="957"/>
      <c r="C5554" s="957"/>
      <c r="D5554" s="957"/>
      <c r="E5554" s="958"/>
      <c r="F5554" s="273"/>
      <c r="G5554" s="46"/>
    </row>
    <row r="5555" spans="1:7" ht="15" hidden="1" thickBot="1">
      <c r="A5555" s="959"/>
      <c r="B5555" s="960"/>
      <c r="C5555" s="960"/>
      <c r="D5555" s="960"/>
      <c r="E5555" s="961"/>
      <c r="F5555" s="274"/>
      <c r="G5555" s="48"/>
    </row>
    <row r="5556" spans="1:7" ht="15" hidden="1" thickBot="1">
      <c r="A5556" s="1138"/>
      <c r="B5556" s="1033"/>
      <c r="C5556" s="1034"/>
      <c r="D5556" s="1034"/>
      <c r="E5556" s="1034"/>
      <c r="F5556" s="1034"/>
      <c r="G5556" s="1120"/>
    </row>
    <row r="5557" spans="1:7" ht="15" hidden="1" thickBot="1">
      <c r="A5557" s="1008"/>
      <c r="B5557" s="913"/>
      <c r="C5557" s="914"/>
      <c r="D5557" s="95"/>
      <c r="E5557" s="242"/>
      <c r="F5557" s="286"/>
      <c r="G5557" s="97"/>
    </row>
    <row r="5558" spans="1:7" ht="15" hidden="1" thickBot="1">
      <c r="A5558" s="87"/>
      <c r="B5558" s="966"/>
      <c r="C5558" s="967"/>
      <c r="D5558" s="88"/>
      <c r="E5558" s="251"/>
      <c r="F5558" s="284"/>
      <c r="G5558" s="90"/>
    </row>
    <row r="5559" spans="1:7" ht="15" hidden="1" thickBot="1">
      <c r="A5559" s="91"/>
      <c r="B5559" s="966"/>
      <c r="C5559" s="967"/>
      <c r="D5559" s="88"/>
      <c r="E5559" s="251"/>
      <c r="F5559" s="284"/>
      <c r="G5559" s="94"/>
    </row>
    <row r="5560" spans="1:7" hidden="1">
      <c r="A5560" s="91"/>
      <c r="B5560" s="930"/>
      <c r="C5560" s="931"/>
      <c r="D5560" s="88"/>
      <c r="E5560" s="251"/>
      <c r="F5560" s="284"/>
      <c r="G5560" s="94"/>
    </row>
    <row r="5561" spans="1:7" ht="15" hidden="1" thickBot="1">
      <c r="A5561" s="172"/>
      <c r="B5561" s="1012"/>
      <c r="C5561" s="1013"/>
      <c r="D5561" s="119"/>
      <c r="E5561" s="244"/>
      <c r="F5561" s="294"/>
      <c r="G5561" s="173"/>
    </row>
    <row r="5562" spans="1:7" ht="15" hidden="1" thickBot="1">
      <c r="A5562" s="1143"/>
      <c r="B5562" s="1088"/>
      <c r="C5562" s="1089"/>
      <c r="D5562" s="935"/>
      <c r="E5562" s="936"/>
      <c r="F5562" s="937"/>
      <c r="G5562" s="13"/>
    </row>
    <row r="5563" spans="1:7" ht="15" hidden="1" thickBot="1">
      <c r="A5563" s="1142"/>
      <c r="B5563" s="910"/>
      <c r="C5563" s="911"/>
      <c r="D5563" s="911"/>
      <c r="E5563" s="911"/>
      <c r="F5563" s="911"/>
      <c r="G5563" s="1115"/>
    </row>
    <row r="5564" spans="1:7" ht="15" hidden="1" thickBot="1">
      <c r="A5564" s="1008"/>
      <c r="B5564" s="913"/>
      <c r="C5564" s="914"/>
      <c r="D5564" s="95"/>
      <c r="E5564" s="242"/>
      <c r="F5564" s="286"/>
      <c r="G5564" s="97"/>
    </row>
    <row r="5565" spans="1:7" hidden="1">
      <c r="A5565" s="108"/>
      <c r="B5565" s="930"/>
      <c r="C5565" s="931"/>
      <c r="D5565" s="92"/>
      <c r="E5565" s="252"/>
      <c r="F5565" s="285"/>
      <c r="G5565" s="94"/>
    </row>
    <row r="5566" spans="1:7" ht="15" hidden="1" thickBot="1">
      <c r="A5566" s="98"/>
      <c r="B5566" s="968"/>
      <c r="C5566" s="969"/>
      <c r="D5566" s="92"/>
      <c r="E5566" s="252"/>
      <c r="F5566" s="285"/>
      <c r="G5566" s="94"/>
    </row>
    <row r="5567" spans="1:7" hidden="1">
      <c r="A5567" s="98"/>
      <c r="B5567" s="968"/>
      <c r="C5567" s="969"/>
      <c r="D5567" s="171"/>
      <c r="E5567" s="251"/>
      <c r="F5567" s="285"/>
      <c r="G5567" s="94"/>
    </row>
    <row r="5568" spans="1:7" hidden="1">
      <c r="A5568" s="98"/>
      <c r="B5568" s="940"/>
      <c r="C5568" s="941"/>
      <c r="D5568" s="99"/>
      <c r="E5568" s="253"/>
      <c r="F5568" s="302"/>
      <c r="G5568" s="94"/>
    </row>
    <row r="5569" spans="1:7" hidden="1">
      <c r="A5569" s="98"/>
      <c r="B5569" s="968"/>
      <c r="C5569" s="969"/>
      <c r="D5569" s="92"/>
      <c r="E5569" s="252"/>
      <c r="F5569" s="285"/>
      <c r="G5569" s="94"/>
    </row>
    <row r="5570" spans="1:7" hidden="1">
      <c r="A5570" s="98"/>
      <c r="B5570" s="968"/>
      <c r="C5570" s="969"/>
      <c r="D5570" s="171"/>
      <c r="E5570" s="260"/>
      <c r="F5570" s="285"/>
      <c r="G5570" s="94"/>
    </row>
    <row r="5571" spans="1:7" ht="15" hidden="1" thickBot="1">
      <c r="A5571" s="98"/>
      <c r="B5571" s="1139"/>
      <c r="C5571" s="1140"/>
      <c r="D5571" s="99"/>
      <c r="E5571" s="253"/>
      <c r="F5571" s="302"/>
      <c r="G5571" s="94"/>
    </row>
    <row r="5572" spans="1:7" ht="15" hidden="1" thickBot="1">
      <c r="A5572" s="1141"/>
      <c r="B5572" s="933"/>
      <c r="C5572" s="934"/>
      <c r="D5572" s="935"/>
      <c r="E5572" s="936"/>
      <c r="F5572" s="937"/>
      <c r="G5572" s="17"/>
    </row>
    <row r="5573" spans="1:7" ht="15" hidden="1" thickBot="1">
      <c r="A5573" s="1142"/>
      <c r="B5573" s="910"/>
      <c r="C5573" s="911"/>
      <c r="D5573" s="911"/>
      <c r="E5573" s="911"/>
      <c r="F5573" s="911"/>
      <c r="G5573" s="1115"/>
    </row>
    <row r="5574" spans="1:7" ht="15" hidden="1" thickBot="1">
      <c r="A5574" s="1008"/>
      <c r="B5574" s="913"/>
      <c r="C5574" s="914"/>
      <c r="D5574" s="95"/>
      <c r="E5574" s="242"/>
      <c r="F5574" s="286"/>
      <c r="G5574" s="97"/>
    </row>
    <row r="5575" spans="1:7" hidden="1">
      <c r="A5575" s="174"/>
      <c r="B5575" s="1075"/>
      <c r="C5575" s="1076"/>
      <c r="D5575" s="128"/>
      <c r="E5575" s="246"/>
      <c r="F5575" s="295"/>
      <c r="G5575" s="175"/>
    </row>
    <row r="5576" spans="1:7" hidden="1">
      <c r="A5576" s="176"/>
      <c r="B5576" s="940"/>
      <c r="C5576" s="941"/>
      <c r="D5576" s="157"/>
      <c r="E5576" s="259"/>
      <c r="F5576" s="303"/>
      <c r="G5576" s="177"/>
    </row>
    <row r="5577" spans="1:7" ht="15" hidden="1" thickBot="1">
      <c r="A5577" s="103"/>
      <c r="B5577" s="942"/>
      <c r="C5577" s="943"/>
      <c r="D5577" s="104"/>
      <c r="E5577" s="247"/>
      <c r="F5577" s="288"/>
      <c r="G5577" s="106"/>
    </row>
    <row r="5578" spans="1:7" ht="15" hidden="1" thickBot="1">
      <c r="A5578" s="1135"/>
      <c r="B5578" s="945"/>
      <c r="C5578" s="946"/>
      <c r="D5578" s="947"/>
      <c r="E5578" s="948"/>
      <c r="F5578" s="949"/>
      <c r="G5578" s="13"/>
    </row>
    <row r="5579" spans="1:7" ht="15" hidden="1" thickBot="1">
      <c r="A5579" s="1142"/>
      <c r="B5579" s="910"/>
      <c r="C5579" s="911"/>
      <c r="D5579" s="911"/>
      <c r="E5579" s="911"/>
      <c r="F5579" s="911"/>
      <c r="G5579" s="1115"/>
    </row>
    <row r="5580" spans="1:7" ht="15" hidden="1" thickBot="1">
      <c r="A5580" s="1008"/>
      <c r="B5580" s="95"/>
      <c r="C5580" s="95"/>
      <c r="D5580" s="95"/>
      <c r="E5580" s="242"/>
      <c r="F5580" s="286"/>
      <c r="G5580" s="97"/>
    </row>
    <row r="5581" spans="1:7" hidden="1">
      <c r="A5581" s="108"/>
      <c r="B5581" s="160"/>
      <c r="C5581" s="161"/>
      <c r="D5581" s="109"/>
      <c r="E5581" s="254"/>
      <c r="F5581" s="304"/>
      <c r="G5581" s="177"/>
    </row>
    <row r="5582" spans="1:7" ht="15" hidden="1" thickBot="1">
      <c r="A5582" s="1127"/>
      <c r="B5582" s="1128"/>
      <c r="C5582" s="1129"/>
      <c r="D5582" s="1130"/>
      <c r="E5582" s="1131"/>
      <c r="F5582" s="1132"/>
      <c r="G5582" s="14"/>
    </row>
    <row r="5583" spans="1:7" ht="15" hidden="1" thickBot="1">
      <c r="A5583" s="991"/>
      <c r="B5583" s="991"/>
      <c r="C5583" s="1134"/>
      <c r="D5583" s="923"/>
      <c r="E5583" s="924"/>
      <c r="F5583" s="925"/>
      <c r="G5583" s="153"/>
    </row>
    <row r="5584" spans="1:7" ht="15" hidden="1" thickBot="1">
      <c r="A5584" s="40"/>
      <c r="B5584" s="40"/>
      <c r="C5584" s="40"/>
      <c r="D5584" s="146"/>
      <c r="E5584" s="250"/>
      <c r="F5584" s="298"/>
      <c r="G5584" s="147"/>
    </row>
    <row r="5585" spans="1:7" ht="15" hidden="1" thickBot="1">
      <c r="A5585" s="1027"/>
      <c r="B5585" s="1028"/>
      <c r="C5585" s="1028"/>
      <c r="D5585" s="1028"/>
      <c r="E5585" s="1028"/>
      <c r="F5585" s="1028"/>
      <c r="G5585" s="1029"/>
    </row>
    <row r="5586" spans="1:7" ht="15" hidden="1" thickBot="1">
      <c r="A5586" s="950"/>
      <c r="B5586" s="951"/>
      <c r="C5586" s="951"/>
      <c r="D5586" s="951"/>
      <c r="E5586" s="952"/>
      <c r="F5586" s="272"/>
      <c r="G5586" s="191"/>
    </row>
    <row r="5587" spans="1:7" ht="14.45" hidden="1" customHeight="1" thickBot="1">
      <c r="A5587" s="953"/>
      <c r="B5587" s="954"/>
      <c r="C5587" s="954"/>
      <c r="D5587" s="954"/>
      <c r="E5587" s="955"/>
      <c r="F5587" s="273"/>
      <c r="G5587" s="45"/>
    </row>
    <row r="5588" spans="1:7" ht="15" hidden="1" thickBot="1">
      <c r="A5588" s="956"/>
      <c r="B5588" s="957"/>
      <c r="C5588" s="957"/>
      <c r="D5588" s="957"/>
      <c r="E5588" s="958"/>
      <c r="F5588" s="273"/>
      <c r="G5588" s="46"/>
    </row>
    <row r="5589" spans="1:7" ht="15" hidden="1" thickBot="1">
      <c r="A5589" s="959"/>
      <c r="B5589" s="960"/>
      <c r="C5589" s="960"/>
      <c r="D5589" s="960"/>
      <c r="E5589" s="961"/>
      <c r="F5589" s="274"/>
      <c r="G5589" s="48"/>
    </row>
    <row r="5590" spans="1:7" ht="15" hidden="1" thickBot="1">
      <c r="A5590" s="1138"/>
      <c r="B5590" s="1033"/>
      <c r="C5590" s="1034"/>
      <c r="D5590" s="1034"/>
      <c r="E5590" s="1034"/>
      <c r="F5590" s="1034"/>
      <c r="G5590" s="1120"/>
    </row>
    <row r="5591" spans="1:7" ht="15" hidden="1" thickBot="1">
      <c r="A5591" s="1008"/>
      <c r="B5591" s="913"/>
      <c r="C5591" s="914"/>
      <c r="D5591" s="95"/>
      <c r="E5591" s="242"/>
      <c r="F5591" s="286"/>
      <c r="G5591" s="97"/>
    </row>
    <row r="5592" spans="1:7" ht="15" hidden="1" thickBot="1">
      <c r="A5592" s="87"/>
      <c r="B5592" s="966"/>
      <c r="C5592" s="967"/>
      <c r="D5592" s="88"/>
      <c r="E5592" s="251"/>
      <c r="F5592" s="284"/>
      <c r="G5592" s="90"/>
    </row>
    <row r="5593" spans="1:7" ht="15" hidden="1" thickBot="1">
      <c r="A5593" s="91"/>
      <c r="B5593" s="968"/>
      <c r="C5593" s="969"/>
      <c r="D5593" s="92"/>
      <c r="E5593" s="252"/>
      <c r="F5593" s="285"/>
      <c r="G5593" s="94"/>
    </row>
    <row r="5594" spans="1:7" hidden="1">
      <c r="A5594" s="91"/>
      <c r="B5594" s="930"/>
      <c r="C5594" s="931"/>
      <c r="D5594" s="88"/>
      <c r="E5594" s="251"/>
      <c r="F5594" s="284"/>
      <c r="G5594" s="94"/>
    </row>
    <row r="5595" spans="1:7" ht="15" hidden="1" thickBot="1">
      <c r="A5595" s="172"/>
      <c r="B5595" s="1012"/>
      <c r="C5595" s="1013"/>
      <c r="D5595" s="119"/>
      <c r="E5595" s="244"/>
      <c r="F5595" s="294"/>
      <c r="G5595" s="173"/>
    </row>
    <row r="5596" spans="1:7" ht="15" hidden="1" thickBot="1">
      <c r="A5596" s="1143"/>
      <c r="B5596" s="1088"/>
      <c r="C5596" s="1089"/>
      <c r="D5596" s="935"/>
      <c r="E5596" s="936"/>
      <c r="F5596" s="937"/>
      <c r="G5596" s="13"/>
    </row>
    <row r="5597" spans="1:7" ht="15" hidden="1" thickBot="1">
      <c r="A5597" s="1142"/>
      <c r="B5597" s="910"/>
      <c r="C5597" s="911"/>
      <c r="D5597" s="911"/>
      <c r="E5597" s="911"/>
      <c r="F5597" s="911"/>
      <c r="G5597" s="1115"/>
    </row>
    <row r="5598" spans="1:7" ht="15" hidden="1" thickBot="1">
      <c r="A5598" s="1008"/>
      <c r="B5598" s="913"/>
      <c r="C5598" s="914"/>
      <c r="D5598" s="95"/>
      <c r="E5598" s="242"/>
      <c r="F5598" s="286"/>
      <c r="G5598" s="97"/>
    </row>
    <row r="5599" spans="1:7" hidden="1">
      <c r="A5599" s="108"/>
      <c r="B5599" s="930"/>
      <c r="C5599" s="931"/>
      <c r="D5599" s="92"/>
      <c r="E5599" s="252"/>
      <c r="F5599" s="285"/>
      <c r="G5599" s="94"/>
    </row>
    <row r="5600" spans="1:7" hidden="1">
      <c r="A5600" s="98"/>
      <c r="B5600" s="968"/>
      <c r="C5600" s="969"/>
      <c r="D5600" s="92"/>
      <c r="E5600" s="252"/>
      <c r="F5600" s="285"/>
      <c r="G5600" s="94"/>
    </row>
    <row r="5601" spans="1:7" hidden="1">
      <c r="A5601" s="98"/>
      <c r="B5601" s="968"/>
      <c r="C5601" s="969"/>
      <c r="D5601" s="171"/>
      <c r="E5601" s="260"/>
      <c r="F5601" s="285"/>
      <c r="G5601" s="94"/>
    </row>
    <row r="5602" spans="1:7" hidden="1">
      <c r="A5602" s="98"/>
      <c r="B5602" s="940"/>
      <c r="C5602" s="941"/>
      <c r="D5602" s="99"/>
      <c r="E5602" s="253"/>
      <c r="F5602" s="302"/>
      <c r="G5602" s="94"/>
    </row>
    <row r="5603" spans="1:7" hidden="1">
      <c r="A5603" s="98"/>
      <c r="B5603" s="968"/>
      <c r="C5603" s="969"/>
      <c r="D5603" s="92"/>
      <c r="E5603" s="252"/>
      <c r="F5603" s="285"/>
      <c r="G5603" s="94"/>
    </row>
    <row r="5604" spans="1:7" hidden="1">
      <c r="A5604" s="98"/>
      <c r="B5604" s="968"/>
      <c r="C5604" s="969"/>
      <c r="D5604" s="171"/>
      <c r="E5604" s="260"/>
      <c r="F5604" s="285"/>
      <c r="G5604" s="94"/>
    </row>
    <row r="5605" spans="1:7" ht="15" hidden="1" thickBot="1">
      <c r="A5605" s="98"/>
      <c r="B5605" s="1139"/>
      <c r="C5605" s="1140"/>
      <c r="D5605" s="99"/>
      <c r="E5605" s="253"/>
      <c r="F5605" s="302"/>
      <c r="G5605" s="94"/>
    </row>
    <row r="5606" spans="1:7" ht="15" hidden="1" thickBot="1">
      <c r="A5606" s="1141"/>
      <c r="B5606" s="933"/>
      <c r="C5606" s="934"/>
      <c r="D5606" s="935"/>
      <c r="E5606" s="936"/>
      <c r="F5606" s="937"/>
      <c r="G5606" s="17"/>
    </row>
    <row r="5607" spans="1:7" ht="15" hidden="1" thickBot="1">
      <c r="A5607" s="1142"/>
      <c r="B5607" s="910"/>
      <c r="C5607" s="911"/>
      <c r="D5607" s="911"/>
      <c r="E5607" s="911"/>
      <c r="F5607" s="911"/>
      <c r="G5607" s="1115"/>
    </row>
    <row r="5608" spans="1:7" ht="15" hidden="1" thickBot="1">
      <c r="A5608" s="1008"/>
      <c r="B5608" s="913"/>
      <c r="C5608" s="914"/>
      <c r="D5608" s="95"/>
      <c r="E5608" s="242"/>
      <c r="F5608" s="286"/>
      <c r="G5608" s="97"/>
    </row>
    <row r="5609" spans="1:7" hidden="1">
      <c r="A5609" s="174"/>
      <c r="B5609" s="940"/>
      <c r="C5609" s="941"/>
      <c r="D5609" s="157"/>
      <c r="E5609" s="259"/>
      <c r="F5609" s="303"/>
      <c r="G5609" s="177"/>
    </row>
    <row r="5610" spans="1:7" hidden="1">
      <c r="A5610" s="176"/>
      <c r="B5610" s="940"/>
      <c r="C5610" s="941"/>
      <c r="D5610" s="157"/>
      <c r="E5610" s="259"/>
      <c r="F5610" s="303"/>
      <c r="G5610" s="177"/>
    </row>
    <row r="5611" spans="1:7" ht="15" hidden="1" thickBot="1">
      <c r="A5611" s="103"/>
      <c r="B5611" s="942"/>
      <c r="C5611" s="943"/>
      <c r="D5611" s="104"/>
      <c r="E5611" s="247"/>
      <c r="F5611" s="288"/>
      <c r="G5611" s="106"/>
    </row>
    <row r="5612" spans="1:7" ht="15" hidden="1" thickBot="1">
      <c r="A5612" s="1135"/>
      <c r="B5612" s="945"/>
      <c r="C5612" s="946"/>
      <c r="D5612" s="947"/>
      <c r="E5612" s="948"/>
      <c r="F5612" s="949"/>
      <c r="G5612" s="13"/>
    </row>
    <row r="5613" spans="1:7" ht="15" hidden="1" thickBot="1">
      <c r="A5613" s="1142"/>
      <c r="B5613" s="910"/>
      <c r="C5613" s="911"/>
      <c r="D5613" s="911"/>
      <c r="E5613" s="911"/>
      <c r="F5613" s="911"/>
      <c r="G5613" s="1115"/>
    </row>
    <row r="5614" spans="1:7" ht="15" hidden="1" thickBot="1">
      <c r="A5614" s="1008"/>
      <c r="B5614" s="95"/>
      <c r="C5614" s="95"/>
      <c r="D5614" s="95"/>
      <c r="E5614" s="242"/>
      <c r="F5614" s="286"/>
      <c r="G5614" s="97"/>
    </row>
    <row r="5615" spans="1:7" hidden="1">
      <c r="A5615" s="108"/>
      <c r="B5615" s="160"/>
      <c r="C5615" s="161"/>
      <c r="D5615" s="109"/>
      <c r="E5615" s="254"/>
      <c r="F5615" s="304"/>
      <c r="G5615" s="177"/>
    </row>
    <row r="5616" spans="1:7" ht="15" hidden="1" thickBot="1">
      <c r="A5616" s="1127"/>
      <c r="B5616" s="1128"/>
      <c r="C5616" s="1129"/>
      <c r="D5616" s="1130"/>
      <c r="E5616" s="1131"/>
      <c r="F5616" s="1132"/>
      <c r="G5616" s="14"/>
    </row>
    <row r="5617" spans="1:7" ht="15" hidden="1" thickBot="1">
      <c r="A5617" s="991"/>
      <c r="B5617" s="991"/>
      <c r="C5617" s="1134"/>
      <c r="D5617" s="923"/>
      <c r="E5617" s="924"/>
      <c r="F5617" s="925"/>
      <c r="G5617" s="153"/>
    </row>
    <row r="5618" spans="1:7" ht="15" hidden="1" thickBot="1">
      <c r="A5618" s="40"/>
      <c r="B5618" s="40"/>
      <c r="C5618" s="40"/>
      <c r="D5618" s="146"/>
      <c r="E5618" s="250"/>
      <c r="F5618" s="298"/>
      <c r="G5618" s="147"/>
    </row>
    <row r="5619" spans="1:7" ht="15" hidden="1" thickBot="1">
      <c r="A5619" s="1027"/>
      <c r="B5619" s="1028"/>
      <c r="C5619" s="1028"/>
      <c r="D5619" s="1028"/>
      <c r="E5619" s="1028"/>
      <c r="F5619" s="1028"/>
      <c r="G5619" s="1029"/>
    </row>
    <row r="5620" spans="1:7" ht="15" hidden="1" thickBot="1">
      <c r="A5620" s="950"/>
      <c r="B5620" s="951"/>
      <c r="C5620" s="951"/>
      <c r="D5620" s="951"/>
      <c r="E5620" s="952"/>
      <c r="F5620" s="272"/>
      <c r="G5620" s="191"/>
    </row>
    <row r="5621" spans="1:7" ht="14.45" hidden="1" customHeight="1" thickBot="1">
      <c r="A5621" s="953"/>
      <c r="B5621" s="954"/>
      <c r="C5621" s="954"/>
      <c r="D5621" s="954"/>
      <c r="E5621" s="955"/>
      <c r="F5621" s="273"/>
      <c r="G5621" s="45"/>
    </row>
    <row r="5622" spans="1:7" ht="15" hidden="1" thickBot="1">
      <c r="A5622" s="956"/>
      <c r="B5622" s="957"/>
      <c r="C5622" s="957"/>
      <c r="D5622" s="957"/>
      <c r="E5622" s="958"/>
      <c r="F5622" s="273"/>
      <c r="G5622" s="46"/>
    </row>
    <row r="5623" spans="1:7" ht="15" hidden="1" thickBot="1">
      <c r="A5623" s="959"/>
      <c r="B5623" s="960"/>
      <c r="C5623" s="960"/>
      <c r="D5623" s="960"/>
      <c r="E5623" s="961"/>
      <c r="F5623" s="274"/>
      <c r="G5623" s="48"/>
    </row>
    <row r="5624" spans="1:7" ht="15" hidden="1" thickBot="1">
      <c r="A5624" s="1138"/>
      <c r="B5624" s="1033"/>
      <c r="C5624" s="1034"/>
      <c r="D5624" s="1034"/>
      <c r="E5624" s="1034"/>
      <c r="F5624" s="1034"/>
      <c r="G5624" s="1120"/>
    </row>
    <row r="5625" spans="1:7" ht="15" hidden="1" thickBot="1">
      <c r="A5625" s="1008"/>
      <c r="B5625" s="913"/>
      <c r="C5625" s="914"/>
      <c r="D5625" s="95"/>
      <c r="E5625" s="242"/>
      <c r="F5625" s="286"/>
      <c r="G5625" s="97"/>
    </row>
    <row r="5626" spans="1:7" ht="15" hidden="1" thickBot="1">
      <c r="A5626" s="87"/>
      <c r="B5626" s="966"/>
      <c r="C5626" s="967"/>
      <c r="D5626" s="88"/>
      <c r="E5626" s="251"/>
      <c r="F5626" s="284"/>
      <c r="G5626" s="90"/>
    </row>
    <row r="5627" spans="1:7" ht="15" hidden="1" thickBot="1">
      <c r="A5627" s="91"/>
      <c r="B5627" s="968"/>
      <c r="C5627" s="969"/>
      <c r="D5627" s="92"/>
      <c r="E5627" s="252"/>
      <c r="F5627" s="285"/>
      <c r="G5627" s="94"/>
    </row>
    <row r="5628" spans="1:7" hidden="1">
      <c r="A5628" s="91"/>
      <c r="B5628" s="930"/>
      <c r="C5628" s="931"/>
      <c r="D5628" s="88"/>
      <c r="E5628" s="251"/>
      <c r="F5628" s="284"/>
      <c r="G5628" s="94"/>
    </row>
    <row r="5629" spans="1:7" ht="15" hidden="1" thickBot="1">
      <c r="A5629" s="172"/>
      <c r="B5629" s="1012"/>
      <c r="C5629" s="1013"/>
      <c r="D5629" s="119"/>
      <c r="E5629" s="244"/>
      <c r="F5629" s="294"/>
      <c r="G5629" s="173"/>
    </row>
    <row r="5630" spans="1:7" ht="15" hidden="1" thickBot="1">
      <c r="A5630" s="1143"/>
      <c r="B5630" s="1088"/>
      <c r="C5630" s="1089"/>
      <c r="D5630" s="935"/>
      <c r="E5630" s="936"/>
      <c r="F5630" s="937"/>
      <c r="G5630" s="13"/>
    </row>
    <row r="5631" spans="1:7" ht="15" hidden="1" thickBot="1">
      <c r="A5631" s="1142"/>
      <c r="B5631" s="910"/>
      <c r="C5631" s="911"/>
      <c r="D5631" s="911"/>
      <c r="E5631" s="911"/>
      <c r="F5631" s="911"/>
      <c r="G5631" s="1115"/>
    </row>
    <row r="5632" spans="1:7" ht="15" hidden="1" thickBot="1">
      <c r="A5632" s="1008"/>
      <c r="B5632" s="913"/>
      <c r="C5632" s="914"/>
      <c r="D5632" s="95"/>
      <c r="E5632" s="242"/>
      <c r="F5632" s="286"/>
      <c r="G5632" s="97"/>
    </row>
    <row r="5633" spans="1:7" hidden="1">
      <c r="A5633" s="108"/>
      <c r="B5633" s="930"/>
      <c r="C5633" s="931"/>
      <c r="D5633" s="92"/>
      <c r="E5633" s="252"/>
      <c r="F5633" s="285"/>
      <c r="G5633" s="94"/>
    </row>
    <row r="5634" spans="1:7" hidden="1">
      <c r="A5634" s="98"/>
      <c r="B5634" s="968"/>
      <c r="C5634" s="969"/>
      <c r="D5634" s="92"/>
      <c r="E5634" s="252"/>
      <c r="F5634" s="285"/>
      <c r="G5634" s="94"/>
    </row>
    <row r="5635" spans="1:7" hidden="1">
      <c r="A5635" s="98"/>
      <c r="B5635" s="968"/>
      <c r="C5635" s="969"/>
      <c r="D5635" s="171"/>
      <c r="E5635" s="260"/>
      <c r="F5635" s="285"/>
      <c r="G5635" s="94"/>
    </row>
    <row r="5636" spans="1:7" hidden="1">
      <c r="A5636" s="98"/>
      <c r="B5636" s="940"/>
      <c r="C5636" s="941"/>
      <c r="D5636" s="99"/>
      <c r="E5636" s="253"/>
      <c r="F5636" s="302"/>
      <c r="G5636" s="94"/>
    </row>
    <row r="5637" spans="1:7" hidden="1">
      <c r="A5637" s="98"/>
      <c r="B5637" s="968"/>
      <c r="C5637" s="969"/>
      <c r="D5637" s="92"/>
      <c r="E5637" s="252"/>
      <c r="F5637" s="285"/>
      <c r="G5637" s="94"/>
    </row>
    <row r="5638" spans="1:7" hidden="1">
      <c r="A5638" s="98"/>
      <c r="B5638" s="968"/>
      <c r="C5638" s="969"/>
      <c r="D5638" s="171"/>
      <c r="E5638" s="260"/>
      <c r="F5638" s="285"/>
      <c r="G5638" s="94"/>
    </row>
    <row r="5639" spans="1:7" ht="15" hidden="1" thickBot="1">
      <c r="A5639" s="98"/>
      <c r="B5639" s="1139"/>
      <c r="C5639" s="1140"/>
      <c r="D5639" s="99"/>
      <c r="E5639" s="253"/>
      <c r="F5639" s="302"/>
      <c r="G5639" s="94"/>
    </row>
    <row r="5640" spans="1:7" ht="15" hidden="1" thickBot="1">
      <c r="A5640" s="1141"/>
      <c r="B5640" s="933"/>
      <c r="C5640" s="934"/>
      <c r="D5640" s="935"/>
      <c r="E5640" s="936"/>
      <c r="F5640" s="937"/>
      <c r="G5640" s="17"/>
    </row>
    <row r="5641" spans="1:7" ht="15" hidden="1" thickBot="1">
      <c r="A5641" s="1142"/>
      <c r="B5641" s="910"/>
      <c r="C5641" s="911"/>
      <c r="D5641" s="911"/>
      <c r="E5641" s="911"/>
      <c r="F5641" s="911"/>
      <c r="G5641" s="1115"/>
    </row>
    <row r="5642" spans="1:7" ht="15" hidden="1" thickBot="1">
      <c r="A5642" s="1008"/>
      <c r="B5642" s="913"/>
      <c r="C5642" s="914"/>
      <c r="D5642" s="95"/>
      <c r="E5642" s="242"/>
      <c r="F5642" s="286"/>
      <c r="G5642" s="97"/>
    </row>
    <row r="5643" spans="1:7" hidden="1">
      <c r="A5643" s="174"/>
      <c r="B5643" s="940"/>
      <c r="C5643" s="941"/>
      <c r="D5643" s="157"/>
      <c r="E5643" s="259"/>
      <c r="F5643" s="303"/>
      <c r="G5643" s="177"/>
    </row>
    <row r="5644" spans="1:7" hidden="1">
      <c r="A5644" s="176"/>
      <c r="B5644" s="940"/>
      <c r="C5644" s="941"/>
      <c r="D5644" s="157"/>
      <c r="E5644" s="259"/>
      <c r="F5644" s="303"/>
      <c r="G5644" s="177"/>
    </row>
    <row r="5645" spans="1:7" ht="15" hidden="1" thickBot="1">
      <c r="A5645" s="103"/>
      <c r="B5645" s="942"/>
      <c r="C5645" s="943"/>
      <c r="D5645" s="104"/>
      <c r="E5645" s="247"/>
      <c r="F5645" s="288"/>
      <c r="G5645" s="106"/>
    </row>
    <row r="5646" spans="1:7" ht="15" hidden="1" thickBot="1">
      <c r="A5646" s="1135"/>
      <c r="B5646" s="945"/>
      <c r="C5646" s="946"/>
      <c r="D5646" s="947"/>
      <c r="E5646" s="948"/>
      <c r="F5646" s="949"/>
      <c r="G5646" s="13"/>
    </row>
    <row r="5647" spans="1:7" ht="15" hidden="1" thickBot="1">
      <c r="A5647" s="1142"/>
      <c r="B5647" s="910"/>
      <c r="C5647" s="911"/>
      <c r="D5647" s="911"/>
      <c r="E5647" s="911"/>
      <c r="F5647" s="911"/>
      <c r="G5647" s="1115"/>
    </row>
    <row r="5648" spans="1:7" ht="15" hidden="1" thickBot="1">
      <c r="A5648" s="1008"/>
      <c r="B5648" s="95"/>
      <c r="C5648" s="95"/>
      <c r="D5648" s="95"/>
      <c r="E5648" s="242"/>
      <c r="F5648" s="286"/>
      <c r="G5648" s="97"/>
    </row>
    <row r="5649" spans="1:7" hidden="1">
      <c r="A5649" s="108"/>
      <c r="B5649" s="160"/>
      <c r="C5649" s="161"/>
      <c r="D5649" s="109"/>
      <c r="E5649" s="254"/>
      <c r="F5649" s="304"/>
      <c r="G5649" s="177"/>
    </row>
    <row r="5650" spans="1:7" ht="15" hidden="1" thickBot="1">
      <c r="A5650" s="1127"/>
      <c r="B5650" s="1128"/>
      <c r="C5650" s="1129"/>
      <c r="D5650" s="1130"/>
      <c r="E5650" s="1131"/>
      <c r="F5650" s="1132"/>
      <c r="G5650" s="14"/>
    </row>
    <row r="5651" spans="1:7" ht="15" hidden="1" thickBot="1">
      <c r="A5651" s="991"/>
      <c r="B5651" s="991"/>
      <c r="C5651" s="1134"/>
      <c r="D5651" s="923"/>
      <c r="E5651" s="924"/>
      <c r="F5651" s="925"/>
      <c r="G5651" s="153"/>
    </row>
    <row r="5652" spans="1:7" hidden="1">
      <c r="A5652" s="40"/>
      <c r="B5652" s="40"/>
      <c r="C5652" s="40"/>
      <c r="D5652" s="146"/>
      <c r="E5652" s="250"/>
      <c r="F5652" s="298"/>
      <c r="G5652" s="147"/>
    </row>
    <row r="5653" spans="1:7" hidden="1"/>
    <row r="5654" spans="1:7" hidden="1"/>
  </sheetData>
  <dataConsolidate/>
  <mergeCells count="6563">
    <mergeCell ref="B250:C250"/>
    <mergeCell ref="B1758:C1758"/>
    <mergeCell ref="B1919:C1919"/>
    <mergeCell ref="B1947:C1947"/>
    <mergeCell ref="B1974:C1974"/>
    <mergeCell ref="A895:C895"/>
    <mergeCell ref="D895:F895"/>
    <mergeCell ref="A896:C896"/>
    <mergeCell ref="D896:F896"/>
    <mergeCell ref="B887:C887"/>
    <mergeCell ref="B888:C888"/>
    <mergeCell ref="A889:C889"/>
    <mergeCell ref="D889:F889"/>
    <mergeCell ref="A890:A891"/>
    <mergeCell ref="B890:G890"/>
    <mergeCell ref="B891:C891"/>
    <mergeCell ref="A883:C883"/>
    <mergeCell ref="D883:F883"/>
    <mergeCell ref="A884:A885"/>
    <mergeCell ref="B884:G884"/>
    <mergeCell ref="B885:C885"/>
    <mergeCell ref="B886:C886"/>
    <mergeCell ref="A878:A879"/>
    <mergeCell ref="B878:G878"/>
    <mergeCell ref="B879:C879"/>
    <mergeCell ref="B880:C880"/>
    <mergeCell ref="B881:C881"/>
    <mergeCell ref="B882:C882"/>
    <mergeCell ref="A873:A874"/>
    <mergeCell ref="B873:G873"/>
    <mergeCell ref="B874:C874"/>
    <mergeCell ref="B875:C875"/>
    <mergeCell ref="B876:C876"/>
    <mergeCell ref="A877:C877"/>
    <mergeCell ref="D877:F877"/>
    <mergeCell ref="A866:C866"/>
    <mergeCell ref="D866:F866"/>
    <mergeCell ref="A867:C867"/>
    <mergeCell ref="D867:F867"/>
    <mergeCell ref="A869:E869"/>
    <mergeCell ref="A870:E872"/>
    <mergeCell ref="B858:C858"/>
    <mergeCell ref="B859:C859"/>
    <mergeCell ref="A860:C860"/>
    <mergeCell ref="D860:F860"/>
    <mergeCell ref="A861:A862"/>
    <mergeCell ref="B861:G861"/>
    <mergeCell ref="B862:C862"/>
    <mergeCell ref="A854:C854"/>
    <mergeCell ref="D854:F854"/>
    <mergeCell ref="A855:A856"/>
    <mergeCell ref="B855:G855"/>
    <mergeCell ref="B856:C856"/>
    <mergeCell ref="B857:C857"/>
    <mergeCell ref="A849:A850"/>
    <mergeCell ref="B849:G849"/>
    <mergeCell ref="B850:C850"/>
    <mergeCell ref="B851:C851"/>
    <mergeCell ref="B852:C852"/>
    <mergeCell ref="B853:C853"/>
    <mergeCell ref="A844:A845"/>
    <mergeCell ref="B844:G844"/>
    <mergeCell ref="B845:C845"/>
    <mergeCell ref="B846:C846"/>
    <mergeCell ref="B847:C847"/>
    <mergeCell ref="A848:C848"/>
    <mergeCell ref="D848:F848"/>
    <mergeCell ref="A837:C837"/>
    <mergeCell ref="D837:F837"/>
    <mergeCell ref="A838:C838"/>
    <mergeCell ref="D838:F838"/>
    <mergeCell ref="A840:E840"/>
    <mergeCell ref="A841:E843"/>
    <mergeCell ref="B829:C829"/>
    <mergeCell ref="B830:C830"/>
    <mergeCell ref="A831:C831"/>
    <mergeCell ref="D831:F831"/>
    <mergeCell ref="A832:A833"/>
    <mergeCell ref="B832:G832"/>
    <mergeCell ref="B833:C833"/>
    <mergeCell ref="A825:C825"/>
    <mergeCell ref="D825:F825"/>
    <mergeCell ref="A826:A827"/>
    <mergeCell ref="B826:G826"/>
    <mergeCell ref="B827:C827"/>
    <mergeCell ref="B828:C828"/>
    <mergeCell ref="A820:A821"/>
    <mergeCell ref="B820:G820"/>
    <mergeCell ref="B821:C821"/>
    <mergeCell ref="B822:C822"/>
    <mergeCell ref="B823:C823"/>
    <mergeCell ref="B824:C824"/>
    <mergeCell ref="A815:A816"/>
    <mergeCell ref="B815:G815"/>
    <mergeCell ref="B816:C816"/>
    <mergeCell ref="B817:C817"/>
    <mergeCell ref="B818:C818"/>
    <mergeCell ref="A819:C819"/>
    <mergeCell ref="D819:F819"/>
    <mergeCell ref="A808:C808"/>
    <mergeCell ref="D808:F808"/>
    <mergeCell ref="A809:C809"/>
    <mergeCell ref="D809:F809"/>
    <mergeCell ref="A811:E811"/>
    <mergeCell ref="A812:E814"/>
    <mergeCell ref="B799:C799"/>
    <mergeCell ref="B800:C800"/>
    <mergeCell ref="B801:C801"/>
    <mergeCell ref="A802:C802"/>
    <mergeCell ref="D802:F802"/>
    <mergeCell ref="A803:A804"/>
    <mergeCell ref="B803:G803"/>
    <mergeCell ref="B804:C804"/>
    <mergeCell ref="B794:C794"/>
    <mergeCell ref="B795:C795"/>
    <mergeCell ref="A796:C796"/>
    <mergeCell ref="D796:F796"/>
    <mergeCell ref="A797:A798"/>
    <mergeCell ref="B797:G797"/>
    <mergeCell ref="B798:C798"/>
    <mergeCell ref="A790:C790"/>
    <mergeCell ref="D790:F790"/>
    <mergeCell ref="A791:A792"/>
    <mergeCell ref="B791:G791"/>
    <mergeCell ref="B792:C792"/>
    <mergeCell ref="B793:C793"/>
    <mergeCell ref="A783:E785"/>
    <mergeCell ref="A786:A787"/>
    <mergeCell ref="B786:G786"/>
    <mergeCell ref="B787:C787"/>
    <mergeCell ref="B788:C788"/>
    <mergeCell ref="B789:C789"/>
    <mergeCell ref="A781:G781"/>
    <mergeCell ref="A782:E782"/>
    <mergeCell ref="A778:C778"/>
    <mergeCell ref="D778:F778"/>
    <mergeCell ref="A779:C779"/>
    <mergeCell ref="D779:F779"/>
    <mergeCell ref="B769:C769"/>
    <mergeCell ref="B770:C770"/>
    <mergeCell ref="B771:C771"/>
    <mergeCell ref="A772:C772"/>
    <mergeCell ref="D772:F772"/>
    <mergeCell ref="A773:A774"/>
    <mergeCell ref="B773:G773"/>
    <mergeCell ref="B774:C774"/>
    <mergeCell ref="B763:C763"/>
    <mergeCell ref="B764:C764"/>
    <mergeCell ref="B765:C765"/>
    <mergeCell ref="A766:C766"/>
    <mergeCell ref="D766:F766"/>
    <mergeCell ref="A767:A768"/>
    <mergeCell ref="B767:G767"/>
    <mergeCell ref="B768:C768"/>
    <mergeCell ref="B758:C758"/>
    <mergeCell ref="B759:C759"/>
    <mergeCell ref="A760:C760"/>
    <mergeCell ref="D760:F760"/>
    <mergeCell ref="A761:A762"/>
    <mergeCell ref="B761:G761"/>
    <mergeCell ref="B762:C762"/>
    <mergeCell ref="A749:C749"/>
    <mergeCell ref="D749:F749"/>
    <mergeCell ref="A751:G751"/>
    <mergeCell ref="A752:E752"/>
    <mergeCell ref="A753:E755"/>
    <mergeCell ref="A756:A757"/>
    <mergeCell ref="B756:G756"/>
    <mergeCell ref="B757:C757"/>
    <mergeCell ref="A745:A746"/>
    <mergeCell ref="B745:G745"/>
    <mergeCell ref="B746:C746"/>
    <mergeCell ref="B747:C747"/>
    <mergeCell ref="A748:C748"/>
    <mergeCell ref="D748:F748"/>
    <mergeCell ref="A741:A742"/>
    <mergeCell ref="B741:G741"/>
    <mergeCell ref="B742:C742"/>
    <mergeCell ref="B743:C743"/>
    <mergeCell ref="A744:C744"/>
    <mergeCell ref="D744:F744"/>
    <mergeCell ref="B736:C736"/>
    <mergeCell ref="B737:C737"/>
    <mergeCell ref="B738:C738"/>
    <mergeCell ref="B739:C739"/>
    <mergeCell ref="A740:C740"/>
    <mergeCell ref="D740:F740"/>
    <mergeCell ref="B731:C731"/>
    <mergeCell ref="B732:C732"/>
    <mergeCell ref="A733:C733"/>
    <mergeCell ref="D733:F733"/>
    <mergeCell ref="A734:A735"/>
    <mergeCell ref="B734:G734"/>
    <mergeCell ref="B735:C735"/>
    <mergeCell ref="B721:C721"/>
    <mergeCell ref="A722:C722"/>
    <mergeCell ref="D722:F722"/>
    <mergeCell ref="A725:E725"/>
    <mergeCell ref="A726:E728"/>
    <mergeCell ref="A729:A730"/>
    <mergeCell ref="B729:G729"/>
    <mergeCell ref="B730:C730"/>
    <mergeCell ref="A5650:C5650"/>
    <mergeCell ref="D5650:F5650"/>
    <mergeCell ref="B5631:G5631"/>
    <mergeCell ref="B5632:C5632"/>
    <mergeCell ref="A5621:E5623"/>
    <mergeCell ref="A5624:A5625"/>
    <mergeCell ref="B5624:G5624"/>
    <mergeCell ref="B5625:C5625"/>
    <mergeCell ref="B5626:C5626"/>
    <mergeCell ref="B5627:C5627"/>
    <mergeCell ref="A5616:C5616"/>
    <mergeCell ref="D5616:F5616"/>
    <mergeCell ref="A5617:C5617"/>
    <mergeCell ref="D5617:F5617"/>
    <mergeCell ref="A5619:G5619"/>
    <mergeCell ref="A5620:E5620"/>
    <mergeCell ref="B5609:C5609"/>
    <mergeCell ref="B5610:C5610"/>
    <mergeCell ref="B5611:C5611"/>
    <mergeCell ref="A5612:C5612"/>
    <mergeCell ref="D5612:F5612"/>
    <mergeCell ref="A5613:A5614"/>
    <mergeCell ref="B5613:G5613"/>
    <mergeCell ref="B5605:C5605"/>
    <mergeCell ref="A5651:C5651"/>
    <mergeCell ref="D5651:F5651"/>
    <mergeCell ref="A550:E550"/>
    <mergeCell ref="A551:E553"/>
    <mergeCell ref="A554:A555"/>
    <mergeCell ref="B554:G554"/>
    <mergeCell ref="B555:C555"/>
    <mergeCell ref="B556:C556"/>
    <mergeCell ref="B5643:C5643"/>
    <mergeCell ref="B5644:C5644"/>
    <mergeCell ref="B5645:C5645"/>
    <mergeCell ref="A5646:C5646"/>
    <mergeCell ref="D5646:F5646"/>
    <mergeCell ref="A5647:A5648"/>
    <mergeCell ref="B5647:G5647"/>
    <mergeCell ref="B5639:C5639"/>
    <mergeCell ref="A5640:C5640"/>
    <mergeCell ref="D5640:F5640"/>
    <mergeCell ref="A5641:A5642"/>
    <mergeCell ref="B5641:G5641"/>
    <mergeCell ref="B5642:C5642"/>
    <mergeCell ref="B5633:C5633"/>
    <mergeCell ref="B5634:C5634"/>
    <mergeCell ref="B5635:C5635"/>
    <mergeCell ref="B5636:C5636"/>
    <mergeCell ref="B5637:C5637"/>
    <mergeCell ref="B5638:C5638"/>
    <mergeCell ref="B5628:C5628"/>
    <mergeCell ref="B5629:C5629"/>
    <mergeCell ref="A5630:C5630"/>
    <mergeCell ref="D5630:F5630"/>
    <mergeCell ref="A5631:A5632"/>
    <mergeCell ref="A5606:C5606"/>
    <mergeCell ref="D5606:F5606"/>
    <mergeCell ref="A5607:A5608"/>
    <mergeCell ref="B5607:G5607"/>
    <mergeCell ref="B5608:C5608"/>
    <mergeCell ref="B5599:C5599"/>
    <mergeCell ref="B5600:C5600"/>
    <mergeCell ref="B5601:C5601"/>
    <mergeCell ref="B5602:C5602"/>
    <mergeCell ref="B5603:C5603"/>
    <mergeCell ref="B5604:C5604"/>
    <mergeCell ref="B5594:C5594"/>
    <mergeCell ref="B5595:C5595"/>
    <mergeCell ref="A5596:C5596"/>
    <mergeCell ref="D5596:F5596"/>
    <mergeCell ref="A5597:A5598"/>
    <mergeCell ref="B5597:G5597"/>
    <mergeCell ref="B5598:C5598"/>
    <mergeCell ref="A5587:E5589"/>
    <mergeCell ref="A5590:A5591"/>
    <mergeCell ref="B5590:G5590"/>
    <mergeCell ref="B5591:C5591"/>
    <mergeCell ref="B5592:C5592"/>
    <mergeCell ref="B5593:C5593"/>
    <mergeCell ref="A5582:C5582"/>
    <mergeCell ref="D5582:F5582"/>
    <mergeCell ref="A5583:C5583"/>
    <mergeCell ref="D5583:F5583"/>
    <mergeCell ref="A5585:G5585"/>
    <mergeCell ref="A5586:E5586"/>
    <mergeCell ref="B5575:C5575"/>
    <mergeCell ref="B5576:C5576"/>
    <mergeCell ref="B5577:C5577"/>
    <mergeCell ref="A5578:C5578"/>
    <mergeCell ref="D5578:F5578"/>
    <mergeCell ref="A5579:A5580"/>
    <mergeCell ref="B5579:G5579"/>
    <mergeCell ref="B5571:C5571"/>
    <mergeCell ref="A5572:C5572"/>
    <mergeCell ref="D5572:F5572"/>
    <mergeCell ref="A5573:A5574"/>
    <mergeCell ref="B5573:G5573"/>
    <mergeCell ref="B5574:C5574"/>
    <mergeCell ref="B5565:C5565"/>
    <mergeCell ref="B5566:C5566"/>
    <mergeCell ref="B5567:C5567"/>
    <mergeCell ref="B5568:C5568"/>
    <mergeCell ref="B5569:C5569"/>
    <mergeCell ref="B5570:C5570"/>
    <mergeCell ref="B5559:C5559"/>
    <mergeCell ref="B5560:C5560"/>
    <mergeCell ref="B5561:C5561"/>
    <mergeCell ref="A5562:C5562"/>
    <mergeCell ref="D5562:F5562"/>
    <mergeCell ref="A5563:A5564"/>
    <mergeCell ref="B5563:G5563"/>
    <mergeCell ref="B5564:C5564"/>
    <mergeCell ref="A5552:E5552"/>
    <mergeCell ref="A5553:E5555"/>
    <mergeCell ref="A5556:A5557"/>
    <mergeCell ref="B5556:G5556"/>
    <mergeCell ref="B5557:C5557"/>
    <mergeCell ref="B5558:C5558"/>
    <mergeCell ref="B5546:C5546"/>
    <mergeCell ref="A5547:C5547"/>
    <mergeCell ref="D5547:F5547"/>
    <mergeCell ref="A5548:C5548"/>
    <mergeCell ref="D5548:F5548"/>
    <mergeCell ref="A5551:G5551"/>
    <mergeCell ref="B5541:C5541"/>
    <mergeCell ref="B5542:C5542"/>
    <mergeCell ref="A5543:C5543"/>
    <mergeCell ref="D5543:F5543"/>
    <mergeCell ref="A5544:A5545"/>
    <mergeCell ref="B5544:G5544"/>
    <mergeCell ref="B5545:C5545"/>
    <mergeCell ref="B5536:C5536"/>
    <mergeCell ref="B5537:C5537"/>
    <mergeCell ref="A5538:C5538"/>
    <mergeCell ref="D5538:F5538"/>
    <mergeCell ref="A5539:A5540"/>
    <mergeCell ref="B5539:G5539"/>
    <mergeCell ref="B5540:C5540"/>
    <mergeCell ref="B5532:C5532"/>
    <mergeCell ref="A5533:C5533"/>
    <mergeCell ref="D5533:F5533"/>
    <mergeCell ref="A5534:A5535"/>
    <mergeCell ref="B5534:G5534"/>
    <mergeCell ref="B5535:C5535"/>
    <mergeCell ref="A5525:E5525"/>
    <mergeCell ref="A5526:E5528"/>
    <mergeCell ref="A5529:A5530"/>
    <mergeCell ref="B5529:G5529"/>
    <mergeCell ref="B5530:C5530"/>
    <mergeCell ref="B5531:C5531"/>
    <mergeCell ref="B5519:C5519"/>
    <mergeCell ref="A5520:C5520"/>
    <mergeCell ref="D5520:F5520"/>
    <mergeCell ref="A5521:C5521"/>
    <mergeCell ref="D5521:F5521"/>
    <mergeCell ref="A5524:G5524"/>
    <mergeCell ref="B5514:C5514"/>
    <mergeCell ref="B5515:C5515"/>
    <mergeCell ref="A5516:C5516"/>
    <mergeCell ref="D5516:F5516"/>
    <mergeCell ref="A5517:A5518"/>
    <mergeCell ref="B5517:G5517"/>
    <mergeCell ref="B5518:C5518"/>
    <mergeCell ref="B5509:C5509"/>
    <mergeCell ref="B5510:C5510"/>
    <mergeCell ref="A5511:C5511"/>
    <mergeCell ref="D5511:F5511"/>
    <mergeCell ref="A5512:A5513"/>
    <mergeCell ref="B5512:G5512"/>
    <mergeCell ref="B5513:C5513"/>
    <mergeCell ref="B5505:C5505"/>
    <mergeCell ref="A5506:C5506"/>
    <mergeCell ref="D5506:F5506"/>
    <mergeCell ref="A5507:A5508"/>
    <mergeCell ref="B5507:G5507"/>
    <mergeCell ref="B5508:C5508"/>
    <mergeCell ref="A5498:E5498"/>
    <mergeCell ref="A5499:E5501"/>
    <mergeCell ref="A5502:A5503"/>
    <mergeCell ref="B5502:G5502"/>
    <mergeCell ref="B5503:C5503"/>
    <mergeCell ref="B5504:C5504"/>
    <mergeCell ref="B5492:C5492"/>
    <mergeCell ref="A5493:C5493"/>
    <mergeCell ref="D5493:F5493"/>
    <mergeCell ref="A5494:C5494"/>
    <mergeCell ref="D5494:F5494"/>
    <mergeCell ref="A5497:G5497"/>
    <mergeCell ref="B5487:C5487"/>
    <mergeCell ref="B5488:C5488"/>
    <mergeCell ref="A5489:C5489"/>
    <mergeCell ref="D5489:F5489"/>
    <mergeCell ref="A5490:A5491"/>
    <mergeCell ref="B5490:G5490"/>
    <mergeCell ref="B5491:C5491"/>
    <mergeCell ref="B5482:C5482"/>
    <mergeCell ref="B5483:C5483"/>
    <mergeCell ref="A5484:C5484"/>
    <mergeCell ref="D5484:F5484"/>
    <mergeCell ref="A5485:A5486"/>
    <mergeCell ref="B5485:G5485"/>
    <mergeCell ref="B5486:C5486"/>
    <mergeCell ref="B5477:C5477"/>
    <mergeCell ref="B5478:C5478"/>
    <mergeCell ref="A5479:C5479"/>
    <mergeCell ref="D5479:F5479"/>
    <mergeCell ref="A5480:A5481"/>
    <mergeCell ref="B5480:G5480"/>
    <mergeCell ref="B5481:C5481"/>
    <mergeCell ref="A5467:C5467"/>
    <mergeCell ref="D5467:F5467"/>
    <mergeCell ref="A5470:G5470"/>
    <mergeCell ref="A5471:E5471"/>
    <mergeCell ref="A5472:E5474"/>
    <mergeCell ref="A5475:A5476"/>
    <mergeCell ref="B5475:G5475"/>
    <mergeCell ref="B5476:C5476"/>
    <mergeCell ref="A5462:A5463"/>
    <mergeCell ref="B5462:G5462"/>
    <mergeCell ref="B5463:C5463"/>
    <mergeCell ref="B5464:C5464"/>
    <mergeCell ref="B5465:C5465"/>
    <mergeCell ref="A5466:C5466"/>
    <mergeCell ref="D5466:F5466"/>
    <mergeCell ref="D5457:F5457"/>
    <mergeCell ref="A5458:A5459"/>
    <mergeCell ref="B5458:G5458"/>
    <mergeCell ref="B5459:C5459"/>
    <mergeCell ref="B5460:C5460"/>
    <mergeCell ref="A5461:C5461"/>
    <mergeCell ref="D5461:F5461"/>
    <mergeCell ref="B5452:C5452"/>
    <mergeCell ref="B5453:C5453"/>
    <mergeCell ref="B5454:C5454"/>
    <mergeCell ref="B5455:C5455"/>
    <mergeCell ref="B5456:C5456"/>
    <mergeCell ref="A5457:C5457"/>
    <mergeCell ref="B5446:C5446"/>
    <mergeCell ref="B5447:C5447"/>
    <mergeCell ref="B5448:C5448"/>
    <mergeCell ref="B5449:C5449"/>
    <mergeCell ref="B5450:C5450"/>
    <mergeCell ref="B5451:C5451"/>
    <mergeCell ref="D5441:F5441"/>
    <mergeCell ref="A5442:A5443"/>
    <mergeCell ref="B5442:G5442"/>
    <mergeCell ref="B5443:C5443"/>
    <mergeCell ref="B5444:C5444"/>
    <mergeCell ref="B5445:C5445"/>
    <mergeCell ref="B5436:C5436"/>
    <mergeCell ref="B5437:C5437"/>
    <mergeCell ref="B5438:C5438"/>
    <mergeCell ref="B5439:C5439"/>
    <mergeCell ref="B5440:C5440"/>
    <mergeCell ref="A5441:C5441"/>
    <mergeCell ref="A5429:E5429"/>
    <mergeCell ref="A5430:E5432"/>
    <mergeCell ref="A5433:A5434"/>
    <mergeCell ref="B5433:G5433"/>
    <mergeCell ref="B5434:C5434"/>
    <mergeCell ref="B5435:C5435"/>
    <mergeCell ref="B5423:C5423"/>
    <mergeCell ref="A5424:C5424"/>
    <mergeCell ref="D5424:F5424"/>
    <mergeCell ref="A5425:C5425"/>
    <mergeCell ref="D5425:F5425"/>
    <mergeCell ref="A5428:G5428"/>
    <mergeCell ref="B5419:C5419"/>
    <mergeCell ref="A5420:C5420"/>
    <mergeCell ref="D5420:F5420"/>
    <mergeCell ref="A5421:A5422"/>
    <mergeCell ref="B5421:G5421"/>
    <mergeCell ref="B5422:C5422"/>
    <mergeCell ref="A5415:C5415"/>
    <mergeCell ref="D5415:F5415"/>
    <mergeCell ref="A5416:A5417"/>
    <mergeCell ref="B5416:G5416"/>
    <mergeCell ref="B5417:C5417"/>
    <mergeCell ref="B5418:C5418"/>
    <mergeCell ref="B5409:C5409"/>
    <mergeCell ref="B5410:C5410"/>
    <mergeCell ref="B5411:C5411"/>
    <mergeCell ref="B5412:C5412"/>
    <mergeCell ref="B5413:C5413"/>
    <mergeCell ref="B5414:C5414"/>
    <mergeCell ref="B5405:C5405"/>
    <mergeCell ref="A5406:C5406"/>
    <mergeCell ref="D5406:F5406"/>
    <mergeCell ref="A5407:A5408"/>
    <mergeCell ref="B5407:G5407"/>
    <mergeCell ref="B5408:C5408"/>
    <mergeCell ref="A5398:E5398"/>
    <mergeCell ref="A5399:E5401"/>
    <mergeCell ref="A5402:A5403"/>
    <mergeCell ref="B5402:G5402"/>
    <mergeCell ref="B5403:C5403"/>
    <mergeCell ref="B5404:C5404"/>
    <mergeCell ref="B5392:C5392"/>
    <mergeCell ref="A5393:C5393"/>
    <mergeCell ref="D5393:F5393"/>
    <mergeCell ref="A5394:C5394"/>
    <mergeCell ref="D5394:F5394"/>
    <mergeCell ref="A5397:G5397"/>
    <mergeCell ref="B5388:C5388"/>
    <mergeCell ref="A5389:C5389"/>
    <mergeCell ref="D5389:F5389"/>
    <mergeCell ref="A5390:A5391"/>
    <mergeCell ref="B5390:G5390"/>
    <mergeCell ref="B5391:C5391"/>
    <mergeCell ref="B5382:C5382"/>
    <mergeCell ref="B5383:C5383"/>
    <mergeCell ref="B5384:C5384"/>
    <mergeCell ref="A5385:C5385"/>
    <mergeCell ref="D5385:F5385"/>
    <mergeCell ref="A5386:A5387"/>
    <mergeCell ref="B5386:G5386"/>
    <mergeCell ref="B5387:C5387"/>
    <mergeCell ref="B5376:C5376"/>
    <mergeCell ref="B5377:C5377"/>
    <mergeCell ref="B5378:C5378"/>
    <mergeCell ref="A5379:C5379"/>
    <mergeCell ref="D5379:F5379"/>
    <mergeCell ref="A5380:A5381"/>
    <mergeCell ref="B5380:G5380"/>
    <mergeCell ref="B5381:C5381"/>
    <mergeCell ref="A5369:G5369"/>
    <mergeCell ref="A5370:E5370"/>
    <mergeCell ref="A5371:E5373"/>
    <mergeCell ref="A5374:A5375"/>
    <mergeCell ref="B5374:G5374"/>
    <mergeCell ref="B5375:C5375"/>
    <mergeCell ref="B5363:C5363"/>
    <mergeCell ref="B5364:C5364"/>
    <mergeCell ref="A5365:C5365"/>
    <mergeCell ref="D5365:F5365"/>
    <mergeCell ref="A5366:C5366"/>
    <mergeCell ref="D5366:F5366"/>
    <mergeCell ref="B5358:C5358"/>
    <mergeCell ref="B5359:C5359"/>
    <mergeCell ref="A5360:C5360"/>
    <mergeCell ref="D5360:F5360"/>
    <mergeCell ref="A5361:A5362"/>
    <mergeCell ref="B5361:G5361"/>
    <mergeCell ref="B5362:C5362"/>
    <mergeCell ref="B5354:C5354"/>
    <mergeCell ref="A5355:C5355"/>
    <mergeCell ref="D5355:F5355"/>
    <mergeCell ref="A5356:A5357"/>
    <mergeCell ref="B5356:G5356"/>
    <mergeCell ref="B5357:C5357"/>
    <mergeCell ref="B5348:C5348"/>
    <mergeCell ref="B5349:C5349"/>
    <mergeCell ref="B5350:C5350"/>
    <mergeCell ref="A5351:C5351"/>
    <mergeCell ref="D5351:F5351"/>
    <mergeCell ref="A5352:A5353"/>
    <mergeCell ref="B5352:G5352"/>
    <mergeCell ref="B5353:C5353"/>
    <mergeCell ref="A5341:G5341"/>
    <mergeCell ref="A5342:E5342"/>
    <mergeCell ref="A5343:E5345"/>
    <mergeCell ref="A5346:A5347"/>
    <mergeCell ref="B5346:G5346"/>
    <mergeCell ref="B5347:C5347"/>
    <mergeCell ref="B5335:C5335"/>
    <mergeCell ref="B5336:C5336"/>
    <mergeCell ref="A5337:C5337"/>
    <mergeCell ref="D5337:F5337"/>
    <mergeCell ref="A5338:C5338"/>
    <mergeCell ref="D5338:F5338"/>
    <mergeCell ref="B5330:C5330"/>
    <mergeCell ref="B5331:C5331"/>
    <mergeCell ref="A5332:C5332"/>
    <mergeCell ref="D5332:F5332"/>
    <mergeCell ref="A5333:A5334"/>
    <mergeCell ref="B5333:G5333"/>
    <mergeCell ref="B5334:C5334"/>
    <mergeCell ref="B5325:C5325"/>
    <mergeCell ref="B5326:C5326"/>
    <mergeCell ref="A5327:C5327"/>
    <mergeCell ref="D5327:F5327"/>
    <mergeCell ref="A5328:A5329"/>
    <mergeCell ref="B5328:G5328"/>
    <mergeCell ref="B5329:C5329"/>
    <mergeCell ref="B5319:C5319"/>
    <mergeCell ref="B5320:C5320"/>
    <mergeCell ref="B5321:C5321"/>
    <mergeCell ref="B5322:C5322"/>
    <mergeCell ref="B5323:C5323"/>
    <mergeCell ref="B5324:C5324"/>
    <mergeCell ref="B5313:C5313"/>
    <mergeCell ref="B5314:C5314"/>
    <mergeCell ref="B5315:C5315"/>
    <mergeCell ref="B5316:C5316"/>
    <mergeCell ref="B5317:C5317"/>
    <mergeCell ref="B5318:C5318"/>
    <mergeCell ref="B5307:C5307"/>
    <mergeCell ref="B5308:C5308"/>
    <mergeCell ref="B5309:C5309"/>
    <mergeCell ref="A5310:C5310"/>
    <mergeCell ref="D5310:F5310"/>
    <mergeCell ref="A5311:A5312"/>
    <mergeCell ref="B5311:G5311"/>
    <mergeCell ref="B5312:C5312"/>
    <mergeCell ref="A5300:G5300"/>
    <mergeCell ref="A5301:E5301"/>
    <mergeCell ref="A5302:E5304"/>
    <mergeCell ref="A5305:A5306"/>
    <mergeCell ref="B5305:G5305"/>
    <mergeCell ref="B5306:C5306"/>
    <mergeCell ref="B5294:C5294"/>
    <mergeCell ref="B5295:C5295"/>
    <mergeCell ref="A5296:C5296"/>
    <mergeCell ref="D5296:F5296"/>
    <mergeCell ref="A5297:C5297"/>
    <mergeCell ref="D5297:F5297"/>
    <mergeCell ref="B5289:C5289"/>
    <mergeCell ref="B5290:C5290"/>
    <mergeCell ref="A5291:C5291"/>
    <mergeCell ref="D5291:F5291"/>
    <mergeCell ref="A5292:A5293"/>
    <mergeCell ref="B5292:G5292"/>
    <mergeCell ref="B5293:C5293"/>
    <mergeCell ref="B5284:C5284"/>
    <mergeCell ref="B5285:C5285"/>
    <mergeCell ref="A5286:C5286"/>
    <mergeCell ref="D5286:F5286"/>
    <mergeCell ref="A5287:A5288"/>
    <mergeCell ref="B5287:G5287"/>
    <mergeCell ref="B5288:C5288"/>
    <mergeCell ref="B5278:C5278"/>
    <mergeCell ref="B5279:C5279"/>
    <mergeCell ref="B5280:C5280"/>
    <mergeCell ref="B5281:C5281"/>
    <mergeCell ref="B5282:C5282"/>
    <mergeCell ref="B5283:C5283"/>
    <mergeCell ref="B5272:C5272"/>
    <mergeCell ref="B5273:C5273"/>
    <mergeCell ref="B5274:C5274"/>
    <mergeCell ref="B5275:C5275"/>
    <mergeCell ref="B5276:C5276"/>
    <mergeCell ref="B5277:C5277"/>
    <mergeCell ref="B5266:C5266"/>
    <mergeCell ref="B5267:C5267"/>
    <mergeCell ref="B5268:C5268"/>
    <mergeCell ref="A5269:C5269"/>
    <mergeCell ref="D5269:F5269"/>
    <mergeCell ref="A5270:A5271"/>
    <mergeCell ref="B5270:G5270"/>
    <mergeCell ref="B5271:C5271"/>
    <mergeCell ref="A5256:C5256"/>
    <mergeCell ref="D5256:F5256"/>
    <mergeCell ref="A5259:G5259"/>
    <mergeCell ref="A5260:E5260"/>
    <mergeCell ref="A5261:E5263"/>
    <mergeCell ref="A5264:A5265"/>
    <mergeCell ref="B5264:G5264"/>
    <mergeCell ref="B5265:C5265"/>
    <mergeCell ref="A5252:A5253"/>
    <mergeCell ref="B5252:G5252"/>
    <mergeCell ref="B5253:C5253"/>
    <mergeCell ref="B5254:C5254"/>
    <mergeCell ref="A5255:C5255"/>
    <mergeCell ref="D5255:F5255"/>
    <mergeCell ref="A5248:A5249"/>
    <mergeCell ref="B5248:G5248"/>
    <mergeCell ref="B5249:C5249"/>
    <mergeCell ref="B5250:C5250"/>
    <mergeCell ref="A5251:C5251"/>
    <mergeCell ref="D5251:F5251"/>
    <mergeCell ref="B5243:C5243"/>
    <mergeCell ref="B5244:C5244"/>
    <mergeCell ref="B5245:C5245"/>
    <mergeCell ref="B5246:C5246"/>
    <mergeCell ref="A5247:C5247"/>
    <mergeCell ref="D5247:F5247"/>
    <mergeCell ref="B5238:C5238"/>
    <mergeCell ref="B5239:C5239"/>
    <mergeCell ref="A5240:C5240"/>
    <mergeCell ref="D5240:F5240"/>
    <mergeCell ref="A5241:A5242"/>
    <mergeCell ref="B5241:G5241"/>
    <mergeCell ref="B5242:C5242"/>
    <mergeCell ref="A5231:E5231"/>
    <mergeCell ref="A5232:E5234"/>
    <mergeCell ref="A5235:A5236"/>
    <mergeCell ref="B5235:G5235"/>
    <mergeCell ref="B5236:C5236"/>
    <mergeCell ref="B5237:C5237"/>
    <mergeCell ref="B5225:C5225"/>
    <mergeCell ref="A5226:C5226"/>
    <mergeCell ref="D5226:F5226"/>
    <mergeCell ref="A5227:C5227"/>
    <mergeCell ref="D5227:F5227"/>
    <mergeCell ref="A5230:G5230"/>
    <mergeCell ref="B5221:C5221"/>
    <mergeCell ref="A5222:C5222"/>
    <mergeCell ref="D5222:F5222"/>
    <mergeCell ref="A5223:A5224"/>
    <mergeCell ref="B5223:G5223"/>
    <mergeCell ref="B5224:C5224"/>
    <mergeCell ref="B5215:C5215"/>
    <mergeCell ref="B5216:C5216"/>
    <mergeCell ref="B5217:C5217"/>
    <mergeCell ref="A5218:C5218"/>
    <mergeCell ref="D5218:F5218"/>
    <mergeCell ref="A5219:A5220"/>
    <mergeCell ref="B5219:G5219"/>
    <mergeCell ref="B5220:C5220"/>
    <mergeCell ref="B5209:C5209"/>
    <mergeCell ref="B5210:C5210"/>
    <mergeCell ref="B5211:C5211"/>
    <mergeCell ref="A5212:C5212"/>
    <mergeCell ref="D5212:F5212"/>
    <mergeCell ref="A5213:A5214"/>
    <mergeCell ref="B5213:G5213"/>
    <mergeCell ref="B5214:C5214"/>
    <mergeCell ref="A5199:C5199"/>
    <mergeCell ref="D5199:F5199"/>
    <mergeCell ref="A5202:G5202"/>
    <mergeCell ref="A5203:E5203"/>
    <mergeCell ref="A5204:E5206"/>
    <mergeCell ref="A5207:A5208"/>
    <mergeCell ref="B5207:G5207"/>
    <mergeCell ref="B5208:C5208"/>
    <mergeCell ref="A5195:A5196"/>
    <mergeCell ref="B5195:G5195"/>
    <mergeCell ref="B5196:C5196"/>
    <mergeCell ref="B5197:C5197"/>
    <mergeCell ref="A5198:C5198"/>
    <mergeCell ref="D5198:F5198"/>
    <mergeCell ref="D5190:F5190"/>
    <mergeCell ref="A5191:A5192"/>
    <mergeCell ref="B5191:G5191"/>
    <mergeCell ref="B5192:C5192"/>
    <mergeCell ref="B5193:C5193"/>
    <mergeCell ref="A5194:C5194"/>
    <mergeCell ref="D5194:F5194"/>
    <mergeCell ref="B5185:C5185"/>
    <mergeCell ref="B5186:C5186"/>
    <mergeCell ref="B5187:C5187"/>
    <mergeCell ref="B5188:C5188"/>
    <mergeCell ref="B5189:C5189"/>
    <mergeCell ref="A5190:C5190"/>
    <mergeCell ref="B5180:C5180"/>
    <mergeCell ref="B5181:C5181"/>
    <mergeCell ref="A5182:C5182"/>
    <mergeCell ref="D5182:F5182"/>
    <mergeCell ref="A5183:A5184"/>
    <mergeCell ref="B5183:G5183"/>
    <mergeCell ref="B5184:C5184"/>
    <mergeCell ref="A5173:E5173"/>
    <mergeCell ref="A5174:E5176"/>
    <mergeCell ref="A5177:A5178"/>
    <mergeCell ref="B5177:G5177"/>
    <mergeCell ref="B5178:C5178"/>
    <mergeCell ref="B5179:C5179"/>
    <mergeCell ref="B688:C688"/>
    <mergeCell ref="A689:C689"/>
    <mergeCell ref="D689:F689"/>
    <mergeCell ref="A690:C690"/>
    <mergeCell ref="D690:F690"/>
    <mergeCell ref="A5172:G5172"/>
    <mergeCell ref="B698:C698"/>
    <mergeCell ref="B699:C699"/>
    <mergeCell ref="B700:C700"/>
    <mergeCell ref="B701:C701"/>
    <mergeCell ref="A5131:A5132"/>
    <mergeCell ref="B5131:G5131"/>
    <mergeCell ref="B5132:C5132"/>
    <mergeCell ref="B5161:C5161"/>
    <mergeCell ref="A5162:C5162"/>
    <mergeCell ref="D5162:F5162"/>
    <mergeCell ref="A5163:A5164"/>
    <mergeCell ref="B5163:G5163"/>
    <mergeCell ref="B5164:C5164"/>
    <mergeCell ref="B684:C684"/>
    <mergeCell ref="A685:C685"/>
    <mergeCell ref="D685:F685"/>
    <mergeCell ref="A686:A687"/>
    <mergeCell ref="B686:G686"/>
    <mergeCell ref="B687:C687"/>
    <mergeCell ref="B678:C678"/>
    <mergeCell ref="B679:C679"/>
    <mergeCell ref="B680:C680"/>
    <mergeCell ref="A681:C681"/>
    <mergeCell ref="D681:F681"/>
    <mergeCell ref="A682:A683"/>
    <mergeCell ref="B682:G682"/>
    <mergeCell ref="B683:C683"/>
    <mergeCell ref="B5129:C5129"/>
    <mergeCell ref="A5130:C5130"/>
    <mergeCell ref="D5130:F5130"/>
    <mergeCell ref="B5123:C5123"/>
    <mergeCell ref="A5124:C5124"/>
    <mergeCell ref="A702:C702"/>
    <mergeCell ref="D702:F702"/>
    <mergeCell ref="A703:A704"/>
    <mergeCell ref="B703:G703"/>
    <mergeCell ref="D5124:F5124"/>
    <mergeCell ref="A5125:A5126"/>
    <mergeCell ref="B5125:G5125"/>
    <mergeCell ref="B5126:C5126"/>
    <mergeCell ref="A5116:E5118"/>
    <mergeCell ref="A5119:A5120"/>
    <mergeCell ref="B5119:G5119"/>
    <mergeCell ref="B5120:C5120"/>
    <mergeCell ref="B5121:C5121"/>
    <mergeCell ref="B673:C673"/>
    <mergeCell ref="B674:C674"/>
    <mergeCell ref="A675:C675"/>
    <mergeCell ref="D675:F675"/>
    <mergeCell ref="A676:A677"/>
    <mergeCell ref="B676:G676"/>
    <mergeCell ref="B677:C677"/>
    <mergeCell ref="A666:E666"/>
    <mergeCell ref="A667:E669"/>
    <mergeCell ref="A670:A671"/>
    <mergeCell ref="B670:G670"/>
    <mergeCell ref="B671:C671"/>
    <mergeCell ref="B672:C672"/>
    <mergeCell ref="B5165:C5165"/>
    <mergeCell ref="A5166:C5166"/>
    <mergeCell ref="D5166:F5166"/>
    <mergeCell ref="A5167:C5167"/>
    <mergeCell ref="D5167:F5167"/>
    <mergeCell ref="B5137:C5137"/>
    <mergeCell ref="A5138:C5138"/>
    <mergeCell ref="D5138:F5138"/>
    <mergeCell ref="A5139:C5139"/>
    <mergeCell ref="D5139:F5139"/>
    <mergeCell ref="A5142:G5142"/>
    <mergeCell ref="B5133:C5133"/>
    <mergeCell ref="A5134:C5134"/>
    <mergeCell ref="D5134:F5134"/>
    <mergeCell ref="A5135:A5136"/>
    <mergeCell ref="B5135:G5135"/>
    <mergeCell ref="B5136:C5136"/>
    <mergeCell ref="B5127:C5127"/>
    <mergeCell ref="B5128:C5128"/>
    <mergeCell ref="B5155:C5155"/>
    <mergeCell ref="B5156:C5156"/>
    <mergeCell ref="B5157:C5157"/>
    <mergeCell ref="A5158:C5158"/>
    <mergeCell ref="D5158:F5158"/>
    <mergeCell ref="A5159:A5160"/>
    <mergeCell ref="B5159:G5159"/>
    <mergeCell ref="B5160:C5160"/>
    <mergeCell ref="B5150:C5150"/>
    <mergeCell ref="B5151:C5151"/>
    <mergeCell ref="A5152:C5152"/>
    <mergeCell ref="D5152:F5152"/>
    <mergeCell ref="A5153:A5154"/>
    <mergeCell ref="B5153:G5153"/>
    <mergeCell ref="B5154:C5154"/>
    <mergeCell ref="A5143:E5143"/>
    <mergeCell ref="A5144:E5146"/>
    <mergeCell ref="A5147:A5148"/>
    <mergeCell ref="B5147:G5147"/>
    <mergeCell ref="B5148:C5148"/>
    <mergeCell ref="B5149:C5149"/>
    <mergeCell ref="B5122:C5122"/>
    <mergeCell ref="A547:C547"/>
    <mergeCell ref="D547:F547"/>
    <mergeCell ref="A548:C548"/>
    <mergeCell ref="D548:F548"/>
    <mergeCell ref="A5114:G5114"/>
    <mergeCell ref="A5115:E5115"/>
    <mergeCell ref="A557:C557"/>
    <mergeCell ref="D557:F557"/>
    <mergeCell ref="A558:A559"/>
    <mergeCell ref="B558:G558"/>
    <mergeCell ref="B662:C662"/>
    <mergeCell ref="A663:C663"/>
    <mergeCell ref="D663:F663"/>
    <mergeCell ref="A664:C664"/>
    <mergeCell ref="D664:F664"/>
    <mergeCell ref="A640:A641"/>
    <mergeCell ref="B640:G640"/>
    <mergeCell ref="B641:C641"/>
    <mergeCell ref="B642:C642"/>
    <mergeCell ref="B5105:C5105"/>
    <mergeCell ref="A5106:C5106"/>
    <mergeCell ref="D5106:F5106"/>
    <mergeCell ref="A5107:C5107"/>
    <mergeCell ref="D5107:F5107"/>
    <mergeCell ref="A635:G635"/>
    <mergeCell ref="B704:C704"/>
    <mergeCell ref="B705:C705"/>
    <mergeCell ref="B715:G715"/>
    <mergeCell ref="B716:C716"/>
    <mergeCell ref="B5101:C5101"/>
    <mergeCell ref="A5102:C5102"/>
    <mergeCell ref="A543:C543"/>
    <mergeCell ref="D543:F543"/>
    <mergeCell ref="A544:A545"/>
    <mergeCell ref="B544:G544"/>
    <mergeCell ref="B545:C545"/>
    <mergeCell ref="B546:C546"/>
    <mergeCell ref="A539:C539"/>
    <mergeCell ref="D539:F539"/>
    <mergeCell ref="A540:A541"/>
    <mergeCell ref="B540:G540"/>
    <mergeCell ref="B541:C541"/>
    <mergeCell ref="B542:C542"/>
    <mergeCell ref="B533:C533"/>
    <mergeCell ref="B534:C534"/>
    <mergeCell ref="B535:C535"/>
    <mergeCell ref="B536:C536"/>
    <mergeCell ref="B537:C537"/>
    <mergeCell ref="B538:C538"/>
    <mergeCell ref="B527:C527"/>
    <mergeCell ref="B528:C528"/>
    <mergeCell ref="B529:C529"/>
    <mergeCell ref="B530:C530"/>
    <mergeCell ref="B531:C531"/>
    <mergeCell ref="B532:C532"/>
    <mergeCell ref="B522:C522"/>
    <mergeCell ref="B523:C523"/>
    <mergeCell ref="A524:C524"/>
    <mergeCell ref="D524:F524"/>
    <mergeCell ref="A525:A526"/>
    <mergeCell ref="B525:G525"/>
    <mergeCell ref="B526:C526"/>
    <mergeCell ref="A515:E515"/>
    <mergeCell ref="A516:E518"/>
    <mergeCell ref="A519:A520"/>
    <mergeCell ref="B519:G519"/>
    <mergeCell ref="B520:C520"/>
    <mergeCell ref="B521:C521"/>
    <mergeCell ref="A514:G514"/>
    <mergeCell ref="B559:C559"/>
    <mergeCell ref="B560:C560"/>
    <mergeCell ref="A561:C561"/>
    <mergeCell ref="D561:F561"/>
    <mergeCell ref="B658:C658"/>
    <mergeCell ref="A659:C659"/>
    <mergeCell ref="D659:F659"/>
    <mergeCell ref="A660:A661"/>
    <mergeCell ref="B660:G660"/>
    <mergeCell ref="B661:C661"/>
    <mergeCell ref="B654:C654"/>
    <mergeCell ref="A655:C655"/>
    <mergeCell ref="D655:F655"/>
    <mergeCell ref="A656:A657"/>
    <mergeCell ref="B656:G656"/>
    <mergeCell ref="B657:C657"/>
    <mergeCell ref="B648:C648"/>
    <mergeCell ref="B649:C649"/>
    <mergeCell ref="B650:C650"/>
    <mergeCell ref="B651:C651"/>
    <mergeCell ref="B652:C652"/>
    <mergeCell ref="B653:C653"/>
    <mergeCell ref="B643:C643"/>
    <mergeCell ref="B644:C644"/>
    <mergeCell ref="A645:C645"/>
    <mergeCell ref="D645:F645"/>
    <mergeCell ref="A646:A647"/>
    <mergeCell ref="B646:G646"/>
    <mergeCell ref="B647:C647"/>
    <mergeCell ref="A636:E636"/>
    <mergeCell ref="A637:E639"/>
    <mergeCell ref="D5102:F5102"/>
    <mergeCell ref="A5103:A5104"/>
    <mergeCell ref="B5103:G5103"/>
    <mergeCell ref="B5104:C5104"/>
    <mergeCell ref="B5095:C5095"/>
    <mergeCell ref="B5096:C5096"/>
    <mergeCell ref="B5097:C5097"/>
    <mergeCell ref="A5098:C5098"/>
    <mergeCell ref="D5098:F5098"/>
    <mergeCell ref="A5099:A5100"/>
    <mergeCell ref="B5099:G5099"/>
    <mergeCell ref="B5100:C5100"/>
    <mergeCell ref="B5089:C5089"/>
    <mergeCell ref="B5090:C5090"/>
    <mergeCell ref="B5091:C5091"/>
    <mergeCell ref="A5092:C5092"/>
    <mergeCell ref="D5092:F5092"/>
    <mergeCell ref="A5093:A5094"/>
    <mergeCell ref="B5093:G5093"/>
    <mergeCell ref="B5094:C5094"/>
    <mergeCell ref="A5082:G5082"/>
    <mergeCell ref="A5083:E5083"/>
    <mergeCell ref="A5084:E5086"/>
    <mergeCell ref="A5087:A5088"/>
    <mergeCell ref="B5087:G5087"/>
    <mergeCell ref="B5088:C5088"/>
    <mergeCell ref="A5075:A5076"/>
    <mergeCell ref="B5075:G5075"/>
    <mergeCell ref="A5078:C5078"/>
    <mergeCell ref="D5078:F5078"/>
    <mergeCell ref="A5079:C5079"/>
    <mergeCell ref="D5079:F5079"/>
    <mergeCell ref="A5071:A5072"/>
    <mergeCell ref="B5071:G5071"/>
    <mergeCell ref="B5072:C5072"/>
    <mergeCell ref="B5073:C5073"/>
    <mergeCell ref="A5074:C5074"/>
    <mergeCell ref="D5074:F5074"/>
    <mergeCell ref="A5067:A5068"/>
    <mergeCell ref="B5067:G5067"/>
    <mergeCell ref="B5068:C5068"/>
    <mergeCell ref="B5069:C5069"/>
    <mergeCell ref="A5070:C5070"/>
    <mergeCell ref="D5070:F5070"/>
    <mergeCell ref="A5060:E5062"/>
    <mergeCell ref="A5063:A5064"/>
    <mergeCell ref="B5063:G5063"/>
    <mergeCell ref="B5064:C5064"/>
    <mergeCell ref="B5065:C5065"/>
    <mergeCell ref="A5066:C5066"/>
    <mergeCell ref="D5066:F5066"/>
    <mergeCell ref="A5054:C5054"/>
    <mergeCell ref="D5054:F5054"/>
    <mergeCell ref="A5055:C5055"/>
    <mergeCell ref="D5055:F5055"/>
    <mergeCell ref="A5058:G5058"/>
    <mergeCell ref="A5059:E5059"/>
    <mergeCell ref="B5047:C5047"/>
    <mergeCell ref="B5048:C5048"/>
    <mergeCell ref="B5049:C5049"/>
    <mergeCell ref="A5050:C5050"/>
    <mergeCell ref="D5050:F5050"/>
    <mergeCell ref="A5051:A5052"/>
    <mergeCell ref="B5051:G5051"/>
    <mergeCell ref="B5043:C5043"/>
    <mergeCell ref="A5044:C5044"/>
    <mergeCell ref="D5044:F5044"/>
    <mergeCell ref="A5045:A5046"/>
    <mergeCell ref="B5045:G5045"/>
    <mergeCell ref="B5046:C5046"/>
    <mergeCell ref="B5038:C5038"/>
    <mergeCell ref="B5039:C5039"/>
    <mergeCell ref="A5040:C5040"/>
    <mergeCell ref="D5040:F5040"/>
    <mergeCell ref="A5041:A5042"/>
    <mergeCell ref="B5041:G5041"/>
    <mergeCell ref="B5042:C5042"/>
    <mergeCell ref="A5028:C5028"/>
    <mergeCell ref="D5028:F5028"/>
    <mergeCell ref="A5031:G5031"/>
    <mergeCell ref="A5032:E5032"/>
    <mergeCell ref="A5033:E5035"/>
    <mergeCell ref="A5036:A5037"/>
    <mergeCell ref="B5036:G5036"/>
    <mergeCell ref="B5037:C5037"/>
    <mergeCell ref="A5023:C5023"/>
    <mergeCell ref="D5023:F5023"/>
    <mergeCell ref="A5024:A5025"/>
    <mergeCell ref="B5024:G5024"/>
    <mergeCell ref="A5027:C5027"/>
    <mergeCell ref="D5027:F5027"/>
    <mergeCell ref="A5018:A5019"/>
    <mergeCell ref="B5018:G5018"/>
    <mergeCell ref="B5019:C5019"/>
    <mergeCell ref="B5020:C5020"/>
    <mergeCell ref="B5021:C5021"/>
    <mergeCell ref="B5022:C5022"/>
    <mergeCell ref="B5013:C5013"/>
    <mergeCell ref="B5014:C5014"/>
    <mergeCell ref="B5015:C5015"/>
    <mergeCell ref="B5016:C5016"/>
    <mergeCell ref="A5017:C5017"/>
    <mergeCell ref="D5017:F5017"/>
    <mergeCell ref="B5008:C5008"/>
    <mergeCell ref="B5009:C5009"/>
    <mergeCell ref="A5010:C5010"/>
    <mergeCell ref="D5010:F5010"/>
    <mergeCell ref="A5011:A5012"/>
    <mergeCell ref="B5011:G5011"/>
    <mergeCell ref="B5012:C5012"/>
    <mergeCell ref="A4997:C4997"/>
    <mergeCell ref="D4997:F4997"/>
    <mergeCell ref="A5001:G5001"/>
    <mergeCell ref="A5002:E5002"/>
    <mergeCell ref="A5003:E5005"/>
    <mergeCell ref="A5006:A5007"/>
    <mergeCell ref="B5006:G5006"/>
    <mergeCell ref="B5007:C5007"/>
    <mergeCell ref="A4992:C4992"/>
    <mergeCell ref="D4992:F4992"/>
    <mergeCell ref="A4993:A4994"/>
    <mergeCell ref="B4993:G4993"/>
    <mergeCell ref="A4996:C4996"/>
    <mergeCell ref="D4996:F4996"/>
    <mergeCell ref="A4987:A4988"/>
    <mergeCell ref="B4987:G4987"/>
    <mergeCell ref="B4988:C4988"/>
    <mergeCell ref="B4989:C4989"/>
    <mergeCell ref="B4990:C4990"/>
    <mergeCell ref="B4991:C4991"/>
    <mergeCell ref="B4982:C4982"/>
    <mergeCell ref="B4983:C4983"/>
    <mergeCell ref="B4984:C4984"/>
    <mergeCell ref="B4985:C4985"/>
    <mergeCell ref="A4986:C4986"/>
    <mergeCell ref="D4986:F4986"/>
    <mergeCell ref="A4978:C4978"/>
    <mergeCell ref="D4978:F4978"/>
    <mergeCell ref="A4979:A4980"/>
    <mergeCell ref="B4979:G4979"/>
    <mergeCell ref="B4980:C4980"/>
    <mergeCell ref="B4981:C4981"/>
    <mergeCell ref="A4971:E4973"/>
    <mergeCell ref="A4974:A4975"/>
    <mergeCell ref="B4974:G4974"/>
    <mergeCell ref="B4975:C4975"/>
    <mergeCell ref="B4976:C4976"/>
    <mergeCell ref="B4977:C4977"/>
    <mergeCell ref="A4965:C4965"/>
    <mergeCell ref="D4965:F4965"/>
    <mergeCell ref="A4966:C4966"/>
    <mergeCell ref="D4966:F4966"/>
    <mergeCell ref="A4969:G4969"/>
    <mergeCell ref="A4970:E4970"/>
    <mergeCell ref="B4958:C4958"/>
    <mergeCell ref="B4959:C4959"/>
    <mergeCell ref="B4960:C4960"/>
    <mergeCell ref="A4961:C4961"/>
    <mergeCell ref="D4961:F4961"/>
    <mergeCell ref="A4962:A4963"/>
    <mergeCell ref="B4962:G4962"/>
    <mergeCell ref="B4954:C4954"/>
    <mergeCell ref="A4955:C4955"/>
    <mergeCell ref="D4955:F4955"/>
    <mergeCell ref="A4956:A4957"/>
    <mergeCell ref="B4956:G4956"/>
    <mergeCell ref="B4957:C4957"/>
    <mergeCell ref="B4948:C4948"/>
    <mergeCell ref="B4949:C4949"/>
    <mergeCell ref="B4950:C4950"/>
    <mergeCell ref="A4951:C4951"/>
    <mergeCell ref="D4951:F4951"/>
    <mergeCell ref="A4952:A4953"/>
    <mergeCell ref="B4952:G4952"/>
    <mergeCell ref="B4953:C4953"/>
    <mergeCell ref="A4941:E4943"/>
    <mergeCell ref="A4944:A4945"/>
    <mergeCell ref="B4944:G4944"/>
    <mergeCell ref="B4945:C4945"/>
    <mergeCell ref="B4946:C4946"/>
    <mergeCell ref="B4947:C4947"/>
    <mergeCell ref="A4935:C4935"/>
    <mergeCell ref="D4935:F4935"/>
    <mergeCell ref="A4936:C4936"/>
    <mergeCell ref="D4936:F4936"/>
    <mergeCell ref="A4939:G4939"/>
    <mergeCell ref="A4940:E4940"/>
    <mergeCell ref="B4928:C4928"/>
    <mergeCell ref="B4929:C4929"/>
    <mergeCell ref="B4930:C4930"/>
    <mergeCell ref="A4931:C4931"/>
    <mergeCell ref="D4931:F4931"/>
    <mergeCell ref="A4932:A4933"/>
    <mergeCell ref="B4932:G4932"/>
    <mergeCell ref="B4923:C4923"/>
    <mergeCell ref="B4924:C4924"/>
    <mergeCell ref="A4925:C4925"/>
    <mergeCell ref="D4925:F4925"/>
    <mergeCell ref="A4926:A4927"/>
    <mergeCell ref="B4926:G4926"/>
    <mergeCell ref="B4927:C4927"/>
    <mergeCell ref="B4917:C4917"/>
    <mergeCell ref="B4918:C4918"/>
    <mergeCell ref="B4919:C4919"/>
    <mergeCell ref="B4920:C4920"/>
    <mergeCell ref="B4921:C4921"/>
    <mergeCell ref="B4922:C4922"/>
    <mergeCell ref="B4913:C4913"/>
    <mergeCell ref="A4914:C4914"/>
    <mergeCell ref="D4914:F4914"/>
    <mergeCell ref="A4915:A4916"/>
    <mergeCell ref="B4915:G4915"/>
    <mergeCell ref="B4916:C4916"/>
    <mergeCell ref="A4906:E4908"/>
    <mergeCell ref="A4909:A4910"/>
    <mergeCell ref="B4909:G4909"/>
    <mergeCell ref="B4910:C4910"/>
    <mergeCell ref="B4911:C4911"/>
    <mergeCell ref="B4912:C4912"/>
    <mergeCell ref="A4900:C4900"/>
    <mergeCell ref="D4900:F4900"/>
    <mergeCell ref="A4901:C4901"/>
    <mergeCell ref="D4901:F4901"/>
    <mergeCell ref="A4904:G4904"/>
    <mergeCell ref="A4905:E4905"/>
    <mergeCell ref="B4891:C4891"/>
    <mergeCell ref="B4892:C4892"/>
    <mergeCell ref="B4893:C4893"/>
    <mergeCell ref="A4894:C4894"/>
    <mergeCell ref="D4894:F4894"/>
    <mergeCell ref="A4895:A4896"/>
    <mergeCell ref="B4895:G4895"/>
    <mergeCell ref="B4896:C4896"/>
    <mergeCell ref="B4885:C4885"/>
    <mergeCell ref="B4886:C4886"/>
    <mergeCell ref="B4887:C4887"/>
    <mergeCell ref="A4888:C4888"/>
    <mergeCell ref="D4888:F4888"/>
    <mergeCell ref="A4889:A4890"/>
    <mergeCell ref="B4889:G4889"/>
    <mergeCell ref="B4890:C4890"/>
    <mergeCell ref="B4881:C4881"/>
    <mergeCell ref="A4882:C4882"/>
    <mergeCell ref="D4882:F4882"/>
    <mergeCell ref="A4883:A4884"/>
    <mergeCell ref="B4883:G4883"/>
    <mergeCell ref="B4884:C4884"/>
    <mergeCell ref="A4874:E4874"/>
    <mergeCell ref="A4875:E4877"/>
    <mergeCell ref="A4878:A4879"/>
    <mergeCell ref="B4878:G4878"/>
    <mergeCell ref="B4879:C4879"/>
    <mergeCell ref="B4880:C4880"/>
    <mergeCell ref="B4866:C4866"/>
    <mergeCell ref="A4868:C4868"/>
    <mergeCell ref="D4868:F4868"/>
    <mergeCell ref="A4869:C4869"/>
    <mergeCell ref="D4869:F4869"/>
    <mergeCell ref="A4873:G4873"/>
    <mergeCell ref="B4861:C4861"/>
    <mergeCell ref="B4862:C4862"/>
    <mergeCell ref="A4863:C4863"/>
    <mergeCell ref="D4863:F4863"/>
    <mergeCell ref="A4864:A4865"/>
    <mergeCell ref="B4864:G4864"/>
    <mergeCell ref="B4865:C4865"/>
    <mergeCell ref="B4855:C4855"/>
    <mergeCell ref="B4856:C4856"/>
    <mergeCell ref="B4857:C4857"/>
    <mergeCell ref="A4858:C4858"/>
    <mergeCell ref="D4858:F4858"/>
    <mergeCell ref="A4859:A4860"/>
    <mergeCell ref="B4859:G4859"/>
    <mergeCell ref="B4860:C4860"/>
    <mergeCell ref="B4849:C4849"/>
    <mergeCell ref="B4850:C4850"/>
    <mergeCell ref="B4851:C4851"/>
    <mergeCell ref="A4852:C4852"/>
    <mergeCell ref="D4852:F4852"/>
    <mergeCell ref="A4853:A4854"/>
    <mergeCell ref="B4853:G4853"/>
    <mergeCell ref="B4854:C4854"/>
    <mergeCell ref="A4842:E4842"/>
    <mergeCell ref="A4843:E4845"/>
    <mergeCell ref="A4846:A4847"/>
    <mergeCell ref="B4846:G4846"/>
    <mergeCell ref="B4847:C4847"/>
    <mergeCell ref="B4848:C4848"/>
    <mergeCell ref="B4835:C4835"/>
    <mergeCell ref="A4837:C4837"/>
    <mergeCell ref="D4837:F4837"/>
    <mergeCell ref="A4838:C4838"/>
    <mergeCell ref="D4838:F4838"/>
    <mergeCell ref="A4841:G4841"/>
    <mergeCell ref="B4831:C4831"/>
    <mergeCell ref="A4832:C4832"/>
    <mergeCell ref="D4832:F4832"/>
    <mergeCell ref="A4833:A4834"/>
    <mergeCell ref="B4833:G4833"/>
    <mergeCell ref="B4834:C4834"/>
    <mergeCell ref="A4827:C4827"/>
    <mergeCell ref="D4827:F4827"/>
    <mergeCell ref="A4828:A4829"/>
    <mergeCell ref="B4828:G4828"/>
    <mergeCell ref="B4829:C4829"/>
    <mergeCell ref="B4830:C4830"/>
    <mergeCell ref="B4821:C4821"/>
    <mergeCell ref="B4822:C4822"/>
    <mergeCell ref="B4823:C4823"/>
    <mergeCell ref="B4824:C4824"/>
    <mergeCell ref="B4825:C4825"/>
    <mergeCell ref="B4826:C4826"/>
    <mergeCell ref="B4817:C4817"/>
    <mergeCell ref="A4818:C4818"/>
    <mergeCell ref="D4818:F4818"/>
    <mergeCell ref="A4819:A4820"/>
    <mergeCell ref="B4819:G4819"/>
    <mergeCell ref="B4820:C4820"/>
    <mergeCell ref="A4810:E4810"/>
    <mergeCell ref="A4811:E4813"/>
    <mergeCell ref="A4814:A4815"/>
    <mergeCell ref="B4814:G4814"/>
    <mergeCell ref="B4815:C4815"/>
    <mergeCell ref="B4816:C4816"/>
    <mergeCell ref="B4803:C4803"/>
    <mergeCell ref="A4805:C4805"/>
    <mergeCell ref="D4805:F4805"/>
    <mergeCell ref="A4806:C4806"/>
    <mergeCell ref="D4806:F4806"/>
    <mergeCell ref="A4809:G4809"/>
    <mergeCell ref="B4798:C4798"/>
    <mergeCell ref="B4799:C4799"/>
    <mergeCell ref="A4800:C4800"/>
    <mergeCell ref="D4800:F4800"/>
    <mergeCell ref="A4801:A4802"/>
    <mergeCell ref="B4801:G4801"/>
    <mergeCell ref="B4802:C4802"/>
    <mergeCell ref="B4793:C4793"/>
    <mergeCell ref="B4794:C4794"/>
    <mergeCell ref="A4795:C4795"/>
    <mergeCell ref="D4795:F4795"/>
    <mergeCell ref="A4796:A4797"/>
    <mergeCell ref="B4796:G4796"/>
    <mergeCell ref="B4797:C4797"/>
    <mergeCell ref="B4789:C4789"/>
    <mergeCell ref="A4790:C4790"/>
    <mergeCell ref="D4790:F4790"/>
    <mergeCell ref="A4791:A4792"/>
    <mergeCell ref="B4791:G4791"/>
    <mergeCell ref="B4792:C4792"/>
    <mergeCell ref="A4782:E4782"/>
    <mergeCell ref="A4783:E4785"/>
    <mergeCell ref="A4786:A4787"/>
    <mergeCell ref="B4786:G4786"/>
    <mergeCell ref="B4787:C4787"/>
    <mergeCell ref="B4788:C4788"/>
    <mergeCell ref="B4774:C4774"/>
    <mergeCell ref="A4776:C4776"/>
    <mergeCell ref="D4776:F4776"/>
    <mergeCell ref="A4777:C4777"/>
    <mergeCell ref="D4777:F4777"/>
    <mergeCell ref="A4781:G4781"/>
    <mergeCell ref="B4769:C4769"/>
    <mergeCell ref="B4770:C4770"/>
    <mergeCell ref="A4771:C4771"/>
    <mergeCell ref="D4771:F4771"/>
    <mergeCell ref="A4772:A4773"/>
    <mergeCell ref="B4772:G4772"/>
    <mergeCell ref="B4773:C4773"/>
    <mergeCell ref="B4764:C4764"/>
    <mergeCell ref="B4765:C4765"/>
    <mergeCell ref="A4766:C4766"/>
    <mergeCell ref="D4766:F4766"/>
    <mergeCell ref="A4767:A4768"/>
    <mergeCell ref="B4767:G4767"/>
    <mergeCell ref="B4768:C4768"/>
    <mergeCell ref="B4758:C4758"/>
    <mergeCell ref="B4759:C4759"/>
    <mergeCell ref="B4760:C4760"/>
    <mergeCell ref="A4761:C4761"/>
    <mergeCell ref="D4761:F4761"/>
    <mergeCell ref="A4762:A4763"/>
    <mergeCell ref="B4762:G4762"/>
    <mergeCell ref="B4763:C4763"/>
    <mergeCell ref="A4751:E4751"/>
    <mergeCell ref="A4752:E4754"/>
    <mergeCell ref="A4755:A4756"/>
    <mergeCell ref="B4755:G4755"/>
    <mergeCell ref="B4756:C4756"/>
    <mergeCell ref="B4757:C4757"/>
    <mergeCell ref="B439:C439"/>
    <mergeCell ref="A441:C441"/>
    <mergeCell ref="D441:F441"/>
    <mergeCell ref="A442:C442"/>
    <mergeCell ref="D442:F442"/>
    <mergeCell ref="A4750:G4750"/>
    <mergeCell ref="A562:A563"/>
    <mergeCell ref="B562:G562"/>
    <mergeCell ref="B563:C563"/>
    <mergeCell ref="B564:C564"/>
    <mergeCell ref="B4736:C4736"/>
    <mergeCell ref="A4737:C4737"/>
    <mergeCell ref="A4727:A4728"/>
    <mergeCell ref="B4727:G4727"/>
    <mergeCell ref="B4728:C4728"/>
    <mergeCell ref="B4729:C4729"/>
    <mergeCell ref="B4730:C4730"/>
    <mergeCell ref="B4731:C4731"/>
    <mergeCell ref="B4722:C4722"/>
    <mergeCell ref="B4723:C4723"/>
    <mergeCell ref="B4724:C4724"/>
    <mergeCell ref="B4725:C4725"/>
    <mergeCell ref="A4726:C4726"/>
    <mergeCell ref="D4726:F4726"/>
    <mergeCell ref="A4715:G4715"/>
    <mergeCell ref="A4716:E4716"/>
    <mergeCell ref="A4717:E4719"/>
    <mergeCell ref="A4720:A4721"/>
    <mergeCell ref="B4720:G4720"/>
    <mergeCell ref="B4721:C4721"/>
    <mergeCell ref="B4710:C4710"/>
    <mergeCell ref="B4711:C4711"/>
    <mergeCell ref="B434:C434"/>
    <mergeCell ref="B435:C435"/>
    <mergeCell ref="A436:C436"/>
    <mergeCell ref="D436:F436"/>
    <mergeCell ref="A437:A438"/>
    <mergeCell ref="B437:G437"/>
    <mergeCell ref="B438:C438"/>
    <mergeCell ref="B430:C430"/>
    <mergeCell ref="A431:C431"/>
    <mergeCell ref="D431:F431"/>
    <mergeCell ref="A432:A433"/>
    <mergeCell ref="B432:G432"/>
    <mergeCell ref="B433:C433"/>
    <mergeCell ref="B425:C425"/>
    <mergeCell ref="B426:C426"/>
    <mergeCell ref="A427:C427"/>
    <mergeCell ref="D427:F427"/>
    <mergeCell ref="A428:A429"/>
    <mergeCell ref="B428:G428"/>
    <mergeCell ref="B429:C429"/>
    <mergeCell ref="A418:E420"/>
    <mergeCell ref="A421:A422"/>
    <mergeCell ref="B421:G421"/>
    <mergeCell ref="B422:C422"/>
    <mergeCell ref="B423:C423"/>
    <mergeCell ref="B424:C424"/>
    <mergeCell ref="A4747:C4747"/>
    <mergeCell ref="D4747:F4747"/>
    <mergeCell ref="A4748:C4748"/>
    <mergeCell ref="D4748:F4748"/>
    <mergeCell ref="A416:G416"/>
    <mergeCell ref="A417:E417"/>
    <mergeCell ref="A565:C565"/>
    <mergeCell ref="D565:F565"/>
    <mergeCell ref="A566:A567"/>
    <mergeCell ref="B566:G566"/>
    <mergeCell ref="A4742:C4742"/>
    <mergeCell ref="D4742:F4742"/>
    <mergeCell ref="A4743:A4744"/>
    <mergeCell ref="B4743:G4743"/>
    <mergeCell ref="B4744:C4744"/>
    <mergeCell ref="B4745:C4745"/>
    <mergeCell ref="D4737:F4737"/>
    <mergeCell ref="A4738:A4739"/>
    <mergeCell ref="B4738:G4738"/>
    <mergeCell ref="B4739:C4739"/>
    <mergeCell ref="B4740:C4740"/>
    <mergeCell ref="B4741:C4741"/>
    <mergeCell ref="B4732:C4732"/>
    <mergeCell ref="B4733:C4733"/>
    <mergeCell ref="B4734:C4734"/>
    <mergeCell ref="B4735:C4735"/>
    <mergeCell ref="A4712:C4712"/>
    <mergeCell ref="D4712:F4712"/>
    <mergeCell ref="A4713:C4713"/>
    <mergeCell ref="D4713:F4713"/>
    <mergeCell ref="B4704:C4704"/>
    <mergeCell ref="B4705:C4705"/>
    <mergeCell ref="B4706:C4706"/>
    <mergeCell ref="A4707:C4707"/>
    <mergeCell ref="D4707:F4707"/>
    <mergeCell ref="A4708:A4709"/>
    <mergeCell ref="B4708:G4708"/>
    <mergeCell ref="B4709:C4709"/>
    <mergeCell ref="B4698:C4698"/>
    <mergeCell ref="B4699:C4699"/>
    <mergeCell ref="B4700:C4700"/>
    <mergeCell ref="A4701:C4701"/>
    <mergeCell ref="D4701:F4701"/>
    <mergeCell ref="A4702:A4703"/>
    <mergeCell ref="B4702:G4702"/>
    <mergeCell ref="B4703:C4703"/>
    <mergeCell ref="B4693:C4693"/>
    <mergeCell ref="B4694:C4694"/>
    <mergeCell ref="A4695:C4695"/>
    <mergeCell ref="D4695:F4695"/>
    <mergeCell ref="A4696:A4697"/>
    <mergeCell ref="B4696:G4696"/>
    <mergeCell ref="B4697:C4697"/>
    <mergeCell ref="A4686:G4686"/>
    <mergeCell ref="A4687:E4687"/>
    <mergeCell ref="A4688:E4690"/>
    <mergeCell ref="A4691:A4692"/>
    <mergeCell ref="B4691:G4691"/>
    <mergeCell ref="B4692:C4692"/>
    <mergeCell ref="B4680:C4680"/>
    <mergeCell ref="B4681:C4681"/>
    <mergeCell ref="A4682:C4682"/>
    <mergeCell ref="D4682:F4682"/>
    <mergeCell ref="A4683:C4683"/>
    <mergeCell ref="D4683:F4683"/>
    <mergeCell ref="B4674:C4674"/>
    <mergeCell ref="B4675:C4675"/>
    <mergeCell ref="B4676:C4676"/>
    <mergeCell ref="A4677:C4677"/>
    <mergeCell ref="D4677:F4677"/>
    <mergeCell ref="A4678:A4679"/>
    <mergeCell ref="B4678:G4678"/>
    <mergeCell ref="B4679:C4679"/>
    <mergeCell ref="B4669:C4669"/>
    <mergeCell ref="B4670:C4670"/>
    <mergeCell ref="A4671:C4671"/>
    <mergeCell ref="D4671:F4671"/>
    <mergeCell ref="A4672:A4673"/>
    <mergeCell ref="B4672:G4672"/>
    <mergeCell ref="B4673:C4673"/>
    <mergeCell ref="B4663:C4663"/>
    <mergeCell ref="B4664:C4664"/>
    <mergeCell ref="B4665:C4665"/>
    <mergeCell ref="B4666:C4666"/>
    <mergeCell ref="B4667:C4667"/>
    <mergeCell ref="B4668:C4668"/>
    <mergeCell ref="B4657:C4657"/>
    <mergeCell ref="B4658:C4658"/>
    <mergeCell ref="B4659:C4659"/>
    <mergeCell ref="B4660:C4660"/>
    <mergeCell ref="B4661:C4661"/>
    <mergeCell ref="B4662:C4662"/>
    <mergeCell ref="B4651:C4651"/>
    <mergeCell ref="B4652:C4652"/>
    <mergeCell ref="B4653:C4653"/>
    <mergeCell ref="A4654:C4654"/>
    <mergeCell ref="D4654:F4654"/>
    <mergeCell ref="A4655:A4656"/>
    <mergeCell ref="B4655:G4655"/>
    <mergeCell ref="B4656:C4656"/>
    <mergeCell ref="A4644:G4644"/>
    <mergeCell ref="A4645:E4645"/>
    <mergeCell ref="A4646:E4648"/>
    <mergeCell ref="A4649:A4650"/>
    <mergeCell ref="B4649:G4649"/>
    <mergeCell ref="B4650:C4650"/>
    <mergeCell ref="B4638:C4638"/>
    <mergeCell ref="B4639:C4639"/>
    <mergeCell ref="A4640:C4640"/>
    <mergeCell ref="D4640:F4640"/>
    <mergeCell ref="A4641:C4641"/>
    <mergeCell ref="D4641:F4641"/>
    <mergeCell ref="B4632:C4632"/>
    <mergeCell ref="B4633:C4633"/>
    <mergeCell ref="B4634:C4634"/>
    <mergeCell ref="A4635:C4635"/>
    <mergeCell ref="D4635:F4635"/>
    <mergeCell ref="A4636:A4637"/>
    <mergeCell ref="B4636:G4636"/>
    <mergeCell ref="B4637:C4637"/>
    <mergeCell ref="B4627:C4627"/>
    <mergeCell ref="B4628:C4628"/>
    <mergeCell ref="A4629:C4629"/>
    <mergeCell ref="D4629:F4629"/>
    <mergeCell ref="A4630:A4631"/>
    <mergeCell ref="B4630:G4630"/>
    <mergeCell ref="B4631:C4631"/>
    <mergeCell ref="B4621:C4621"/>
    <mergeCell ref="B4622:C4622"/>
    <mergeCell ref="B4623:C4623"/>
    <mergeCell ref="B4624:C4624"/>
    <mergeCell ref="B4625:C4625"/>
    <mergeCell ref="B4626:C4626"/>
    <mergeCell ref="B4615:C4615"/>
    <mergeCell ref="B4616:C4616"/>
    <mergeCell ref="B4617:C4617"/>
    <mergeCell ref="B4618:C4618"/>
    <mergeCell ref="B4619:C4619"/>
    <mergeCell ref="B4620:C4620"/>
    <mergeCell ref="B4610:C4610"/>
    <mergeCell ref="B4611:C4611"/>
    <mergeCell ref="A4612:C4612"/>
    <mergeCell ref="D4612:F4612"/>
    <mergeCell ref="A4613:A4614"/>
    <mergeCell ref="B4613:G4613"/>
    <mergeCell ref="B4614:C4614"/>
    <mergeCell ref="A4603:E4603"/>
    <mergeCell ref="A4604:E4606"/>
    <mergeCell ref="A4607:A4608"/>
    <mergeCell ref="B4607:G4607"/>
    <mergeCell ref="B4608:C4608"/>
    <mergeCell ref="B4609:C4609"/>
    <mergeCell ref="B4597:C4597"/>
    <mergeCell ref="A4598:C4598"/>
    <mergeCell ref="D4598:F4598"/>
    <mergeCell ref="A4599:C4599"/>
    <mergeCell ref="D4599:F4599"/>
    <mergeCell ref="A4602:G4602"/>
    <mergeCell ref="B4593:C4593"/>
    <mergeCell ref="A4594:C4594"/>
    <mergeCell ref="D4594:F4594"/>
    <mergeCell ref="A4595:A4596"/>
    <mergeCell ref="B4595:G4595"/>
    <mergeCell ref="B4596:C4596"/>
    <mergeCell ref="B4587:C4587"/>
    <mergeCell ref="B4588:C4588"/>
    <mergeCell ref="B4589:C4589"/>
    <mergeCell ref="A4590:C4590"/>
    <mergeCell ref="D4590:F4590"/>
    <mergeCell ref="A4591:A4592"/>
    <mergeCell ref="B4591:G4591"/>
    <mergeCell ref="B4592:C4592"/>
    <mergeCell ref="B4582:C4582"/>
    <mergeCell ref="B4583:C4583"/>
    <mergeCell ref="A4584:C4584"/>
    <mergeCell ref="D4584:F4584"/>
    <mergeCell ref="A4585:A4586"/>
    <mergeCell ref="B4585:G4585"/>
    <mergeCell ref="B4586:C4586"/>
    <mergeCell ref="A4575:E4575"/>
    <mergeCell ref="A4576:E4578"/>
    <mergeCell ref="A4579:A4580"/>
    <mergeCell ref="B4579:G4579"/>
    <mergeCell ref="B4580:C4580"/>
    <mergeCell ref="B4581:C4581"/>
    <mergeCell ref="B4569:C4569"/>
    <mergeCell ref="A4570:C4570"/>
    <mergeCell ref="D4570:F4570"/>
    <mergeCell ref="A4571:C4571"/>
    <mergeCell ref="D4571:F4571"/>
    <mergeCell ref="A4574:G4574"/>
    <mergeCell ref="B4565:C4565"/>
    <mergeCell ref="A4566:C4566"/>
    <mergeCell ref="D4566:F4566"/>
    <mergeCell ref="A4567:A4568"/>
    <mergeCell ref="B4567:G4567"/>
    <mergeCell ref="B4568:C4568"/>
    <mergeCell ref="B4560:C4560"/>
    <mergeCell ref="B4561:C4561"/>
    <mergeCell ref="A4562:C4562"/>
    <mergeCell ref="D4562:F4562"/>
    <mergeCell ref="A4563:A4564"/>
    <mergeCell ref="B4563:G4563"/>
    <mergeCell ref="B4564:C4564"/>
    <mergeCell ref="B4555:C4555"/>
    <mergeCell ref="B4556:C4556"/>
    <mergeCell ref="A4557:C4557"/>
    <mergeCell ref="D4557:F4557"/>
    <mergeCell ref="A4558:A4559"/>
    <mergeCell ref="B4558:G4558"/>
    <mergeCell ref="B4559:C4559"/>
    <mergeCell ref="A4548:E4548"/>
    <mergeCell ref="A4549:E4551"/>
    <mergeCell ref="A4552:A4553"/>
    <mergeCell ref="B4552:G4552"/>
    <mergeCell ref="B4553:C4553"/>
    <mergeCell ref="B4554:C4554"/>
    <mergeCell ref="B412:C412"/>
    <mergeCell ref="A413:C413"/>
    <mergeCell ref="D413:F413"/>
    <mergeCell ref="A414:C414"/>
    <mergeCell ref="D414:F414"/>
    <mergeCell ref="A4547:G4547"/>
    <mergeCell ref="B567:C567"/>
    <mergeCell ref="B568:C568"/>
    <mergeCell ref="A569:C569"/>
    <mergeCell ref="D569:F569"/>
    <mergeCell ref="A4510:A4511"/>
    <mergeCell ref="B4510:G4510"/>
    <mergeCell ref="B4511:C4511"/>
    <mergeCell ref="B4512:C4512"/>
    <mergeCell ref="A4513:C4513"/>
    <mergeCell ref="D4513:F4513"/>
    <mergeCell ref="D4505:F4505"/>
    <mergeCell ref="A4506:A4507"/>
    <mergeCell ref="B4506:G4506"/>
    <mergeCell ref="B408:C408"/>
    <mergeCell ref="A409:C409"/>
    <mergeCell ref="D409:F409"/>
    <mergeCell ref="A410:A411"/>
    <mergeCell ref="B410:G410"/>
    <mergeCell ref="B411:C411"/>
    <mergeCell ref="B4536:C4536"/>
    <mergeCell ref="B4537:C4537"/>
    <mergeCell ref="A4538:C4538"/>
    <mergeCell ref="D4538:F4538"/>
    <mergeCell ref="B4530:C4530"/>
    <mergeCell ref="B4531:C4531"/>
    <mergeCell ref="B4532:C4532"/>
    <mergeCell ref="B4533:C4533"/>
    <mergeCell ref="A4534:C4534"/>
    <mergeCell ref="D4534:F4534"/>
    <mergeCell ref="B404:C404"/>
    <mergeCell ref="A405:C405"/>
    <mergeCell ref="D405:F405"/>
    <mergeCell ref="A406:A407"/>
    <mergeCell ref="B406:G406"/>
    <mergeCell ref="B407:C407"/>
    <mergeCell ref="B4528:G4528"/>
    <mergeCell ref="B4529:C4529"/>
    <mergeCell ref="A4514:C4514"/>
    <mergeCell ref="D4514:F4514"/>
    <mergeCell ref="A4517:G4517"/>
    <mergeCell ref="A4518:E4518"/>
    <mergeCell ref="A4519:E4521"/>
    <mergeCell ref="A4522:A4523"/>
    <mergeCell ref="B4522:G4522"/>
    <mergeCell ref="B4523:C4523"/>
    <mergeCell ref="B398:C398"/>
    <mergeCell ref="B399:C399"/>
    <mergeCell ref="B400:C400"/>
    <mergeCell ref="A401:C401"/>
    <mergeCell ref="D401:F401"/>
    <mergeCell ref="A402:A403"/>
    <mergeCell ref="B402:G402"/>
    <mergeCell ref="B403:C403"/>
    <mergeCell ref="A4543:C4543"/>
    <mergeCell ref="D4543:F4543"/>
    <mergeCell ref="A391:G391"/>
    <mergeCell ref="A392:E392"/>
    <mergeCell ref="A393:E395"/>
    <mergeCell ref="A396:A397"/>
    <mergeCell ref="B396:G396"/>
    <mergeCell ref="B397:C397"/>
    <mergeCell ref="A570:C570"/>
    <mergeCell ref="D570:F570"/>
    <mergeCell ref="A4539:A4540"/>
    <mergeCell ref="B4539:G4539"/>
    <mergeCell ref="B4540:C4540"/>
    <mergeCell ref="B4541:C4541"/>
    <mergeCell ref="A4542:C4542"/>
    <mergeCell ref="D4542:F4542"/>
    <mergeCell ref="A4535:A4536"/>
    <mergeCell ref="B4535:G4535"/>
    <mergeCell ref="B4524:C4524"/>
    <mergeCell ref="B4525:C4525"/>
    <mergeCell ref="B4526:C4526"/>
    <mergeCell ref="A4527:C4527"/>
    <mergeCell ref="D4527:F4527"/>
    <mergeCell ref="A4528:A4529"/>
    <mergeCell ref="B4507:C4507"/>
    <mergeCell ref="B4508:C4508"/>
    <mergeCell ref="A4509:C4509"/>
    <mergeCell ref="D4509:F4509"/>
    <mergeCell ref="B4500:C4500"/>
    <mergeCell ref="B4501:C4501"/>
    <mergeCell ref="B4502:C4502"/>
    <mergeCell ref="B4503:C4503"/>
    <mergeCell ref="B4504:C4504"/>
    <mergeCell ref="A4505:C4505"/>
    <mergeCell ref="B4494:C4494"/>
    <mergeCell ref="B4495:C4495"/>
    <mergeCell ref="B4496:C4496"/>
    <mergeCell ref="A4497:C4497"/>
    <mergeCell ref="D4497:F4497"/>
    <mergeCell ref="A4498:A4499"/>
    <mergeCell ref="B4498:G4498"/>
    <mergeCell ref="B4499:C4499"/>
    <mergeCell ref="A4484:C4484"/>
    <mergeCell ref="D4484:F4484"/>
    <mergeCell ref="A4487:G4487"/>
    <mergeCell ref="A4488:E4488"/>
    <mergeCell ref="A4489:E4491"/>
    <mergeCell ref="A4492:A4493"/>
    <mergeCell ref="B4492:G4492"/>
    <mergeCell ref="B4493:C4493"/>
    <mergeCell ref="A4480:A4481"/>
    <mergeCell ref="B4480:G4480"/>
    <mergeCell ref="B4481:C4481"/>
    <mergeCell ref="B4482:C4482"/>
    <mergeCell ref="A4483:C4483"/>
    <mergeCell ref="D4483:F4483"/>
    <mergeCell ref="D4475:F4475"/>
    <mergeCell ref="A4476:A4477"/>
    <mergeCell ref="B4476:G4476"/>
    <mergeCell ref="B4477:C4477"/>
    <mergeCell ref="B4478:C4478"/>
    <mergeCell ref="A4479:C4479"/>
    <mergeCell ref="D4479:F4479"/>
    <mergeCell ref="B4470:C4470"/>
    <mergeCell ref="B4471:C4471"/>
    <mergeCell ref="B4472:C4472"/>
    <mergeCell ref="B4473:C4473"/>
    <mergeCell ref="B4474:C4474"/>
    <mergeCell ref="A4475:C4475"/>
    <mergeCell ref="B4465:C4465"/>
    <mergeCell ref="B4466:C4466"/>
    <mergeCell ref="A4467:C4467"/>
    <mergeCell ref="D4467:F4467"/>
    <mergeCell ref="A4468:A4469"/>
    <mergeCell ref="B4468:G4468"/>
    <mergeCell ref="B4469:C4469"/>
    <mergeCell ref="A4458:E4458"/>
    <mergeCell ref="A4459:E4461"/>
    <mergeCell ref="A4462:A4463"/>
    <mergeCell ref="B4462:G4462"/>
    <mergeCell ref="B4463:C4463"/>
    <mergeCell ref="B4464:C4464"/>
    <mergeCell ref="B4452:C4452"/>
    <mergeCell ref="A4453:C4453"/>
    <mergeCell ref="D4453:F4453"/>
    <mergeCell ref="A4454:C4454"/>
    <mergeCell ref="D4454:F4454"/>
    <mergeCell ref="A4457:G4457"/>
    <mergeCell ref="B4448:C4448"/>
    <mergeCell ref="A4449:C4449"/>
    <mergeCell ref="D4449:F4449"/>
    <mergeCell ref="A4450:A4451"/>
    <mergeCell ref="B4450:G4450"/>
    <mergeCell ref="B4451:C4451"/>
    <mergeCell ref="B4442:C4442"/>
    <mergeCell ref="B4443:C4443"/>
    <mergeCell ref="B4444:C4444"/>
    <mergeCell ref="A4445:C4445"/>
    <mergeCell ref="D4445:F4445"/>
    <mergeCell ref="A4446:A4447"/>
    <mergeCell ref="B4446:G4446"/>
    <mergeCell ref="B4447:C4447"/>
    <mergeCell ref="B4437:C4437"/>
    <mergeCell ref="B4438:C4438"/>
    <mergeCell ref="A4439:C4439"/>
    <mergeCell ref="D4439:F4439"/>
    <mergeCell ref="A4440:A4441"/>
    <mergeCell ref="B4440:G4440"/>
    <mergeCell ref="B4441:C4441"/>
    <mergeCell ref="A4430:E4430"/>
    <mergeCell ref="A4431:E4433"/>
    <mergeCell ref="A4434:A4435"/>
    <mergeCell ref="B4434:G4434"/>
    <mergeCell ref="B4435:C4435"/>
    <mergeCell ref="B4436:C4436"/>
    <mergeCell ref="B4424:C4424"/>
    <mergeCell ref="A4425:C4425"/>
    <mergeCell ref="D4425:F4425"/>
    <mergeCell ref="A4426:C4426"/>
    <mergeCell ref="D4426:F4426"/>
    <mergeCell ref="A4429:G4429"/>
    <mergeCell ref="B4420:C4420"/>
    <mergeCell ref="A4421:C4421"/>
    <mergeCell ref="D4421:F4421"/>
    <mergeCell ref="A4422:A4423"/>
    <mergeCell ref="B4422:G4422"/>
    <mergeCell ref="B4423:C4423"/>
    <mergeCell ref="B4415:C4415"/>
    <mergeCell ref="B4416:C4416"/>
    <mergeCell ref="A4417:C4417"/>
    <mergeCell ref="D4417:F4417"/>
    <mergeCell ref="A4418:A4419"/>
    <mergeCell ref="B4418:G4418"/>
    <mergeCell ref="B4419:C4419"/>
    <mergeCell ref="B4409:C4409"/>
    <mergeCell ref="B4410:C4410"/>
    <mergeCell ref="B4411:C4411"/>
    <mergeCell ref="A4412:C4412"/>
    <mergeCell ref="D4412:F4412"/>
    <mergeCell ref="A4413:A4414"/>
    <mergeCell ref="B4413:G4413"/>
    <mergeCell ref="B4414:C4414"/>
    <mergeCell ref="A4399:C4399"/>
    <mergeCell ref="D4399:F4399"/>
    <mergeCell ref="A4402:G4402"/>
    <mergeCell ref="A4403:E4403"/>
    <mergeCell ref="A4404:E4406"/>
    <mergeCell ref="A4407:A4408"/>
    <mergeCell ref="B4407:G4407"/>
    <mergeCell ref="B4408:C4408"/>
    <mergeCell ref="A4394:C4394"/>
    <mergeCell ref="D4394:F4394"/>
    <mergeCell ref="A4395:A4396"/>
    <mergeCell ref="B4395:G4395"/>
    <mergeCell ref="B4396:C4396"/>
    <mergeCell ref="A4398:C4398"/>
    <mergeCell ref="D4398:F4398"/>
    <mergeCell ref="A4389:A4390"/>
    <mergeCell ref="B4389:G4389"/>
    <mergeCell ref="B4390:C4390"/>
    <mergeCell ref="B4391:C4391"/>
    <mergeCell ref="B4392:C4392"/>
    <mergeCell ref="B4393:C4393"/>
    <mergeCell ref="B4384:C4384"/>
    <mergeCell ref="B4385:C4385"/>
    <mergeCell ref="B4386:C4386"/>
    <mergeCell ref="B4387:C4387"/>
    <mergeCell ref="A4388:C4388"/>
    <mergeCell ref="D4388:F4388"/>
    <mergeCell ref="B4378:C4378"/>
    <mergeCell ref="B4379:C4379"/>
    <mergeCell ref="B4380:C4380"/>
    <mergeCell ref="A4381:C4381"/>
    <mergeCell ref="D4381:F4381"/>
    <mergeCell ref="A4382:A4383"/>
    <mergeCell ref="B4382:G4382"/>
    <mergeCell ref="B4383:C4383"/>
    <mergeCell ref="A4371:E4373"/>
    <mergeCell ref="A4374:A4375"/>
    <mergeCell ref="B4374:G4374"/>
    <mergeCell ref="B4375:C4375"/>
    <mergeCell ref="B4376:C4376"/>
    <mergeCell ref="B4377:C4377"/>
    <mergeCell ref="A4364:C4364"/>
    <mergeCell ref="D4364:F4364"/>
    <mergeCell ref="A4365:C4365"/>
    <mergeCell ref="D4365:F4365"/>
    <mergeCell ref="A4369:G4369"/>
    <mergeCell ref="A4370:E4370"/>
    <mergeCell ref="B4357:C4357"/>
    <mergeCell ref="B4358:C4358"/>
    <mergeCell ref="B4359:C4359"/>
    <mergeCell ref="A4360:C4360"/>
    <mergeCell ref="D4360:F4360"/>
    <mergeCell ref="A4361:A4362"/>
    <mergeCell ref="B4361:G4361"/>
    <mergeCell ref="B4362:C4362"/>
    <mergeCell ref="B4352:C4352"/>
    <mergeCell ref="B4353:C4353"/>
    <mergeCell ref="A4354:C4354"/>
    <mergeCell ref="D4354:F4354"/>
    <mergeCell ref="A4355:A4356"/>
    <mergeCell ref="B4355:G4355"/>
    <mergeCell ref="B4356:C4356"/>
    <mergeCell ref="D4347:F4347"/>
    <mergeCell ref="A4348:A4349"/>
    <mergeCell ref="B4348:G4348"/>
    <mergeCell ref="B4349:C4349"/>
    <mergeCell ref="B4350:C4350"/>
    <mergeCell ref="B4351:C4351"/>
    <mergeCell ref="B4342:C4342"/>
    <mergeCell ref="B4343:C4343"/>
    <mergeCell ref="B4344:C4344"/>
    <mergeCell ref="B4345:C4345"/>
    <mergeCell ref="B4346:C4346"/>
    <mergeCell ref="A4347:C4347"/>
    <mergeCell ref="A4332:C4332"/>
    <mergeCell ref="D4332:F4332"/>
    <mergeCell ref="A4335:G4335"/>
    <mergeCell ref="A4336:E4336"/>
    <mergeCell ref="A4337:E4339"/>
    <mergeCell ref="A4340:A4341"/>
    <mergeCell ref="B4340:G4340"/>
    <mergeCell ref="B4341:C4341"/>
    <mergeCell ref="A4327:C4327"/>
    <mergeCell ref="D4327:F4327"/>
    <mergeCell ref="A4328:A4329"/>
    <mergeCell ref="B4328:G4328"/>
    <mergeCell ref="B4329:C4329"/>
    <mergeCell ref="A4331:C4331"/>
    <mergeCell ref="D4331:F4331"/>
    <mergeCell ref="A4322:A4323"/>
    <mergeCell ref="B4322:G4322"/>
    <mergeCell ref="B4323:C4323"/>
    <mergeCell ref="B4324:C4324"/>
    <mergeCell ref="B4325:C4325"/>
    <mergeCell ref="B4326:C4326"/>
    <mergeCell ref="B4317:C4317"/>
    <mergeCell ref="B4318:C4318"/>
    <mergeCell ref="B4319:C4319"/>
    <mergeCell ref="B4320:C4320"/>
    <mergeCell ref="A4321:C4321"/>
    <mergeCell ref="D4321:F4321"/>
    <mergeCell ref="B4311:C4311"/>
    <mergeCell ref="B4312:C4312"/>
    <mergeCell ref="B4313:C4313"/>
    <mergeCell ref="A4314:C4314"/>
    <mergeCell ref="D4314:F4314"/>
    <mergeCell ref="A4315:A4316"/>
    <mergeCell ref="B4315:G4315"/>
    <mergeCell ref="B4316:C4316"/>
    <mergeCell ref="A4304:E4306"/>
    <mergeCell ref="A4307:A4308"/>
    <mergeCell ref="B4307:G4307"/>
    <mergeCell ref="B4308:C4308"/>
    <mergeCell ref="B4309:C4309"/>
    <mergeCell ref="B4310:C4310"/>
    <mergeCell ref="A4299:C4299"/>
    <mergeCell ref="D4299:F4299"/>
    <mergeCell ref="A4300:C4300"/>
    <mergeCell ref="D4300:F4300"/>
    <mergeCell ref="A4302:G4302"/>
    <mergeCell ref="A4303:E4303"/>
    <mergeCell ref="B4290:C4290"/>
    <mergeCell ref="B4291:C4291"/>
    <mergeCell ref="B4292:C4292"/>
    <mergeCell ref="A4293:C4293"/>
    <mergeCell ref="D4293:F4293"/>
    <mergeCell ref="A4294:A4295"/>
    <mergeCell ref="B4294:G4294"/>
    <mergeCell ref="B4295:C4295"/>
    <mergeCell ref="B4285:C4285"/>
    <mergeCell ref="B4286:C4286"/>
    <mergeCell ref="A4287:C4287"/>
    <mergeCell ref="D4287:F4287"/>
    <mergeCell ref="A4288:A4289"/>
    <mergeCell ref="B4288:G4288"/>
    <mergeCell ref="B4289:C4289"/>
    <mergeCell ref="A4281:C4281"/>
    <mergeCell ref="D4281:F4281"/>
    <mergeCell ref="A4282:A4283"/>
    <mergeCell ref="B4282:G4282"/>
    <mergeCell ref="B4283:C4283"/>
    <mergeCell ref="B4284:C4284"/>
    <mergeCell ref="A4274:E4276"/>
    <mergeCell ref="A4277:A4278"/>
    <mergeCell ref="B4277:G4277"/>
    <mergeCell ref="B4278:C4278"/>
    <mergeCell ref="B4279:C4279"/>
    <mergeCell ref="B4280:C4280"/>
    <mergeCell ref="A4269:C4269"/>
    <mergeCell ref="D4269:F4269"/>
    <mergeCell ref="A4270:C4270"/>
    <mergeCell ref="D4270:F4270"/>
    <mergeCell ref="A4272:G4272"/>
    <mergeCell ref="A4273:E4273"/>
    <mergeCell ref="B4260:C4260"/>
    <mergeCell ref="B4261:C4261"/>
    <mergeCell ref="B4262:C4262"/>
    <mergeCell ref="A4263:C4263"/>
    <mergeCell ref="D4263:F4263"/>
    <mergeCell ref="A4264:A4265"/>
    <mergeCell ref="B4264:G4264"/>
    <mergeCell ref="B4265:C4265"/>
    <mergeCell ref="B4254:C4254"/>
    <mergeCell ref="B4255:C4255"/>
    <mergeCell ref="B4256:C4256"/>
    <mergeCell ref="A4257:C4257"/>
    <mergeCell ref="D4257:F4257"/>
    <mergeCell ref="A4258:A4259"/>
    <mergeCell ref="B4258:G4258"/>
    <mergeCell ref="B4259:C4259"/>
    <mergeCell ref="B4250:C4250"/>
    <mergeCell ref="A4251:C4251"/>
    <mergeCell ref="D4251:F4251"/>
    <mergeCell ref="A4252:A4253"/>
    <mergeCell ref="B4252:G4252"/>
    <mergeCell ref="B4253:C4253"/>
    <mergeCell ref="A4243:E4243"/>
    <mergeCell ref="A4244:E4246"/>
    <mergeCell ref="A4247:A4248"/>
    <mergeCell ref="B4247:G4247"/>
    <mergeCell ref="B4248:C4248"/>
    <mergeCell ref="B4249:C4249"/>
    <mergeCell ref="B4237:C4237"/>
    <mergeCell ref="A4239:C4239"/>
    <mergeCell ref="D4239:F4239"/>
    <mergeCell ref="A4240:C4240"/>
    <mergeCell ref="D4240:F4240"/>
    <mergeCell ref="A4242:G4242"/>
    <mergeCell ref="B4232:C4232"/>
    <mergeCell ref="B4233:C4233"/>
    <mergeCell ref="A4234:C4234"/>
    <mergeCell ref="D4234:F4234"/>
    <mergeCell ref="A4235:A4236"/>
    <mergeCell ref="B4235:G4235"/>
    <mergeCell ref="B4236:C4236"/>
    <mergeCell ref="B4228:C4228"/>
    <mergeCell ref="A4229:C4229"/>
    <mergeCell ref="D4229:F4229"/>
    <mergeCell ref="A4230:A4231"/>
    <mergeCell ref="B4230:G4230"/>
    <mergeCell ref="B4231:C4231"/>
    <mergeCell ref="A4224:C4224"/>
    <mergeCell ref="D4224:F4224"/>
    <mergeCell ref="A4225:A4226"/>
    <mergeCell ref="B4225:G4225"/>
    <mergeCell ref="B4226:C4226"/>
    <mergeCell ref="B4227:C4227"/>
    <mergeCell ref="A4217:E4219"/>
    <mergeCell ref="A4220:A4221"/>
    <mergeCell ref="B4220:G4220"/>
    <mergeCell ref="B4221:C4221"/>
    <mergeCell ref="B4222:C4222"/>
    <mergeCell ref="B4223:C4223"/>
    <mergeCell ref="B4210:C4210"/>
    <mergeCell ref="A4212:C4212"/>
    <mergeCell ref="D4212:F4212"/>
    <mergeCell ref="A4213:C4213"/>
    <mergeCell ref="D4213:F4213"/>
    <mergeCell ref="A4216:E4216"/>
    <mergeCell ref="B4205:C4205"/>
    <mergeCell ref="B4206:C4206"/>
    <mergeCell ref="A4207:C4207"/>
    <mergeCell ref="D4207:F4207"/>
    <mergeCell ref="A4208:A4209"/>
    <mergeCell ref="B4208:G4208"/>
    <mergeCell ref="B4209:C4209"/>
    <mergeCell ref="B4201:C4201"/>
    <mergeCell ref="A4202:C4202"/>
    <mergeCell ref="D4202:F4202"/>
    <mergeCell ref="A4203:A4204"/>
    <mergeCell ref="B4203:G4203"/>
    <mergeCell ref="B4204:C4204"/>
    <mergeCell ref="A4197:C4197"/>
    <mergeCell ref="D4197:F4197"/>
    <mergeCell ref="A4198:A4199"/>
    <mergeCell ref="B4198:G4198"/>
    <mergeCell ref="B4199:C4199"/>
    <mergeCell ref="B4200:C4200"/>
    <mergeCell ref="A4190:E4192"/>
    <mergeCell ref="A4193:A4194"/>
    <mergeCell ref="B4193:G4193"/>
    <mergeCell ref="B4194:C4194"/>
    <mergeCell ref="B4195:C4195"/>
    <mergeCell ref="B4196:C4196"/>
    <mergeCell ref="B4183:C4183"/>
    <mergeCell ref="A4185:C4185"/>
    <mergeCell ref="D4185:F4185"/>
    <mergeCell ref="A4186:C4186"/>
    <mergeCell ref="D4186:F4186"/>
    <mergeCell ref="A4189:E4189"/>
    <mergeCell ref="B4178:C4178"/>
    <mergeCell ref="B4179:C4179"/>
    <mergeCell ref="A4180:C4180"/>
    <mergeCell ref="D4180:F4180"/>
    <mergeCell ref="A4181:A4182"/>
    <mergeCell ref="B4181:G4181"/>
    <mergeCell ref="B4182:C4182"/>
    <mergeCell ref="B4174:C4174"/>
    <mergeCell ref="A4175:C4175"/>
    <mergeCell ref="D4175:F4175"/>
    <mergeCell ref="A4176:A4177"/>
    <mergeCell ref="B4176:G4176"/>
    <mergeCell ref="B4177:C4177"/>
    <mergeCell ref="A4170:C4170"/>
    <mergeCell ref="D4170:F4170"/>
    <mergeCell ref="A4171:A4172"/>
    <mergeCell ref="B4171:G4171"/>
    <mergeCell ref="B4172:C4172"/>
    <mergeCell ref="B4173:C4173"/>
    <mergeCell ref="A4163:E4165"/>
    <mergeCell ref="A4166:A4167"/>
    <mergeCell ref="B4166:G4166"/>
    <mergeCell ref="B4167:C4167"/>
    <mergeCell ref="B4168:C4168"/>
    <mergeCell ref="B4169:C4169"/>
    <mergeCell ref="B4156:C4156"/>
    <mergeCell ref="A4158:C4158"/>
    <mergeCell ref="D4158:F4158"/>
    <mergeCell ref="A4159:C4159"/>
    <mergeCell ref="D4159:F4159"/>
    <mergeCell ref="A4162:E4162"/>
    <mergeCell ref="B4151:C4151"/>
    <mergeCell ref="B4152:C4152"/>
    <mergeCell ref="A4153:C4153"/>
    <mergeCell ref="D4153:F4153"/>
    <mergeCell ref="A4154:A4155"/>
    <mergeCell ref="B4154:G4154"/>
    <mergeCell ref="B4155:C4155"/>
    <mergeCell ref="B4147:C4147"/>
    <mergeCell ref="A4148:C4148"/>
    <mergeCell ref="D4148:F4148"/>
    <mergeCell ref="A4149:A4150"/>
    <mergeCell ref="B4149:G4149"/>
    <mergeCell ref="B4150:C4150"/>
    <mergeCell ref="A4143:C4143"/>
    <mergeCell ref="D4143:F4143"/>
    <mergeCell ref="A4144:A4145"/>
    <mergeCell ref="B4144:G4144"/>
    <mergeCell ref="B4145:C4145"/>
    <mergeCell ref="B4146:C4146"/>
    <mergeCell ref="A4136:E4138"/>
    <mergeCell ref="A4139:A4140"/>
    <mergeCell ref="B4139:G4139"/>
    <mergeCell ref="B4140:C4140"/>
    <mergeCell ref="B4141:C4141"/>
    <mergeCell ref="B4142:C4142"/>
    <mergeCell ref="B4129:C4129"/>
    <mergeCell ref="A4131:C4131"/>
    <mergeCell ref="D4131:F4131"/>
    <mergeCell ref="A4132:C4132"/>
    <mergeCell ref="D4132:F4132"/>
    <mergeCell ref="A4135:E4135"/>
    <mergeCell ref="B4124:C4124"/>
    <mergeCell ref="B4125:C4125"/>
    <mergeCell ref="A4126:C4126"/>
    <mergeCell ref="D4126:F4126"/>
    <mergeCell ref="A4127:A4128"/>
    <mergeCell ref="B4127:G4127"/>
    <mergeCell ref="B4128:C4128"/>
    <mergeCell ref="B4120:C4120"/>
    <mergeCell ref="A4121:C4121"/>
    <mergeCell ref="D4121:F4121"/>
    <mergeCell ref="A4122:A4123"/>
    <mergeCell ref="B4122:G4122"/>
    <mergeCell ref="B4123:C4123"/>
    <mergeCell ref="A4116:C4116"/>
    <mergeCell ref="D4116:F4116"/>
    <mergeCell ref="A4117:A4118"/>
    <mergeCell ref="B4117:G4117"/>
    <mergeCell ref="B4118:C4118"/>
    <mergeCell ref="B4119:C4119"/>
    <mergeCell ref="A4109:E4111"/>
    <mergeCell ref="A4112:A4113"/>
    <mergeCell ref="B4112:G4112"/>
    <mergeCell ref="B4113:C4113"/>
    <mergeCell ref="B4114:C4114"/>
    <mergeCell ref="B4115:C4115"/>
    <mergeCell ref="B4102:C4102"/>
    <mergeCell ref="A4104:C4104"/>
    <mergeCell ref="D4104:F4104"/>
    <mergeCell ref="A4105:C4105"/>
    <mergeCell ref="D4105:F4105"/>
    <mergeCell ref="A4108:E4108"/>
    <mergeCell ref="B4097:C4097"/>
    <mergeCell ref="B4098:C4098"/>
    <mergeCell ref="A4099:C4099"/>
    <mergeCell ref="D4099:F4099"/>
    <mergeCell ref="A4100:A4101"/>
    <mergeCell ref="B4100:G4100"/>
    <mergeCell ref="B4101:C4101"/>
    <mergeCell ref="B4092:C4092"/>
    <mergeCell ref="B4093:C4093"/>
    <mergeCell ref="A4094:C4094"/>
    <mergeCell ref="D4094:F4094"/>
    <mergeCell ref="A4095:A4096"/>
    <mergeCell ref="B4095:G4095"/>
    <mergeCell ref="B4096:C4096"/>
    <mergeCell ref="B4088:C4088"/>
    <mergeCell ref="A4089:C4089"/>
    <mergeCell ref="D4089:F4089"/>
    <mergeCell ref="A4090:A4091"/>
    <mergeCell ref="B4090:G4090"/>
    <mergeCell ref="B4091:C4091"/>
    <mergeCell ref="A4081:E4081"/>
    <mergeCell ref="A4082:E4084"/>
    <mergeCell ref="A4085:A4086"/>
    <mergeCell ref="B4085:G4085"/>
    <mergeCell ref="B4086:C4086"/>
    <mergeCell ref="B4087:C4087"/>
    <mergeCell ref="B4074:C4074"/>
    <mergeCell ref="B4075:C4075"/>
    <mergeCell ref="B4076:C4076"/>
    <mergeCell ref="A4077:C4077"/>
    <mergeCell ref="D4077:F4077"/>
    <mergeCell ref="A4078:C4078"/>
    <mergeCell ref="D4078:F4078"/>
    <mergeCell ref="B4069:C4069"/>
    <mergeCell ref="B4070:C4070"/>
    <mergeCell ref="A4071:C4071"/>
    <mergeCell ref="D4071:F4071"/>
    <mergeCell ref="A4072:A4073"/>
    <mergeCell ref="B4072:G4072"/>
    <mergeCell ref="B4073:C4073"/>
    <mergeCell ref="B4065:C4065"/>
    <mergeCell ref="A4066:C4066"/>
    <mergeCell ref="D4066:F4066"/>
    <mergeCell ref="A4067:A4068"/>
    <mergeCell ref="B4067:G4067"/>
    <mergeCell ref="B4068:C4068"/>
    <mergeCell ref="B4059:C4059"/>
    <mergeCell ref="B4060:C4060"/>
    <mergeCell ref="B4061:C4061"/>
    <mergeCell ref="A4062:C4062"/>
    <mergeCell ref="D4062:F4062"/>
    <mergeCell ref="A4063:A4064"/>
    <mergeCell ref="B4063:G4063"/>
    <mergeCell ref="B4064:C4064"/>
    <mergeCell ref="A4052:E4054"/>
    <mergeCell ref="A4055:A4056"/>
    <mergeCell ref="B4055:G4055"/>
    <mergeCell ref="B4056:C4056"/>
    <mergeCell ref="B4057:C4057"/>
    <mergeCell ref="B4058:C4058"/>
    <mergeCell ref="B84:C84"/>
    <mergeCell ref="A86:C86"/>
    <mergeCell ref="D86:F86"/>
    <mergeCell ref="A87:C87"/>
    <mergeCell ref="D87:F87"/>
    <mergeCell ref="A4051:E4051"/>
    <mergeCell ref="A592:A593"/>
    <mergeCell ref="B592:G592"/>
    <mergeCell ref="B593:C593"/>
    <mergeCell ref="B594:C594"/>
    <mergeCell ref="B4033:G4033"/>
    <mergeCell ref="B4034:C4034"/>
    <mergeCell ref="B4035:C4035"/>
    <mergeCell ref="A4025:E4027"/>
    <mergeCell ref="A4028:A4029"/>
    <mergeCell ref="B4028:G4028"/>
    <mergeCell ref="B4029:C4029"/>
    <mergeCell ref="B4030:C4030"/>
    <mergeCell ref="B79:C79"/>
    <mergeCell ref="B80:C80"/>
    <mergeCell ref="A81:C81"/>
    <mergeCell ref="D81:F81"/>
    <mergeCell ref="A82:A83"/>
    <mergeCell ref="B82:G82"/>
    <mergeCell ref="B83:C83"/>
    <mergeCell ref="B75:C75"/>
    <mergeCell ref="A76:C76"/>
    <mergeCell ref="D76:F76"/>
    <mergeCell ref="A77:A78"/>
    <mergeCell ref="B77:G77"/>
    <mergeCell ref="B78:C78"/>
    <mergeCell ref="A71:C71"/>
    <mergeCell ref="D71:F71"/>
    <mergeCell ref="A72:A73"/>
    <mergeCell ref="B72:G72"/>
    <mergeCell ref="B73:C73"/>
    <mergeCell ref="B74:C74"/>
    <mergeCell ref="A64:E66"/>
    <mergeCell ref="A67:A68"/>
    <mergeCell ref="B67:G67"/>
    <mergeCell ref="B68:C68"/>
    <mergeCell ref="B69:C69"/>
    <mergeCell ref="B70:C70"/>
    <mergeCell ref="B4045:C4045"/>
    <mergeCell ref="A4047:C4047"/>
    <mergeCell ref="D4047:F4047"/>
    <mergeCell ref="A4048:C4048"/>
    <mergeCell ref="D4048:F4048"/>
    <mergeCell ref="A63:E63"/>
    <mergeCell ref="B595:C595"/>
    <mergeCell ref="B596:C596"/>
    <mergeCell ref="B599:C599"/>
    <mergeCell ref="A603:C603"/>
    <mergeCell ref="B4040:C4040"/>
    <mergeCell ref="B4041:C4041"/>
    <mergeCell ref="A4042:C4042"/>
    <mergeCell ref="D4042:F4042"/>
    <mergeCell ref="A4043:A4044"/>
    <mergeCell ref="B4043:G4043"/>
    <mergeCell ref="B4044:C4044"/>
    <mergeCell ref="B4036:C4036"/>
    <mergeCell ref="A4037:C4037"/>
    <mergeCell ref="D4037:F4037"/>
    <mergeCell ref="A4038:A4039"/>
    <mergeCell ref="B4038:G4038"/>
    <mergeCell ref="B4039:C4039"/>
    <mergeCell ref="A4032:C4032"/>
    <mergeCell ref="D4032:F4032"/>
    <mergeCell ref="A4033:A4034"/>
    <mergeCell ref="B4031:C4031"/>
    <mergeCell ref="B4018:C4018"/>
    <mergeCell ref="A4020:C4020"/>
    <mergeCell ref="D4020:F4020"/>
    <mergeCell ref="A4021:C4021"/>
    <mergeCell ref="D4021:F4021"/>
    <mergeCell ref="A4024:E4024"/>
    <mergeCell ref="B4013:C4013"/>
    <mergeCell ref="B4014:C4014"/>
    <mergeCell ref="A4015:C4015"/>
    <mergeCell ref="D4015:F4015"/>
    <mergeCell ref="A4016:A4017"/>
    <mergeCell ref="B4016:G4016"/>
    <mergeCell ref="B4017:C4017"/>
    <mergeCell ref="B4009:C4009"/>
    <mergeCell ref="A4010:C4010"/>
    <mergeCell ref="D4010:F4010"/>
    <mergeCell ref="A4011:A4012"/>
    <mergeCell ref="B4011:G4011"/>
    <mergeCell ref="B4012:C4012"/>
    <mergeCell ref="A4005:C4005"/>
    <mergeCell ref="D4005:F4005"/>
    <mergeCell ref="A4006:A4007"/>
    <mergeCell ref="B4006:G4006"/>
    <mergeCell ref="B4007:C4007"/>
    <mergeCell ref="B4008:C4008"/>
    <mergeCell ref="A3998:E4000"/>
    <mergeCell ref="A4001:A4002"/>
    <mergeCell ref="B4001:G4001"/>
    <mergeCell ref="B4002:C4002"/>
    <mergeCell ref="B4003:C4003"/>
    <mergeCell ref="B4004:C4004"/>
    <mergeCell ref="B3991:C3991"/>
    <mergeCell ref="A3993:C3993"/>
    <mergeCell ref="D3993:F3993"/>
    <mergeCell ref="A3994:C3994"/>
    <mergeCell ref="D3994:F3994"/>
    <mergeCell ref="A3997:E3997"/>
    <mergeCell ref="B3986:C3986"/>
    <mergeCell ref="B3987:C3987"/>
    <mergeCell ref="A3988:C3988"/>
    <mergeCell ref="D3988:F3988"/>
    <mergeCell ref="A3989:A3990"/>
    <mergeCell ref="B3989:G3989"/>
    <mergeCell ref="B3990:C3990"/>
    <mergeCell ref="B3982:C3982"/>
    <mergeCell ref="A3983:C3983"/>
    <mergeCell ref="D3983:F3983"/>
    <mergeCell ref="A3984:A3985"/>
    <mergeCell ref="B3984:G3984"/>
    <mergeCell ref="B3985:C3985"/>
    <mergeCell ref="A3978:C3978"/>
    <mergeCell ref="D3978:F3978"/>
    <mergeCell ref="A3979:A3980"/>
    <mergeCell ref="B3979:G3979"/>
    <mergeCell ref="B3980:C3980"/>
    <mergeCell ref="B3981:C3981"/>
    <mergeCell ref="A3971:E3973"/>
    <mergeCell ref="A3974:A3975"/>
    <mergeCell ref="B3974:G3974"/>
    <mergeCell ref="B3975:C3975"/>
    <mergeCell ref="B3976:C3976"/>
    <mergeCell ref="B3977:C3977"/>
    <mergeCell ref="B3964:C3964"/>
    <mergeCell ref="A3966:C3966"/>
    <mergeCell ref="D3966:F3966"/>
    <mergeCell ref="A3967:C3967"/>
    <mergeCell ref="D3967:F3967"/>
    <mergeCell ref="A3970:E3970"/>
    <mergeCell ref="B3959:C3959"/>
    <mergeCell ref="B3960:C3960"/>
    <mergeCell ref="A3961:C3961"/>
    <mergeCell ref="D3961:F3961"/>
    <mergeCell ref="A3962:A3963"/>
    <mergeCell ref="B3962:G3962"/>
    <mergeCell ref="B3963:C3963"/>
    <mergeCell ref="B3955:C3955"/>
    <mergeCell ref="A3956:C3956"/>
    <mergeCell ref="D3956:F3956"/>
    <mergeCell ref="A3957:A3958"/>
    <mergeCell ref="B3957:G3957"/>
    <mergeCell ref="B3958:C3958"/>
    <mergeCell ref="A3951:C3951"/>
    <mergeCell ref="D3951:F3951"/>
    <mergeCell ref="A3952:A3953"/>
    <mergeCell ref="B3952:G3952"/>
    <mergeCell ref="B3953:C3953"/>
    <mergeCell ref="B3954:C3954"/>
    <mergeCell ref="A3944:E3946"/>
    <mergeCell ref="A3947:A3948"/>
    <mergeCell ref="B3947:G3947"/>
    <mergeCell ref="B3948:C3948"/>
    <mergeCell ref="B3949:C3949"/>
    <mergeCell ref="B3950:C3950"/>
    <mergeCell ref="A112:C112"/>
    <mergeCell ref="D112:F112"/>
    <mergeCell ref="A113:C113"/>
    <mergeCell ref="D113:F113"/>
    <mergeCell ref="A3943:E3943"/>
    <mergeCell ref="D603:F603"/>
    <mergeCell ref="A604:C604"/>
    <mergeCell ref="D604:F604"/>
    <mergeCell ref="B600:C600"/>
    <mergeCell ref="B105:C105"/>
    <mergeCell ref="B106:C106"/>
    <mergeCell ref="A107:C107"/>
    <mergeCell ref="D107:F107"/>
    <mergeCell ref="A108:A109"/>
    <mergeCell ref="B108:G108"/>
    <mergeCell ref="B109:C109"/>
    <mergeCell ref="B3935:C3935"/>
    <mergeCell ref="A3937:C3937"/>
    <mergeCell ref="D3937:F3937"/>
    <mergeCell ref="A3938:C3938"/>
    <mergeCell ref="D3938:F3938"/>
    <mergeCell ref="D3910:F3910"/>
    <mergeCell ref="A3911:C3911"/>
    <mergeCell ref="D3911:F3911"/>
    <mergeCell ref="A3914:E3914"/>
    <mergeCell ref="B3903:C3903"/>
    <mergeCell ref="B3904:C3904"/>
    <mergeCell ref="A3905:C3905"/>
    <mergeCell ref="D3905:F3905"/>
    <mergeCell ref="A3906:A3907"/>
    <mergeCell ref="B3906:G3906"/>
    <mergeCell ref="B3907:C3907"/>
    <mergeCell ref="B101:C101"/>
    <mergeCell ref="A102:C102"/>
    <mergeCell ref="D102:F102"/>
    <mergeCell ref="A103:A104"/>
    <mergeCell ref="B103:G103"/>
    <mergeCell ref="B104:C104"/>
    <mergeCell ref="A97:C97"/>
    <mergeCell ref="D97:F97"/>
    <mergeCell ref="A98:A99"/>
    <mergeCell ref="B98:G98"/>
    <mergeCell ref="B99:C99"/>
    <mergeCell ref="B100:C100"/>
    <mergeCell ref="A90:E92"/>
    <mergeCell ref="A93:A94"/>
    <mergeCell ref="B93:G93"/>
    <mergeCell ref="B94:C94"/>
    <mergeCell ref="B95:C95"/>
    <mergeCell ref="B96:C96"/>
    <mergeCell ref="A89:E89"/>
    <mergeCell ref="B601:C601"/>
    <mergeCell ref="B602:C602"/>
    <mergeCell ref="B590:C590"/>
    <mergeCell ref="B588:C588"/>
    <mergeCell ref="B3930:C3930"/>
    <mergeCell ref="B3931:C3931"/>
    <mergeCell ref="A3932:C3932"/>
    <mergeCell ref="D3932:F3932"/>
    <mergeCell ref="A3933:A3934"/>
    <mergeCell ref="B3933:G3933"/>
    <mergeCell ref="B3934:C3934"/>
    <mergeCell ref="B3926:C3926"/>
    <mergeCell ref="A3927:C3927"/>
    <mergeCell ref="D3927:F3927"/>
    <mergeCell ref="A3928:A3929"/>
    <mergeCell ref="B3928:G3928"/>
    <mergeCell ref="B3929:C3929"/>
    <mergeCell ref="A3922:C3922"/>
    <mergeCell ref="D3922:F3922"/>
    <mergeCell ref="A3923:A3924"/>
    <mergeCell ref="B3923:G3923"/>
    <mergeCell ref="B3924:C3924"/>
    <mergeCell ref="B3925:C3925"/>
    <mergeCell ref="A3915:E3917"/>
    <mergeCell ref="A3918:A3919"/>
    <mergeCell ref="B3918:G3918"/>
    <mergeCell ref="B3919:C3919"/>
    <mergeCell ref="B3920:C3920"/>
    <mergeCell ref="B3921:C3921"/>
    <mergeCell ref="B3908:C3908"/>
    <mergeCell ref="A3910:C3910"/>
    <mergeCell ref="B3899:C3899"/>
    <mergeCell ref="A3900:C3900"/>
    <mergeCell ref="D3900:F3900"/>
    <mergeCell ref="A3901:A3902"/>
    <mergeCell ref="B3901:G3901"/>
    <mergeCell ref="B3902:C3902"/>
    <mergeCell ref="A3895:C3895"/>
    <mergeCell ref="D3895:F3895"/>
    <mergeCell ref="A3896:A3897"/>
    <mergeCell ref="B3896:G3896"/>
    <mergeCell ref="B3897:C3897"/>
    <mergeCell ref="B3898:C3898"/>
    <mergeCell ref="A3888:E3890"/>
    <mergeCell ref="A3891:A3892"/>
    <mergeCell ref="B3891:G3891"/>
    <mergeCell ref="B3892:C3892"/>
    <mergeCell ref="B3893:C3893"/>
    <mergeCell ref="B3894:C3894"/>
    <mergeCell ref="B3881:C3881"/>
    <mergeCell ref="A3883:C3883"/>
    <mergeCell ref="D3883:F3883"/>
    <mergeCell ref="A3884:C3884"/>
    <mergeCell ref="D3884:F3884"/>
    <mergeCell ref="A3887:E3887"/>
    <mergeCell ref="B3876:C3876"/>
    <mergeCell ref="B3877:C3877"/>
    <mergeCell ref="A3878:C3878"/>
    <mergeCell ref="D3878:F3878"/>
    <mergeCell ref="A3879:A3880"/>
    <mergeCell ref="B3879:G3879"/>
    <mergeCell ref="B3880:C3880"/>
    <mergeCell ref="B3871:C3871"/>
    <mergeCell ref="B3872:C3872"/>
    <mergeCell ref="A3873:C3873"/>
    <mergeCell ref="D3873:F3873"/>
    <mergeCell ref="A3874:A3875"/>
    <mergeCell ref="B3874:G3874"/>
    <mergeCell ref="B3875:C3875"/>
    <mergeCell ref="B3866:C3866"/>
    <mergeCell ref="B3867:C3867"/>
    <mergeCell ref="A3868:C3868"/>
    <mergeCell ref="D3868:F3868"/>
    <mergeCell ref="A3869:A3870"/>
    <mergeCell ref="B3869:G3869"/>
    <mergeCell ref="B3870:C3870"/>
    <mergeCell ref="A3857:C3857"/>
    <mergeCell ref="D3857:F3857"/>
    <mergeCell ref="A3860:E3860"/>
    <mergeCell ref="A3861:E3863"/>
    <mergeCell ref="A3864:A3865"/>
    <mergeCell ref="B3864:G3864"/>
    <mergeCell ref="B3865:C3865"/>
    <mergeCell ref="A3853:A3854"/>
    <mergeCell ref="B3853:G3853"/>
    <mergeCell ref="B3854:C3854"/>
    <mergeCell ref="B3855:C3855"/>
    <mergeCell ref="A3856:C3856"/>
    <mergeCell ref="D3856:F3856"/>
    <mergeCell ref="D3848:F3848"/>
    <mergeCell ref="A3849:A3850"/>
    <mergeCell ref="B3849:G3849"/>
    <mergeCell ref="B3850:C3850"/>
    <mergeCell ref="B3851:C3851"/>
    <mergeCell ref="A3852:C3852"/>
    <mergeCell ref="D3852:F3852"/>
    <mergeCell ref="B3843:C3843"/>
    <mergeCell ref="B3844:C3844"/>
    <mergeCell ref="B3845:C3845"/>
    <mergeCell ref="B3846:C3846"/>
    <mergeCell ref="B3847:C3847"/>
    <mergeCell ref="A3848:C3848"/>
    <mergeCell ref="B3838:C3838"/>
    <mergeCell ref="B3839:C3839"/>
    <mergeCell ref="A3840:C3840"/>
    <mergeCell ref="D3840:F3840"/>
    <mergeCell ref="A3841:A3842"/>
    <mergeCell ref="B3841:G3841"/>
    <mergeCell ref="B3842:C3842"/>
    <mergeCell ref="A3829:C3829"/>
    <mergeCell ref="D3829:F3829"/>
    <mergeCell ref="A3831:G3831"/>
    <mergeCell ref="A3832:E3832"/>
    <mergeCell ref="A3833:E3835"/>
    <mergeCell ref="A3836:A3837"/>
    <mergeCell ref="B3836:G3836"/>
    <mergeCell ref="B3837:C3837"/>
    <mergeCell ref="A3825:A3826"/>
    <mergeCell ref="B3825:G3825"/>
    <mergeCell ref="B3826:C3826"/>
    <mergeCell ref="B3827:C3827"/>
    <mergeCell ref="A3828:C3828"/>
    <mergeCell ref="D3828:F3828"/>
    <mergeCell ref="D3820:F3820"/>
    <mergeCell ref="A3821:A3822"/>
    <mergeCell ref="B3821:G3821"/>
    <mergeCell ref="B3822:C3822"/>
    <mergeCell ref="B3823:C3823"/>
    <mergeCell ref="A3824:C3824"/>
    <mergeCell ref="D3824:F3824"/>
    <mergeCell ref="B3815:C3815"/>
    <mergeCell ref="B3816:C3816"/>
    <mergeCell ref="B3817:C3817"/>
    <mergeCell ref="B3818:C3818"/>
    <mergeCell ref="B3819:C3819"/>
    <mergeCell ref="A3820:C3820"/>
    <mergeCell ref="B3810:C3810"/>
    <mergeCell ref="B3811:C3811"/>
    <mergeCell ref="A3812:C3812"/>
    <mergeCell ref="D3812:F3812"/>
    <mergeCell ref="A3813:A3814"/>
    <mergeCell ref="B3813:G3813"/>
    <mergeCell ref="B3814:C3814"/>
    <mergeCell ref="A3801:C3801"/>
    <mergeCell ref="D3801:F3801"/>
    <mergeCell ref="A3803:G3803"/>
    <mergeCell ref="A3804:E3804"/>
    <mergeCell ref="A3805:E3807"/>
    <mergeCell ref="A3808:A3809"/>
    <mergeCell ref="B3808:G3808"/>
    <mergeCell ref="B3809:C3809"/>
    <mergeCell ref="A3797:A3798"/>
    <mergeCell ref="B3797:G3797"/>
    <mergeCell ref="B3798:C3798"/>
    <mergeCell ref="B3799:C3799"/>
    <mergeCell ref="A3800:C3800"/>
    <mergeCell ref="D3800:F3800"/>
    <mergeCell ref="D3792:F3792"/>
    <mergeCell ref="A3793:A3794"/>
    <mergeCell ref="B3793:G3793"/>
    <mergeCell ref="B3794:C3794"/>
    <mergeCell ref="B3795:C3795"/>
    <mergeCell ref="A3796:C3796"/>
    <mergeCell ref="D3796:F3796"/>
    <mergeCell ref="B3787:C3787"/>
    <mergeCell ref="B3788:C3788"/>
    <mergeCell ref="B3789:C3789"/>
    <mergeCell ref="B3790:C3790"/>
    <mergeCell ref="B3791:C3791"/>
    <mergeCell ref="A3792:C3792"/>
    <mergeCell ref="B3782:C3782"/>
    <mergeCell ref="B3783:C3783"/>
    <mergeCell ref="A3784:C3784"/>
    <mergeCell ref="D3784:F3784"/>
    <mergeCell ref="A3785:A3786"/>
    <mergeCell ref="B3785:G3785"/>
    <mergeCell ref="B3786:C3786"/>
    <mergeCell ref="A3773:C3773"/>
    <mergeCell ref="D3773:F3773"/>
    <mergeCell ref="A3775:G3775"/>
    <mergeCell ref="A3776:E3776"/>
    <mergeCell ref="A3777:E3779"/>
    <mergeCell ref="A3780:A3781"/>
    <mergeCell ref="B3780:G3780"/>
    <mergeCell ref="B3781:C3781"/>
    <mergeCell ref="A3769:A3770"/>
    <mergeCell ref="B3769:G3769"/>
    <mergeCell ref="B3770:C3770"/>
    <mergeCell ref="B3771:C3771"/>
    <mergeCell ref="A3772:C3772"/>
    <mergeCell ref="D3772:F3772"/>
    <mergeCell ref="D3764:F3764"/>
    <mergeCell ref="A3765:A3766"/>
    <mergeCell ref="B3765:G3765"/>
    <mergeCell ref="B3766:C3766"/>
    <mergeCell ref="B3767:C3767"/>
    <mergeCell ref="A3768:C3768"/>
    <mergeCell ref="D3768:F3768"/>
    <mergeCell ref="B3759:C3759"/>
    <mergeCell ref="B3760:C3760"/>
    <mergeCell ref="B3761:C3761"/>
    <mergeCell ref="B3762:C3762"/>
    <mergeCell ref="B3763:C3763"/>
    <mergeCell ref="A3764:C3764"/>
    <mergeCell ref="B3754:C3754"/>
    <mergeCell ref="B3755:C3755"/>
    <mergeCell ref="A3756:C3756"/>
    <mergeCell ref="D3756:F3756"/>
    <mergeCell ref="A3757:A3758"/>
    <mergeCell ref="B3757:G3757"/>
    <mergeCell ref="B3758:C3758"/>
    <mergeCell ref="A3743:C3743"/>
    <mergeCell ref="D3743:F3743"/>
    <mergeCell ref="A3747:G3747"/>
    <mergeCell ref="A3748:E3748"/>
    <mergeCell ref="A3749:E3751"/>
    <mergeCell ref="A3752:A3753"/>
    <mergeCell ref="B3752:G3752"/>
    <mergeCell ref="B3753:C3753"/>
    <mergeCell ref="A3739:A3740"/>
    <mergeCell ref="B3739:G3739"/>
    <mergeCell ref="B3740:C3740"/>
    <mergeCell ref="B3741:C3741"/>
    <mergeCell ref="A3742:C3742"/>
    <mergeCell ref="D3742:F3742"/>
    <mergeCell ref="D3734:F3734"/>
    <mergeCell ref="A3735:A3736"/>
    <mergeCell ref="B3735:G3735"/>
    <mergeCell ref="B3736:C3736"/>
    <mergeCell ref="B3737:C3737"/>
    <mergeCell ref="A3738:C3738"/>
    <mergeCell ref="D3738:F3738"/>
    <mergeCell ref="B3729:C3729"/>
    <mergeCell ref="B3730:C3730"/>
    <mergeCell ref="B3731:C3731"/>
    <mergeCell ref="B3732:C3732"/>
    <mergeCell ref="B3733:C3733"/>
    <mergeCell ref="A3734:C3734"/>
    <mergeCell ref="B3724:C3724"/>
    <mergeCell ref="B3725:C3725"/>
    <mergeCell ref="A3726:C3726"/>
    <mergeCell ref="D3726:F3726"/>
    <mergeCell ref="A3727:A3728"/>
    <mergeCell ref="B3727:G3727"/>
    <mergeCell ref="B3728:C3728"/>
    <mergeCell ref="A3714:C3714"/>
    <mergeCell ref="D3714:F3714"/>
    <mergeCell ref="A3717:G3717"/>
    <mergeCell ref="A3718:E3718"/>
    <mergeCell ref="A3719:E3721"/>
    <mergeCell ref="A3722:A3723"/>
    <mergeCell ref="B3722:G3722"/>
    <mergeCell ref="B3723:C3723"/>
    <mergeCell ref="A3710:A3711"/>
    <mergeCell ref="B3710:G3710"/>
    <mergeCell ref="B3711:C3711"/>
    <mergeCell ref="B3712:C3712"/>
    <mergeCell ref="A3713:C3713"/>
    <mergeCell ref="D3713:F3713"/>
    <mergeCell ref="A3706:A3707"/>
    <mergeCell ref="B3706:G3706"/>
    <mergeCell ref="B3707:C3707"/>
    <mergeCell ref="B3708:C3708"/>
    <mergeCell ref="A3709:C3709"/>
    <mergeCell ref="D3709:F3709"/>
    <mergeCell ref="B3701:C3701"/>
    <mergeCell ref="B3702:C3702"/>
    <mergeCell ref="B3703:C3703"/>
    <mergeCell ref="B3704:C3704"/>
    <mergeCell ref="A3705:C3705"/>
    <mergeCell ref="D3705:F3705"/>
    <mergeCell ref="A3697:C3697"/>
    <mergeCell ref="D3697:F3697"/>
    <mergeCell ref="A3698:A3699"/>
    <mergeCell ref="B3698:G3698"/>
    <mergeCell ref="B3699:C3699"/>
    <mergeCell ref="B3700:C3700"/>
    <mergeCell ref="A3690:E3692"/>
    <mergeCell ref="A3693:A3694"/>
    <mergeCell ref="B3693:G3693"/>
    <mergeCell ref="B3694:C3694"/>
    <mergeCell ref="B3695:C3695"/>
    <mergeCell ref="B3696:C3696"/>
    <mergeCell ref="A3684:C3684"/>
    <mergeCell ref="D3684:F3684"/>
    <mergeCell ref="A3685:C3685"/>
    <mergeCell ref="D3685:F3685"/>
    <mergeCell ref="A3688:G3688"/>
    <mergeCell ref="A3689:E3689"/>
    <mergeCell ref="A3680:C3680"/>
    <mergeCell ref="D3680:F3680"/>
    <mergeCell ref="A3681:A3682"/>
    <mergeCell ref="B3681:G3681"/>
    <mergeCell ref="B3682:C3682"/>
    <mergeCell ref="B3683:C3683"/>
    <mergeCell ref="D3675:F3675"/>
    <mergeCell ref="A3676:A3677"/>
    <mergeCell ref="B3676:G3676"/>
    <mergeCell ref="B3677:C3677"/>
    <mergeCell ref="B3678:C3678"/>
    <mergeCell ref="B3679:C3679"/>
    <mergeCell ref="B3670:C3670"/>
    <mergeCell ref="B3671:C3671"/>
    <mergeCell ref="B3672:C3672"/>
    <mergeCell ref="B3673:C3673"/>
    <mergeCell ref="B3674:C3674"/>
    <mergeCell ref="A3675:C3675"/>
    <mergeCell ref="B3666:C3666"/>
    <mergeCell ref="A3667:C3667"/>
    <mergeCell ref="D3667:F3667"/>
    <mergeCell ref="A3668:A3669"/>
    <mergeCell ref="B3668:G3668"/>
    <mergeCell ref="B3669:C3669"/>
    <mergeCell ref="A3659:E3659"/>
    <mergeCell ref="A3660:E3662"/>
    <mergeCell ref="A3663:A3664"/>
    <mergeCell ref="B3663:G3663"/>
    <mergeCell ref="B3664:C3664"/>
    <mergeCell ref="B3665:C3665"/>
    <mergeCell ref="B3654:C3654"/>
    <mergeCell ref="A3655:C3655"/>
    <mergeCell ref="D3655:F3655"/>
    <mergeCell ref="A3656:C3656"/>
    <mergeCell ref="D3656:F3656"/>
    <mergeCell ref="A3658:G3658"/>
    <mergeCell ref="B3650:C3650"/>
    <mergeCell ref="A3651:C3651"/>
    <mergeCell ref="D3651:F3651"/>
    <mergeCell ref="A3652:A3653"/>
    <mergeCell ref="B3652:G3652"/>
    <mergeCell ref="B3653:C3653"/>
    <mergeCell ref="B3646:C3646"/>
    <mergeCell ref="A3647:C3647"/>
    <mergeCell ref="D3647:F3647"/>
    <mergeCell ref="A3648:A3649"/>
    <mergeCell ref="B3648:G3648"/>
    <mergeCell ref="B3649:C3649"/>
    <mergeCell ref="A3642:C3642"/>
    <mergeCell ref="D3642:F3642"/>
    <mergeCell ref="A3643:A3644"/>
    <mergeCell ref="B3643:G3643"/>
    <mergeCell ref="B3644:C3644"/>
    <mergeCell ref="B3645:C3645"/>
    <mergeCell ref="A3635:E3635"/>
    <mergeCell ref="A3636:E3638"/>
    <mergeCell ref="A3639:A3640"/>
    <mergeCell ref="B3639:G3639"/>
    <mergeCell ref="B3640:C3640"/>
    <mergeCell ref="B3641:C3641"/>
    <mergeCell ref="B3629:C3629"/>
    <mergeCell ref="A3630:C3630"/>
    <mergeCell ref="D3630:F3630"/>
    <mergeCell ref="A3631:C3631"/>
    <mergeCell ref="D3631:F3631"/>
    <mergeCell ref="A3634:G3634"/>
    <mergeCell ref="B3625:C3625"/>
    <mergeCell ref="A3626:C3626"/>
    <mergeCell ref="D3626:F3626"/>
    <mergeCell ref="A3627:A3628"/>
    <mergeCell ref="B3627:G3627"/>
    <mergeCell ref="B3628:C3628"/>
    <mergeCell ref="B3619:C3619"/>
    <mergeCell ref="B3620:C3620"/>
    <mergeCell ref="B3621:C3621"/>
    <mergeCell ref="A3622:C3622"/>
    <mergeCell ref="D3622:F3622"/>
    <mergeCell ref="A3623:A3624"/>
    <mergeCell ref="B3623:G3623"/>
    <mergeCell ref="B3624:C3624"/>
    <mergeCell ref="B3613:C3613"/>
    <mergeCell ref="B3614:C3614"/>
    <mergeCell ref="B3615:C3615"/>
    <mergeCell ref="B3616:C3616"/>
    <mergeCell ref="B3617:C3617"/>
    <mergeCell ref="B3618:C3618"/>
    <mergeCell ref="A3609:C3609"/>
    <mergeCell ref="D3609:F3609"/>
    <mergeCell ref="A3610:A3611"/>
    <mergeCell ref="B3610:G3610"/>
    <mergeCell ref="B3611:C3611"/>
    <mergeCell ref="B3612:C3612"/>
    <mergeCell ref="A3602:E3602"/>
    <mergeCell ref="A3603:E3605"/>
    <mergeCell ref="A3606:A3607"/>
    <mergeCell ref="B3606:G3606"/>
    <mergeCell ref="B3607:C3607"/>
    <mergeCell ref="B3608:C3608"/>
    <mergeCell ref="B3596:C3596"/>
    <mergeCell ref="A3597:C3597"/>
    <mergeCell ref="D3597:F3597"/>
    <mergeCell ref="A3598:C3598"/>
    <mergeCell ref="D3598:F3598"/>
    <mergeCell ref="A3601:G3601"/>
    <mergeCell ref="B3592:C3592"/>
    <mergeCell ref="A3593:C3593"/>
    <mergeCell ref="D3593:F3593"/>
    <mergeCell ref="A3594:A3595"/>
    <mergeCell ref="B3594:G3594"/>
    <mergeCell ref="B3595:C3595"/>
    <mergeCell ref="B3588:C3588"/>
    <mergeCell ref="A3589:C3589"/>
    <mergeCell ref="D3589:F3589"/>
    <mergeCell ref="A3590:A3591"/>
    <mergeCell ref="B3590:G3590"/>
    <mergeCell ref="B3591:C3591"/>
    <mergeCell ref="B3582:C3582"/>
    <mergeCell ref="B3583:C3583"/>
    <mergeCell ref="B3584:C3584"/>
    <mergeCell ref="B3585:C3585"/>
    <mergeCell ref="B3586:C3586"/>
    <mergeCell ref="B3587:C3587"/>
    <mergeCell ref="A3577:A3578"/>
    <mergeCell ref="B3577:G3577"/>
    <mergeCell ref="B3578:C3578"/>
    <mergeCell ref="B3579:C3579"/>
    <mergeCell ref="B3580:C3580"/>
    <mergeCell ref="B3581:C3581"/>
    <mergeCell ref="A3570:E3572"/>
    <mergeCell ref="A3573:A3574"/>
    <mergeCell ref="B3573:G3573"/>
    <mergeCell ref="B3574:C3574"/>
    <mergeCell ref="B3575:C3575"/>
    <mergeCell ref="A3576:C3576"/>
    <mergeCell ref="D3576:F3576"/>
    <mergeCell ref="A3564:C3564"/>
    <mergeCell ref="D3564:F3564"/>
    <mergeCell ref="A3565:C3565"/>
    <mergeCell ref="D3565:F3565"/>
    <mergeCell ref="A3568:G3568"/>
    <mergeCell ref="A3569:E3569"/>
    <mergeCell ref="A3560:C3560"/>
    <mergeCell ref="D3560:F3560"/>
    <mergeCell ref="A3561:A3562"/>
    <mergeCell ref="B3561:G3561"/>
    <mergeCell ref="B3562:C3562"/>
    <mergeCell ref="B3563:C3563"/>
    <mergeCell ref="A3556:C3556"/>
    <mergeCell ref="D3556:F3556"/>
    <mergeCell ref="A3557:A3558"/>
    <mergeCell ref="B3557:G3557"/>
    <mergeCell ref="B3558:C3558"/>
    <mergeCell ref="B3559:C3559"/>
    <mergeCell ref="B3550:C3550"/>
    <mergeCell ref="B3551:C3551"/>
    <mergeCell ref="B3552:C3552"/>
    <mergeCell ref="B3553:C3553"/>
    <mergeCell ref="B3554:C3554"/>
    <mergeCell ref="B3555:C3555"/>
    <mergeCell ref="A3546:C3546"/>
    <mergeCell ref="D3546:F3546"/>
    <mergeCell ref="A3547:A3548"/>
    <mergeCell ref="B3547:G3547"/>
    <mergeCell ref="B3548:C3548"/>
    <mergeCell ref="B3549:C3549"/>
    <mergeCell ref="A3539:E3539"/>
    <mergeCell ref="A3540:E3542"/>
    <mergeCell ref="A3543:A3544"/>
    <mergeCell ref="B3543:G3543"/>
    <mergeCell ref="B3544:C3544"/>
    <mergeCell ref="B3545:C3545"/>
    <mergeCell ref="B3533:C3533"/>
    <mergeCell ref="A3534:C3534"/>
    <mergeCell ref="D3534:F3534"/>
    <mergeCell ref="A3535:C3535"/>
    <mergeCell ref="D3535:F3535"/>
    <mergeCell ref="A3538:G3538"/>
    <mergeCell ref="B3528:C3528"/>
    <mergeCell ref="B3529:C3529"/>
    <mergeCell ref="A3530:C3530"/>
    <mergeCell ref="D3530:F3530"/>
    <mergeCell ref="A3531:A3532"/>
    <mergeCell ref="B3531:G3531"/>
    <mergeCell ref="B3532:C3532"/>
    <mergeCell ref="B3522:C3522"/>
    <mergeCell ref="B3523:C3523"/>
    <mergeCell ref="B3524:C3524"/>
    <mergeCell ref="A3525:C3525"/>
    <mergeCell ref="D3525:F3525"/>
    <mergeCell ref="A3526:A3527"/>
    <mergeCell ref="B3526:G3526"/>
    <mergeCell ref="B3527:C3527"/>
    <mergeCell ref="B3516:C3516"/>
    <mergeCell ref="B3517:C3517"/>
    <mergeCell ref="B3518:C3518"/>
    <mergeCell ref="B3519:C3519"/>
    <mergeCell ref="B3520:C3520"/>
    <mergeCell ref="B3521:C3521"/>
    <mergeCell ref="A3512:C3512"/>
    <mergeCell ref="D3512:F3512"/>
    <mergeCell ref="A3513:A3514"/>
    <mergeCell ref="B3513:G3513"/>
    <mergeCell ref="B3514:C3514"/>
    <mergeCell ref="B3515:C3515"/>
    <mergeCell ref="A3505:E3505"/>
    <mergeCell ref="A3506:E3508"/>
    <mergeCell ref="A3509:A3510"/>
    <mergeCell ref="B3509:G3509"/>
    <mergeCell ref="B3510:C3510"/>
    <mergeCell ref="B3511:C3511"/>
    <mergeCell ref="B3499:C3499"/>
    <mergeCell ref="A3500:C3500"/>
    <mergeCell ref="D3500:F3500"/>
    <mergeCell ref="A3501:C3501"/>
    <mergeCell ref="D3501:F3501"/>
    <mergeCell ref="A3504:G3504"/>
    <mergeCell ref="B3494:C3494"/>
    <mergeCell ref="B3495:C3495"/>
    <mergeCell ref="A3496:C3496"/>
    <mergeCell ref="D3496:F3496"/>
    <mergeCell ref="A3497:A3498"/>
    <mergeCell ref="B3497:G3497"/>
    <mergeCell ref="B3498:C3498"/>
    <mergeCell ref="B3489:C3489"/>
    <mergeCell ref="B3490:C3490"/>
    <mergeCell ref="A3491:C3491"/>
    <mergeCell ref="D3491:F3491"/>
    <mergeCell ref="A3492:A3493"/>
    <mergeCell ref="B3492:G3492"/>
    <mergeCell ref="B3493:C3493"/>
    <mergeCell ref="B3483:C3483"/>
    <mergeCell ref="B3484:C3484"/>
    <mergeCell ref="B3485:C3485"/>
    <mergeCell ref="B3486:C3486"/>
    <mergeCell ref="B3487:C3487"/>
    <mergeCell ref="B3488:C3488"/>
    <mergeCell ref="A3479:C3479"/>
    <mergeCell ref="D3479:F3479"/>
    <mergeCell ref="A3480:A3481"/>
    <mergeCell ref="B3480:G3480"/>
    <mergeCell ref="B3481:C3481"/>
    <mergeCell ref="B3482:C3482"/>
    <mergeCell ref="A3472:E3472"/>
    <mergeCell ref="A3473:E3475"/>
    <mergeCell ref="A3476:A3477"/>
    <mergeCell ref="B3476:G3476"/>
    <mergeCell ref="B3477:C3477"/>
    <mergeCell ref="B3478:C3478"/>
    <mergeCell ref="B3466:C3466"/>
    <mergeCell ref="A3467:C3467"/>
    <mergeCell ref="D3467:F3467"/>
    <mergeCell ref="A3468:C3468"/>
    <mergeCell ref="D3468:F3468"/>
    <mergeCell ref="A3471:G3471"/>
    <mergeCell ref="B3461:C3461"/>
    <mergeCell ref="B3462:C3462"/>
    <mergeCell ref="A3463:C3463"/>
    <mergeCell ref="D3463:F3463"/>
    <mergeCell ref="A3464:A3465"/>
    <mergeCell ref="B3464:G3464"/>
    <mergeCell ref="B3465:C3465"/>
    <mergeCell ref="B3455:C3455"/>
    <mergeCell ref="B3456:C3456"/>
    <mergeCell ref="B3457:C3457"/>
    <mergeCell ref="A3458:C3458"/>
    <mergeCell ref="D3458:F3458"/>
    <mergeCell ref="A3459:A3460"/>
    <mergeCell ref="B3459:G3459"/>
    <mergeCell ref="B3460:C3460"/>
    <mergeCell ref="B3449:C3449"/>
    <mergeCell ref="B3450:C3450"/>
    <mergeCell ref="B3451:C3451"/>
    <mergeCell ref="B3452:C3452"/>
    <mergeCell ref="B3453:C3453"/>
    <mergeCell ref="B3454:C3454"/>
    <mergeCell ref="A3445:C3445"/>
    <mergeCell ref="D3445:F3445"/>
    <mergeCell ref="A3446:A3447"/>
    <mergeCell ref="B3446:G3446"/>
    <mergeCell ref="B3447:C3447"/>
    <mergeCell ref="B3448:C3448"/>
    <mergeCell ref="A3438:E3438"/>
    <mergeCell ref="A3439:E3441"/>
    <mergeCell ref="A3442:A3443"/>
    <mergeCell ref="B3442:G3442"/>
    <mergeCell ref="B3443:C3443"/>
    <mergeCell ref="B3444:C3444"/>
    <mergeCell ref="B3432:C3432"/>
    <mergeCell ref="A3433:C3433"/>
    <mergeCell ref="D3433:F3433"/>
    <mergeCell ref="A3434:C3434"/>
    <mergeCell ref="D3434:F3434"/>
    <mergeCell ref="A3437:G3437"/>
    <mergeCell ref="B3428:C3428"/>
    <mergeCell ref="A3429:C3429"/>
    <mergeCell ref="D3429:F3429"/>
    <mergeCell ref="A3430:A3431"/>
    <mergeCell ref="B3430:G3430"/>
    <mergeCell ref="B3431:C3431"/>
    <mergeCell ref="B3423:C3423"/>
    <mergeCell ref="B3424:C3424"/>
    <mergeCell ref="A3425:C3425"/>
    <mergeCell ref="D3425:F3425"/>
    <mergeCell ref="A3426:A3427"/>
    <mergeCell ref="B3426:G3426"/>
    <mergeCell ref="B3427:C3427"/>
    <mergeCell ref="A3419:C3419"/>
    <mergeCell ref="D3419:F3419"/>
    <mergeCell ref="A3420:A3421"/>
    <mergeCell ref="B3420:G3420"/>
    <mergeCell ref="B3421:C3421"/>
    <mergeCell ref="B3422:C3422"/>
    <mergeCell ref="A3412:E3412"/>
    <mergeCell ref="A3413:E3415"/>
    <mergeCell ref="A3416:A3417"/>
    <mergeCell ref="B3416:G3416"/>
    <mergeCell ref="B3417:C3417"/>
    <mergeCell ref="B3418:C3418"/>
    <mergeCell ref="B3406:C3406"/>
    <mergeCell ref="A3407:C3407"/>
    <mergeCell ref="D3407:F3407"/>
    <mergeCell ref="A3408:C3408"/>
    <mergeCell ref="D3408:F3408"/>
    <mergeCell ref="A3411:G3411"/>
    <mergeCell ref="B3402:C3402"/>
    <mergeCell ref="A3403:C3403"/>
    <mergeCell ref="D3403:F3403"/>
    <mergeCell ref="A3404:A3405"/>
    <mergeCell ref="B3404:G3404"/>
    <mergeCell ref="B3405:C3405"/>
    <mergeCell ref="B3398:C3398"/>
    <mergeCell ref="A3399:C3399"/>
    <mergeCell ref="D3399:F3399"/>
    <mergeCell ref="A3400:A3401"/>
    <mergeCell ref="B3400:G3400"/>
    <mergeCell ref="B3401:C3401"/>
    <mergeCell ref="A3394:C3394"/>
    <mergeCell ref="D3394:F3394"/>
    <mergeCell ref="A3395:A3396"/>
    <mergeCell ref="B3395:G3395"/>
    <mergeCell ref="B3396:C3396"/>
    <mergeCell ref="B3397:C3397"/>
    <mergeCell ref="A3387:E3387"/>
    <mergeCell ref="A3388:E3390"/>
    <mergeCell ref="A3391:A3392"/>
    <mergeCell ref="B3391:G3391"/>
    <mergeCell ref="B3392:C3392"/>
    <mergeCell ref="B3393:C3393"/>
    <mergeCell ref="B3381:C3381"/>
    <mergeCell ref="A3382:C3382"/>
    <mergeCell ref="D3382:F3382"/>
    <mergeCell ref="A3383:C3383"/>
    <mergeCell ref="D3383:F3383"/>
    <mergeCell ref="A3386:G3386"/>
    <mergeCell ref="B3377:C3377"/>
    <mergeCell ref="A3378:C3378"/>
    <mergeCell ref="D3378:F3378"/>
    <mergeCell ref="A3379:A3380"/>
    <mergeCell ref="B3379:G3379"/>
    <mergeCell ref="B3380:C3380"/>
    <mergeCell ref="B3372:C3372"/>
    <mergeCell ref="B3373:C3373"/>
    <mergeCell ref="A3374:C3374"/>
    <mergeCell ref="D3374:F3374"/>
    <mergeCell ref="A3375:A3376"/>
    <mergeCell ref="B3375:G3375"/>
    <mergeCell ref="B3376:C3376"/>
    <mergeCell ref="A3368:C3368"/>
    <mergeCell ref="D3368:F3368"/>
    <mergeCell ref="A3369:A3370"/>
    <mergeCell ref="B3369:G3369"/>
    <mergeCell ref="B3370:C3370"/>
    <mergeCell ref="B3371:C3371"/>
    <mergeCell ref="A3361:E3361"/>
    <mergeCell ref="A3362:E3364"/>
    <mergeCell ref="A3365:A3366"/>
    <mergeCell ref="B3365:G3365"/>
    <mergeCell ref="B3366:C3366"/>
    <mergeCell ref="B3367:C3367"/>
    <mergeCell ref="B3356:C3356"/>
    <mergeCell ref="A3357:C3357"/>
    <mergeCell ref="D3357:F3357"/>
    <mergeCell ref="A3358:C3358"/>
    <mergeCell ref="D3358:F3358"/>
    <mergeCell ref="A3360:G3360"/>
    <mergeCell ref="B3352:C3352"/>
    <mergeCell ref="A3353:C3353"/>
    <mergeCell ref="D3353:F3353"/>
    <mergeCell ref="A3354:A3355"/>
    <mergeCell ref="B3354:G3354"/>
    <mergeCell ref="B3355:C3355"/>
    <mergeCell ref="B3347:C3347"/>
    <mergeCell ref="B3348:C3348"/>
    <mergeCell ref="A3349:C3349"/>
    <mergeCell ref="D3349:F3349"/>
    <mergeCell ref="A3350:A3351"/>
    <mergeCell ref="B3350:G3350"/>
    <mergeCell ref="B3351:C3351"/>
    <mergeCell ref="B3343:C3343"/>
    <mergeCell ref="A3344:C3344"/>
    <mergeCell ref="D3344:F3344"/>
    <mergeCell ref="A3345:A3346"/>
    <mergeCell ref="B3345:G3345"/>
    <mergeCell ref="B3346:C3346"/>
    <mergeCell ref="A3333:C3333"/>
    <mergeCell ref="D3333:F3333"/>
    <mergeCell ref="A3336:G3336"/>
    <mergeCell ref="A3337:E3337"/>
    <mergeCell ref="A3338:E3340"/>
    <mergeCell ref="A3341:A3342"/>
    <mergeCell ref="B3341:G3341"/>
    <mergeCell ref="B3342:C3342"/>
    <mergeCell ref="A3329:A3330"/>
    <mergeCell ref="B3329:G3329"/>
    <mergeCell ref="B3330:C3330"/>
    <mergeCell ref="B3331:C3331"/>
    <mergeCell ref="A3332:C3332"/>
    <mergeCell ref="D3332:F3332"/>
    <mergeCell ref="D3324:F3324"/>
    <mergeCell ref="A3325:A3326"/>
    <mergeCell ref="B3325:G3325"/>
    <mergeCell ref="B3326:C3326"/>
    <mergeCell ref="B3327:C3327"/>
    <mergeCell ref="A3328:C3328"/>
    <mergeCell ref="D3328:F3328"/>
    <mergeCell ref="B3319:C3319"/>
    <mergeCell ref="B3320:C3320"/>
    <mergeCell ref="B3321:C3321"/>
    <mergeCell ref="B3322:C3322"/>
    <mergeCell ref="B3323:C3323"/>
    <mergeCell ref="A3324:C3324"/>
    <mergeCell ref="A3315:C3315"/>
    <mergeCell ref="D3315:F3315"/>
    <mergeCell ref="A3316:A3317"/>
    <mergeCell ref="B3316:G3316"/>
    <mergeCell ref="B3317:C3317"/>
    <mergeCell ref="B3318:C3318"/>
    <mergeCell ref="A3308:E3308"/>
    <mergeCell ref="A3309:E3311"/>
    <mergeCell ref="A3312:A3313"/>
    <mergeCell ref="B3312:G3312"/>
    <mergeCell ref="B3313:C3313"/>
    <mergeCell ref="B3314:C3314"/>
    <mergeCell ref="B3302:C3302"/>
    <mergeCell ref="A3303:C3303"/>
    <mergeCell ref="D3303:F3303"/>
    <mergeCell ref="A3304:C3304"/>
    <mergeCell ref="D3304:F3304"/>
    <mergeCell ref="A3307:G3307"/>
    <mergeCell ref="B3298:C3298"/>
    <mergeCell ref="A3299:C3299"/>
    <mergeCell ref="D3299:F3299"/>
    <mergeCell ref="A3300:A3301"/>
    <mergeCell ref="B3300:G3300"/>
    <mergeCell ref="B3301:C3301"/>
    <mergeCell ref="A3294:C3294"/>
    <mergeCell ref="D3294:F3294"/>
    <mergeCell ref="A3295:A3296"/>
    <mergeCell ref="B3295:G3295"/>
    <mergeCell ref="B3296:C3296"/>
    <mergeCell ref="B3297:C3297"/>
    <mergeCell ref="B3288:C3288"/>
    <mergeCell ref="B3289:C3289"/>
    <mergeCell ref="B3290:C3290"/>
    <mergeCell ref="B3291:C3291"/>
    <mergeCell ref="B3292:C3292"/>
    <mergeCell ref="B3293:C3293"/>
    <mergeCell ref="B3284:C3284"/>
    <mergeCell ref="A3285:C3285"/>
    <mergeCell ref="D3285:F3285"/>
    <mergeCell ref="A3286:A3287"/>
    <mergeCell ref="B3286:G3286"/>
    <mergeCell ref="B3287:C3287"/>
    <mergeCell ref="A3277:G3277"/>
    <mergeCell ref="A3278:E3278"/>
    <mergeCell ref="A3279:E3281"/>
    <mergeCell ref="A3282:A3283"/>
    <mergeCell ref="B3282:G3282"/>
    <mergeCell ref="B3283:C3283"/>
    <mergeCell ref="B3271:C3271"/>
    <mergeCell ref="B3272:C3272"/>
    <mergeCell ref="B3273:C3273"/>
    <mergeCell ref="A3274:C3274"/>
    <mergeCell ref="D3274:F3274"/>
    <mergeCell ref="A3275:C3275"/>
    <mergeCell ref="D3275:F3275"/>
    <mergeCell ref="B3265:C3265"/>
    <mergeCell ref="B3266:C3266"/>
    <mergeCell ref="B3267:C3267"/>
    <mergeCell ref="A3268:C3268"/>
    <mergeCell ref="D3268:F3268"/>
    <mergeCell ref="A3269:A3270"/>
    <mergeCell ref="B3269:G3269"/>
    <mergeCell ref="B3270:C3270"/>
    <mergeCell ref="B3261:C3261"/>
    <mergeCell ref="A3262:C3262"/>
    <mergeCell ref="D3262:F3262"/>
    <mergeCell ref="A3263:A3264"/>
    <mergeCell ref="B3263:G3263"/>
    <mergeCell ref="B3264:C3264"/>
    <mergeCell ref="B3255:C3255"/>
    <mergeCell ref="B3256:C3256"/>
    <mergeCell ref="B3257:C3257"/>
    <mergeCell ref="B3258:C3258"/>
    <mergeCell ref="B3259:C3259"/>
    <mergeCell ref="B3260:C3260"/>
    <mergeCell ref="B3250:C3250"/>
    <mergeCell ref="B3251:C3251"/>
    <mergeCell ref="A3252:C3252"/>
    <mergeCell ref="D3252:F3252"/>
    <mergeCell ref="A3253:A3254"/>
    <mergeCell ref="B3253:G3253"/>
    <mergeCell ref="B3254:C3254"/>
    <mergeCell ref="A3243:E3243"/>
    <mergeCell ref="A3244:E3246"/>
    <mergeCell ref="A3247:A3248"/>
    <mergeCell ref="B3247:G3247"/>
    <mergeCell ref="B3248:C3248"/>
    <mergeCell ref="B3249:C3249"/>
    <mergeCell ref="B3238:C3238"/>
    <mergeCell ref="A3239:C3239"/>
    <mergeCell ref="D3239:F3239"/>
    <mergeCell ref="A3240:C3240"/>
    <mergeCell ref="D3240:F3240"/>
    <mergeCell ref="A3242:G3242"/>
    <mergeCell ref="B3234:C3234"/>
    <mergeCell ref="A3235:C3235"/>
    <mergeCell ref="D3235:F3235"/>
    <mergeCell ref="A3236:A3237"/>
    <mergeCell ref="B3236:G3236"/>
    <mergeCell ref="B3237:C3237"/>
    <mergeCell ref="A3230:C3230"/>
    <mergeCell ref="D3230:F3230"/>
    <mergeCell ref="A3231:A3232"/>
    <mergeCell ref="B3231:G3231"/>
    <mergeCell ref="B3232:C3232"/>
    <mergeCell ref="B3233:C3233"/>
    <mergeCell ref="B3224:C3224"/>
    <mergeCell ref="B3225:C3225"/>
    <mergeCell ref="B3226:C3226"/>
    <mergeCell ref="B3227:C3227"/>
    <mergeCell ref="B3228:C3228"/>
    <mergeCell ref="B3229:C3229"/>
    <mergeCell ref="B3220:C3220"/>
    <mergeCell ref="A3221:C3221"/>
    <mergeCell ref="D3221:F3221"/>
    <mergeCell ref="A3222:A3223"/>
    <mergeCell ref="B3222:G3222"/>
    <mergeCell ref="B3223:C3223"/>
    <mergeCell ref="A3213:E3213"/>
    <mergeCell ref="A3214:E3216"/>
    <mergeCell ref="A3217:A3218"/>
    <mergeCell ref="B3217:G3217"/>
    <mergeCell ref="B3218:C3218"/>
    <mergeCell ref="B3219:C3219"/>
    <mergeCell ref="B3207:C3207"/>
    <mergeCell ref="A3208:C3208"/>
    <mergeCell ref="D3208:F3208"/>
    <mergeCell ref="A3209:C3209"/>
    <mergeCell ref="D3209:F3209"/>
    <mergeCell ref="A3212:G3212"/>
    <mergeCell ref="B3203:C3203"/>
    <mergeCell ref="A3204:C3204"/>
    <mergeCell ref="D3204:F3204"/>
    <mergeCell ref="A3205:A3206"/>
    <mergeCell ref="B3205:G3205"/>
    <mergeCell ref="B3206:C3206"/>
    <mergeCell ref="B3198:C3198"/>
    <mergeCell ref="B3199:C3199"/>
    <mergeCell ref="A3200:C3200"/>
    <mergeCell ref="D3200:F3200"/>
    <mergeCell ref="A3201:A3202"/>
    <mergeCell ref="B3201:G3201"/>
    <mergeCell ref="B3202:C3202"/>
    <mergeCell ref="B3194:C3194"/>
    <mergeCell ref="A3195:C3195"/>
    <mergeCell ref="D3195:F3195"/>
    <mergeCell ref="A3196:A3197"/>
    <mergeCell ref="B3196:G3196"/>
    <mergeCell ref="B3197:C3197"/>
    <mergeCell ref="A3187:E3187"/>
    <mergeCell ref="A3188:E3190"/>
    <mergeCell ref="A3191:A3192"/>
    <mergeCell ref="B3191:G3191"/>
    <mergeCell ref="B3192:C3192"/>
    <mergeCell ref="B3193:C3193"/>
    <mergeCell ref="B3181:C3181"/>
    <mergeCell ref="A3182:C3182"/>
    <mergeCell ref="D3182:F3182"/>
    <mergeCell ref="A3183:C3183"/>
    <mergeCell ref="D3183:F3183"/>
    <mergeCell ref="A3186:G3186"/>
    <mergeCell ref="B3176:C3176"/>
    <mergeCell ref="B3177:C3177"/>
    <mergeCell ref="A3178:C3178"/>
    <mergeCell ref="D3178:F3178"/>
    <mergeCell ref="A3179:A3180"/>
    <mergeCell ref="B3179:G3179"/>
    <mergeCell ref="B3180:C3180"/>
    <mergeCell ref="B3172:C3172"/>
    <mergeCell ref="A3173:C3173"/>
    <mergeCell ref="D3173:F3173"/>
    <mergeCell ref="A3174:A3175"/>
    <mergeCell ref="B3174:G3174"/>
    <mergeCell ref="B3175:C3175"/>
    <mergeCell ref="B3166:C3166"/>
    <mergeCell ref="B3167:C3167"/>
    <mergeCell ref="B3168:C3168"/>
    <mergeCell ref="B3169:C3169"/>
    <mergeCell ref="B3170:C3170"/>
    <mergeCell ref="B3171:C3171"/>
    <mergeCell ref="A3162:C3162"/>
    <mergeCell ref="D3162:F3162"/>
    <mergeCell ref="A3163:A3164"/>
    <mergeCell ref="B3163:G3163"/>
    <mergeCell ref="B3164:C3164"/>
    <mergeCell ref="B3165:C3165"/>
    <mergeCell ref="A3155:E3157"/>
    <mergeCell ref="A3158:A3159"/>
    <mergeCell ref="B3158:G3158"/>
    <mergeCell ref="B3159:C3159"/>
    <mergeCell ref="B3160:C3160"/>
    <mergeCell ref="B3161:C3161"/>
    <mergeCell ref="A3149:C3149"/>
    <mergeCell ref="D3149:F3149"/>
    <mergeCell ref="A3150:C3150"/>
    <mergeCell ref="D3150:F3150"/>
    <mergeCell ref="A3153:G3153"/>
    <mergeCell ref="A3154:E3154"/>
    <mergeCell ref="B3143:C3143"/>
    <mergeCell ref="B3144:C3144"/>
    <mergeCell ref="A3145:C3145"/>
    <mergeCell ref="D3145:F3145"/>
    <mergeCell ref="A3146:A3147"/>
    <mergeCell ref="B3146:G3146"/>
    <mergeCell ref="B3147:C3147"/>
    <mergeCell ref="B3139:C3139"/>
    <mergeCell ref="A3140:C3140"/>
    <mergeCell ref="D3140:F3140"/>
    <mergeCell ref="A3141:A3142"/>
    <mergeCell ref="B3141:G3141"/>
    <mergeCell ref="B3142:C3142"/>
    <mergeCell ref="B3133:C3133"/>
    <mergeCell ref="B3134:C3134"/>
    <mergeCell ref="B3135:C3135"/>
    <mergeCell ref="B3136:C3136"/>
    <mergeCell ref="B3137:C3137"/>
    <mergeCell ref="B3138:C3138"/>
    <mergeCell ref="B3129:C3129"/>
    <mergeCell ref="A3130:C3130"/>
    <mergeCell ref="D3130:F3130"/>
    <mergeCell ref="A3131:A3132"/>
    <mergeCell ref="B3131:G3131"/>
    <mergeCell ref="B3132:C3132"/>
    <mergeCell ref="A3122:E3122"/>
    <mergeCell ref="A3123:E3125"/>
    <mergeCell ref="A3126:A3127"/>
    <mergeCell ref="B3126:G3126"/>
    <mergeCell ref="B3127:C3127"/>
    <mergeCell ref="B3128:C3128"/>
    <mergeCell ref="B3117:C3117"/>
    <mergeCell ref="A3118:C3118"/>
    <mergeCell ref="D3118:F3118"/>
    <mergeCell ref="A3119:C3119"/>
    <mergeCell ref="D3119:F3119"/>
    <mergeCell ref="A3121:G3121"/>
    <mergeCell ref="B3113:C3113"/>
    <mergeCell ref="A3114:C3114"/>
    <mergeCell ref="D3114:F3114"/>
    <mergeCell ref="A3115:A3116"/>
    <mergeCell ref="B3115:G3115"/>
    <mergeCell ref="B3116:C3116"/>
    <mergeCell ref="B3107:C3107"/>
    <mergeCell ref="B3108:C3108"/>
    <mergeCell ref="B3109:C3109"/>
    <mergeCell ref="A3110:C3110"/>
    <mergeCell ref="D3110:F3110"/>
    <mergeCell ref="A3111:A3112"/>
    <mergeCell ref="B3111:G3111"/>
    <mergeCell ref="B3112:C3112"/>
    <mergeCell ref="B3101:C3101"/>
    <mergeCell ref="B3102:C3102"/>
    <mergeCell ref="B3103:C3103"/>
    <mergeCell ref="A3104:C3104"/>
    <mergeCell ref="D3104:F3104"/>
    <mergeCell ref="A3105:A3106"/>
    <mergeCell ref="B3105:G3105"/>
    <mergeCell ref="B3106:C3106"/>
    <mergeCell ref="A3091:C3091"/>
    <mergeCell ref="D3091:F3091"/>
    <mergeCell ref="A3094:G3094"/>
    <mergeCell ref="A3095:E3095"/>
    <mergeCell ref="A3096:E3098"/>
    <mergeCell ref="A3099:A3100"/>
    <mergeCell ref="B3099:G3099"/>
    <mergeCell ref="B3100:C3100"/>
    <mergeCell ref="A3087:A3088"/>
    <mergeCell ref="B3087:G3087"/>
    <mergeCell ref="B3088:C3088"/>
    <mergeCell ref="B3089:C3089"/>
    <mergeCell ref="A3090:C3090"/>
    <mergeCell ref="D3090:F3090"/>
    <mergeCell ref="A3083:A3084"/>
    <mergeCell ref="B3083:G3083"/>
    <mergeCell ref="B3084:C3084"/>
    <mergeCell ref="B3085:C3085"/>
    <mergeCell ref="A3086:C3086"/>
    <mergeCell ref="D3086:F3086"/>
    <mergeCell ref="B3078:C3078"/>
    <mergeCell ref="B3079:C3079"/>
    <mergeCell ref="B3080:C3080"/>
    <mergeCell ref="B3081:C3081"/>
    <mergeCell ref="A3082:C3082"/>
    <mergeCell ref="D3082:F3082"/>
    <mergeCell ref="B3074:C3074"/>
    <mergeCell ref="A3075:C3075"/>
    <mergeCell ref="D3075:F3075"/>
    <mergeCell ref="A3076:A3077"/>
    <mergeCell ref="B3076:G3076"/>
    <mergeCell ref="B3077:C3077"/>
    <mergeCell ref="A3067:E3067"/>
    <mergeCell ref="A3068:E3070"/>
    <mergeCell ref="A3071:A3072"/>
    <mergeCell ref="B3071:G3071"/>
    <mergeCell ref="B3072:C3072"/>
    <mergeCell ref="B3073:C3073"/>
    <mergeCell ref="B3061:C3061"/>
    <mergeCell ref="A3062:C3062"/>
    <mergeCell ref="D3062:F3062"/>
    <mergeCell ref="A3063:C3063"/>
    <mergeCell ref="D3063:F3063"/>
    <mergeCell ref="A3066:G3066"/>
    <mergeCell ref="B3057:C3057"/>
    <mergeCell ref="A3058:C3058"/>
    <mergeCell ref="D3058:F3058"/>
    <mergeCell ref="A3059:A3060"/>
    <mergeCell ref="B3059:G3059"/>
    <mergeCell ref="B3060:C3060"/>
    <mergeCell ref="B3051:C3051"/>
    <mergeCell ref="B3052:C3052"/>
    <mergeCell ref="B3053:C3053"/>
    <mergeCell ref="A3054:C3054"/>
    <mergeCell ref="D3054:F3054"/>
    <mergeCell ref="A3055:A3056"/>
    <mergeCell ref="B3055:G3055"/>
    <mergeCell ref="B3056:C3056"/>
    <mergeCell ref="B3047:C3047"/>
    <mergeCell ref="A3048:C3048"/>
    <mergeCell ref="D3048:F3048"/>
    <mergeCell ref="A3049:A3050"/>
    <mergeCell ref="B3049:G3049"/>
    <mergeCell ref="B3050:C3050"/>
    <mergeCell ref="A3040:E3040"/>
    <mergeCell ref="A3041:E3043"/>
    <mergeCell ref="A3044:A3045"/>
    <mergeCell ref="B3044:G3044"/>
    <mergeCell ref="B3045:C3045"/>
    <mergeCell ref="B3046:C3046"/>
    <mergeCell ref="B3035:C3035"/>
    <mergeCell ref="A3036:C3036"/>
    <mergeCell ref="D3036:F3036"/>
    <mergeCell ref="A3037:C3037"/>
    <mergeCell ref="D3037:F3037"/>
    <mergeCell ref="A3039:G3039"/>
    <mergeCell ref="B3031:C3031"/>
    <mergeCell ref="A3032:C3032"/>
    <mergeCell ref="D3032:F3032"/>
    <mergeCell ref="A3033:A3034"/>
    <mergeCell ref="B3033:G3033"/>
    <mergeCell ref="B3034:C3034"/>
    <mergeCell ref="B3025:C3025"/>
    <mergeCell ref="B3026:C3026"/>
    <mergeCell ref="B3027:C3027"/>
    <mergeCell ref="A3028:C3028"/>
    <mergeCell ref="D3028:F3028"/>
    <mergeCell ref="A3029:A3030"/>
    <mergeCell ref="B3029:G3029"/>
    <mergeCell ref="B3030:C3030"/>
    <mergeCell ref="B3021:C3021"/>
    <mergeCell ref="A3022:C3022"/>
    <mergeCell ref="D3022:F3022"/>
    <mergeCell ref="A3023:A3024"/>
    <mergeCell ref="B3023:G3023"/>
    <mergeCell ref="B3024:C3024"/>
    <mergeCell ref="A3014:E3014"/>
    <mergeCell ref="A3015:E3017"/>
    <mergeCell ref="A3018:A3019"/>
    <mergeCell ref="B3018:G3018"/>
    <mergeCell ref="B3019:C3019"/>
    <mergeCell ref="B3020:C3020"/>
    <mergeCell ref="B3009:C3009"/>
    <mergeCell ref="A3010:C3010"/>
    <mergeCell ref="D3010:F3010"/>
    <mergeCell ref="A3011:C3011"/>
    <mergeCell ref="D3011:F3011"/>
    <mergeCell ref="A3013:G3013"/>
    <mergeCell ref="A3005:C3005"/>
    <mergeCell ref="D3005:F3005"/>
    <mergeCell ref="A3006:A3007"/>
    <mergeCell ref="B3006:G3006"/>
    <mergeCell ref="B3007:C3007"/>
    <mergeCell ref="B3008:C3008"/>
    <mergeCell ref="A3001:C3001"/>
    <mergeCell ref="D3001:F3001"/>
    <mergeCell ref="A3002:A3003"/>
    <mergeCell ref="B3002:G3002"/>
    <mergeCell ref="B3003:C3003"/>
    <mergeCell ref="B3004:C3004"/>
    <mergeCell ref="A2997:C2997"/>
    <mergeCell ref="D2997:F2997"/>
    <mergeCell ref="A2998:A2999"/>
    <mergeCell ref="B2998:G2998"/>
    <mergeCell ref="B2999:C2999"/>
    <mergeCell ref="B3000:C3000"/>
    <mergeCell ref="A2990:E2990"/>
    <mergeCell ref="A2991:E2993"/>
    <mergeCell ref="A2994:A2995"/>
    <mergeCell ref="B2994:G2994"/>
    <mergeCell ref="B2995:C2995"/>
    <mergeCell ref="B2996:C2996"/>
    <mergeCell ref="B2985:C2985"/>
    <mergeCell ref="A2986:C2986"/>
    <mergeCell ref="D2986:F2986"/>
    <mergeCell ref="A2987:C2987"/>
    <mergeCell ref="D2987:F2987"/>
    <mergeCell ref="A2989:G2989"/>
    <mergeCell ref="B2981:C2981"/>
    <mergeCell ref="A2982:C2982"/>
    <mergeCell ref="D2982:F2982"/>
    <mergeCell ref="A2983:A2984"/>
    <mergeCell ref="B2983:G2983"/>
    <mergeCell ref="B2984:C2984"/>
    <mergeCell ref="B2975:C2975"/>
    <mergeCell ref="B2976:C2976"/>
    <mergeCell ref="B2977:C2977"/>
    <mergeCell ref="A2978:C2978"/>
    <mergeCell ref="D2978:F2978"/>
    <mergeCell ref="A2979:A2980"/>
    <mergeCell ref="B2979:G2979"/>
    <mergeCell ref="B2980:C2980"/>
    <mergeCell ref="B2970:C2970"/>
    <mergeCell ref="B2971:C2971"/>
    <mergeCell ref="A2972:C2972"/>
    <mergeCell ref="D2972:F2972"/>
    <mergeCell ref="A2973:A2974"/>
    <mergeCell ref="B2973:G2973"/>
    <mergeCell ref="B2974:C2974"/>
    <mergeCell ref="A2963:E2963"/>
    <mergeCell ref="A2964:E2966"/>
    <mergeCell ref="A2967:A2968"/>
    <mergeCell ref="B2967:G2967"/>
    <mergeCell ref="B2968:C2968"/>
    <mergeCell ref="B2969:C2969"/>
    <mergeCell ref="B2958:C2958"/>
    <mergeCell ref="A2959:C2959"/>
    <mergeCell ref="D2959:F2959"/>
    <mergeCell ref="A2960:C2960"/>
    <mergeCell ref="D2960:F2960"/>
    <mergeCell ref="A2962:G2962"/>
    <mergeCell ref="B2954:C2954"/>
    <mergeCell ref="A2955:C2955"/>
    <mergeCell ref="D2955:F2955"/>
    <mergeCell ref="A2956:A2957"/>
    <mergeCell ref="B2956:G2956"/>
    <mergeCell ref="B2957:C2957"/>
    <mergeCell ref="B2948:C2948"/>
    <mergeCell ref="B2949:C2949"/>
    <mergeCell ref="B2950:C2950"/>
    <mergeCell ref="A2951:C2951"/>
    <mergeCell ref="D2951:F2951"/>
    <mergeCell ref="A2952:A2953"/>
    <mergeCell ref="B2952:G2952"/>
    <mergeCell ref="B2953:C2953"/>
    <mergeCell ref="B2943:C2943"/>
    <mergeCell ref="B2944:C2944"/>
    <mergeCell ref="A2945:C2945"/>
    <mergeCell ref="D2945:F2945"/>
    <mergeCell ref="A2946:A2947"/>
    <mergeCell ref="B2946:G2946"/>
    <mergeCell ref="B2947:C2947"/>
    <mergeCell ref="A2936:E2936"/>
    <mergeCell ref="A2937:E2939"/>
    <mergeCell ref="A2940:A2941"/>
    <mergeCell ref="B2940:G2940"/>
    <mergeCell ref="B2941:C2941"/>
    <mergeCell ref="B2942:C2942"/>
    <mergeCell ref="B2931:C2931"/>
    <mergeCell ref="A2932:C2932"/>
    <mergeCell ref="D2932:F2932"/>
    <mergeCell ref="A2933:C2933"/>
    <mergeCell ref="D2933:F2933"/>
    <mergeCell ref="A2935:G2935"/>
    <mergeCell ref="B2927:C2927"/>
    <mergeCell ref="A2928:C2928"/>
    <mergeCell ref="D2928:F2928"/>
    <mergeCell ref="A2929:A2930"/>
    <mergeCell ref="B2929:G2929"/>
    <mergeCell ref="B2930:C2930"/>
    <mergeCell ref="B2921:C2921"/>
    <mergeCell ref="B2922:C2922"/>
    <mergeCell ref="B2923:C2923"/>
    <mergeCell ref="A2924:C2924"/>
    <mergeCell ref="D2924:F2924"/>
    <mergeCell ref="A2925:A2926"/>
    <mergeCell ref="B2925:G2925"/>
    <mergeCell ref="B2926:C2926"/>
    <mergeCell ref="B2916:C2916"/>
    <mergeCell ref="B2917:C2917"/>
    <mergeCell ref="A2918:C2918"/>
    <mergeCell ref="D2918:F2918"/>
    <mergeCell ref="A2919:A2920"/>
    <mergeCell ref="B2919:G2919"/>
    <mergeCell ref="B2920:C2920"/>
    <mergeCell ref="A2909:E2909"/>
    <mergeCell ref="A2910:E2912"/>
    <mergeCell ref="A2913:A2914"/>
    <mergeCell ref="B2913:G2913"/>
    <mergeCell ref="B2914:C2914"/>
    <mergeCell ref="B2915:C2915"/>
    <mergeCell ref="B2904:C2904"/>
    <mergeCell ref="A2905:C2905"/>
    <mergeCell ref="D2905:F2905"/>
    <mergeCell ref="A2906:C2906"/>
    <mergeCell ref="D2906:F2906"/>
    <mergeCell ref="A2908:G2908"/>
    <mergeCell ref="B2900:C2900"/>
    <mergeCell ref="A2901:C2901"/>
    <mergeCell ref="D2901:F2901"/>
    <mergeCell ref="A2902:A2903"/>
    <mergeCell ref="B2902:G2902"/>
    <mergeCell ref="B2903:C2903"/>
    <mergeCell ref="B2896:C2896"/>
    <mergeCell ref="A2897:C2897"/>
    <mergeCell ref="D2897:F2897"/>
    <mergeCell ref="A2898:A2899"/>
    <mergeCell ref="B2898:G2898"/>
    <mergeCell ref="B2899:C2899"/>
    <mergeCell ref="B2890:C2890"/>
    <mergeCell ref="B2891:C2891"/>
    <mergeCell ref="B2892:C2892"/>
    <mergeCell ref="B2893:C2893"/>
    <mergeCell ref="B2894:C2894"/>
    <mergeCell ref="B2895:C2895"/>
    <mergeCell ref="B2884:C2884"/>
    <mergeCell ref="B2885:C2885"/>
    <mergeCell ref="B2886:C2886"/>
    <mergeCell ref="A2887:C2887"/>
    <mergeCell ref="D2887:F2887"/>
    <mergeCell ref="A2888:A2889"/>
    <mergeCell ref="B2888:G2888"/>
    <mergeCell ref="B2889:C2889"/>
    <mergeCell ref="A2874:C2874"/>
    <mergeCell ref="D2874:F2874"/>
    <mergeCell ref="A2877:G2877"/>
    <mergeCell ref="A2878:E2878"/>
    <mergeCell ref="A2879:E2881"/>
    <mergeCell ref="A2882:A2883"/>
    <mergeCell ref="B2882:G2882"/>
    <mergeCell ref="B2883:C2883"/>
    <mergeCell ref="A2870:A2871"/>
    <mergeCell ref="B2870:G2870"/>
    <mergeCell ref="B2871:C2871"/>
    <mergeCell ref="B2872:C2872"/>
    <mergeCell ref="A2873:C2873"/>
    <mergeCell ref="D2873:F2873"/>
    <mergeCell ref="D2865:F2865"/>
    <mergeCell ref="A2866:A2867"/>
    <mergeCell ref="B2866:G2866"/>
    <mergeCell ref="B2867:C2867"/>
    <mergeCell ref="B2868:C2868"/>
    <mergeCell ref="A2869:C2869"/>
    <mergeCell ref="D2869:F2869"/>
    <mergeCell ref="B2860:C2860"/>
    <mergeCell ref="B2861:C2861"/>
    <mergeCell ref="B2862:C2862"/>
    <mergeCell ref="B2863:C2863"/>
    <mergeCell ref="B2864:C2864"/>
    <mergeCell ref="A2865:C2865"/>
    <mergeCell ref="B2854:C2854"/>
    <mergeCell ref="B2855:C2855"/>
    <mergeCell ref="B2856:C2856"/>
    <mergeCell ref="A2857:C2857"/>
    <mergeCell ref="D2857:F2857"/>
    <mergeCell ref="A2858:A2859"/>
    <mergeCell ref="B2858:G2858"/>
    <mergeCell ref="B2859:C2859"/>
    <mergeCell ref="A633:C633"/>
    <mergeCell ref="D633:F633"/>
    <mergeCell ref="A2847:G2847"/>
    <mergeCell ref="A2848:E2848"/>
    <mergeCell ref="A2849:E2851"/>
    <mergeCell ref="A2852:A2853"/>
    <mergeCell ref="B2852:G2852"/>
    <mergeCell ref="B2853:C2853"/>
    <mergeCell ref="B717:C717"/>
    <mergeCell ref="A718:C718"/>
    <mergeCell ref="A629:A630"/>
    <mergeCell ref="B629:G629"/>
    <mergeCell ref="B630:C630"/>
    <mergeCell ref="B631:C631"/>
    <mergeCell ref="A632:C632"/>
    <mergeCell ref="D632:F632"/>
    <mergeCell ref="D624:F624"/>
    <mergeCell ref="A625:A626"/>
    <mergeCell ref="B625:G625"/>
    <mergeCell ref="B626:C626"/>
    <mergeCell ref="B627:C627"/>
    <mergeCell ref="A628:C628"/>
    <mergeCell ref="D628:F628"/>
    <mergeCell ref="B2842:C2842"/>
    <mergeCell ref="A2843:C2843"/>
    <mergeCell ref="D2843:F2843"/>
    <mergeCell ref="A2844:C2844"/>
    <mergeCell ref="D2844:F2844"/>
    <mergeCell ref="B2799:C2799"/>
    <mergeCell ref="B2800:C2800"/>
    <mergeCell ref="B2801:C2801"/>
    <mergeCell ref="A2802:C2802"/>
    <mergeCell ref="B619:C619"/>
    <mergeCell ref="B620:C620"/>
    <mergeCell ref="B621:C621"/>
    <mergeCell ref="B622:C622"/>
    <mergeCell ref="B623:C623"/>
    <mergeCell ref="A624:C624"/>
    <mergeCell ref="B614:C614"/>
    <mergeCell ref="B615:C615"/>
    <mergeCell ref="A616:C616"/>
    <mergeCell ref="D616:F616"/>
    <mergeCell ref="A617:A618"/>
    <mergeCell ref="B617:G617"/>
    <mergeCell ref="B618:C618"/>
    <mergeCell ref="A607:E607"/>
    <mergeCell ref="A608:E610"/>
    <mergeCell ref="A611:A612"/>
    <mergeCell ref="B611:G611"/>
    <mergeCell ref="B612:C612"/>
    <mergeCell ref="B613:C613"/>
    <mergeCell ref="A606:G606"/>
    <mergeCell ref="D718:F718"/>
    <mergeCell ref="A719:A720"/>
    <mergeCell ref="A692:G692"/>
    <mergeCell ref="B707:C707"/>
    <mergeCell ref="B2838:C2838"/>
    <mergeCell ref="A2839:C2839"/>
    <mergeCell ref="D2839:F2839"/>
    <mergeCell ref="A2840:A2841"/>
    <mergeCell ref="B2840:G2840"/>
    <mergeCell ref="B2841:C2841"/>
    <mergeCell ref="B2834:C2834"/>
    <mergeCell ref="A2835:C2835"/>
    <mergeCell ref="D2835:F2835"/>
    <mergeCell ref="A2836:A2837"/>
    <mergeCell ref="B2836:G2836"/>
    <mergeCell ref="B2837:C2837"/>
    <mergeCell ref="B2830:C2830"/>
    <mergeCell ref="A2831:C2831"/>
    <mergeCell ref="D2831:F2831"/>
    <mergeCell ref="A2832:A2833"/>
    <mergeCell ref="B2832:G2832"/>
    <mergeCell ref="B2833:C2833"/>
    <mergeCell ref="A2823:G2823"/>
    <mergeCell ref="A2824:E2824"/>
    <mergeCell ref="A2825:E2827"/>
    <mergeCell ref="A2828:A2829"/>
    <mergeCell ref="B2828:G2828"/>
    <mergeCell ref="B2829:C2829"/>
    <mergeCell ref="A2819:C2819"/>
    <mergeCell ref="D2819:F2819"/>
    <mergeCell ref="B2809:C2809"/>
    <mergeCell ref="B509:C509"/>
    <mergeCell ref="B510:C510"/>
    <mergeCell ref="A511:C511"/>
    <mergeCell ref="D511:F511"/>
    <mergeCell ref="A512:C512"/>
    <mergeCell ref="D512:F512"/>
    <mergeCell ref="B503:C503"/>
    <mergeCell ref="B504:C504"/>
    <mergeCell ref="B505:C505"/>
    <mergeCell ref="A506:C506"/>
    <mergeCell ref="D506:F506"/>
    <mergeCell ref="A507:A508"/>
    <mergeCell ref="B507:G507"/>
    <mergeCell ref="B508:C508"/>
    <mergeCell ref="B498:C498"/>
    <mergeCell ref="B499:C499"/>
    <mergeCell ref="A500:C500"/>
    <mergeCell ref="D500:F500"/>
    <mergeCell ref="A501:A502"/>
    <mergeCell ref="B501:G501"/>
    <mergeCell ref="B502:C502"/>
    <mergeCell ref="B492:C492"/>
    <mergeCell ref="B493:C493"/>
    <mergeCell ref="B494:C494"/>
    <mergeCell ref="A495:C495"/>
    <mergeCell ref="D495:F495"/>
    <mergeCell ref="A496:A497"/>
    <mergeCell ref="B496:G496"/>
    <mergeCell ref="B497:C497"/>
    <mergeCell ref="A485:G485"/>
    <mergeCell ref="A486:E486"/>
    <mergeCell ref="A487:E489"/>
    <mergeCell ref="A490:A491"/>
    <mergeCell ref="B490:G490"/>
    <mergeCell ref="B491:C491"/>
    <mergeCell ref="B2816:C2816"/>
    <mergeCell ref="B2817:C2817"/>
    <mergeCell ref="A2818:C2818"/>
    <mergeCell ref="D2818:F2818"/>
    <mergeCell ref="B2810:C2810"/>
    <mergeCell ref="B2811:C2811"/>
    <mergeCell ref="B2812:C2812"/>
    <mergeCell ref="A2813:C2813"/>
    <mergeCell ref="D2813:F2813"/>
    <mergeCell ref="A2814:A2815"/>
    <mergeCell ref="B2814:G2814"/>
    <mergeCell ref="B2815:C2815"/>
    <mergeCell ref="B2805:C2805"/>
    <mergeCell ref="B2806:C2806"/>
    <mergeCell ref="A2807:C2807"/>
    <mergeCell ref="D2807:F2807"/>
    <mergeCell ref="A2808:A2809"/>
    <mergeCell ref="B2808:G2808"/>
    <mergeCell ref="D2802:F2802"/>
    <mergeCell ref="A2803:A2804"/>
    <mergeCell ref="B2803:G2803"/>
    <mergeCell ref="B2804:C2804"/>
    <mergeCell ref="A2792:G2792"/>
    <mergeCell ref="A2793:E2793"/>
    <mergeCell ref="A2794:E2796"/>
    <mergeCell ref="A2797:A2798"/>
    <mergeCell ref="B2797:G2797"/>
    <mergeCell ref="B2798:C2798"/>
    <mergeCell ref="B2786:C2786"/>
    <mergeCell ref="B2787:C2787"/>
    <mergeCell ref="A2788:C2788"/>
    <mergeCell ref="D2788:F2788"/>
    <mergeCell ref="A2789:C2789"/>
    <mergeCell ref="D2789:F2789"/>
    <mergeCell ref="B2780:C2780"/>
    <mergeCell ref="B2781:C2781"/>
    <mergeCell ref="B2782:C2782"/>
    <mergeCell ref="A2783:C2783"/>
    <mergeCell ref="D2783:F2783"/>
    <mergeCell ref="A2784:A2785"/>
    <mergeCell ref="B2784:G2784"/>
    <mergeCell ref="B2785:C2785"/>
    <mergeCell ref="B2776:C2776"/>
    <mergeCell ref="A2777:C2777"/>
    <mergeCell ref="D2777:F2777"/>
    <mergeCell ref="A2778:A2779"/>
    <mergeCell ref="B2778:G2778"/>
    <mergeCell ref="B2779:C2779"/>
    <mergeCell ref="B2770:C2770"/>
    <mergeCell ref="B2771:C2771"/>
    <mergeCell ref="B2772:C2772"/>
    <mergeCell ref="A2773:C2773"/>
    <mergeCell ref="D2773:F2773"/>
    <mergeCell ref="A2774:A2775"/>
    <mergeCell ref="B2774:G2774"/>
    <mergeCell ref="B2775:C2775"/>
    <mergeCell ref="A2763:G2763"/>
    <mergeCell ref="A2764:E2764"/>
    <mergeCell ref="A2765:E2767"/>
    <mergeCell ref="A2768:A2769"/>
    <mergeCell ref="B2768:G2768"/>
    <mergeCell ref="B2769:C2769"/>
    <mergeCell ref="B2757:C2757"/>
    <mergeCell ref="B2758:C2758"/>
    <mergeCell ref="A2759:C2759"/>
    <mergeCell ref="D2759:F2759"/>
    <mergeCell ref="A2760:C2760"/>
    <mergeCell ref="D2760:F2760"/>
    <mergeCell ref="B2751:C2751"/>
    <mergeCell ref="B2752:C2752"/>
    <mergeCell ref="B2753:C2753"/>
    <mergeCell ref="A2754:C2754"/>
    <mergeCell ref="D2754:F2754"/>
    <mergeCell ref="A2755:A2756"/>
    <mergeCell ref="B2755:G2755"/>
    <mergeCell ref="B2756:C2756"/>
    <mergeCell ref="B2746:C2746"/>
    <mergeCell ref="B2747:C2747"/>
    <mergeCell ref="A2748:C2748"/>
    <mergeCell ref="D2748:F2748"/>
    <mergeCell ref="A2749:A2750"/>
    <mergeCell ref="B2749:G2749"/>
    <mergeCell ref="B2750:C2750"/>
    <mergeCell ref="B2740:C2740"/>
    <mergeCell ref="B2741:C2741"/>
    <mergeCell ref="B2742:C2742"/>
    <mergeCell ref="B2743:C2743"/>
    <mergeCell ref="B2744:C2744"/>
    <mergeCell ref="B2745:C2745"/>
    <mergeCell ref="B2734:C2734"/>
    <mergeCell ref="B2735:C2735"/>
    <mergeCell ref="B2736:C2736"/>
    <mergeCell ref="B2737:C2737"/>
    <mergeCell ref="B2738:C2738"/>
    <mergeCell ref="B2739:C2739"/>
    <mergeCell ref="B2728:C2728"/>
    <mergeCell ref="B2729:C2729"/>
    <mergeCell ref="B2730:C2730"/>
    <mergeCell ref="A2731:C2731"/>
    <mergeCell ref="D2731:F2731"/>
    <mergeCell ref="A2732:A2733"/>
    <mergeCell ref="B2732:G2732"/>
    <mergeCell ref="B2733:C2733"/>
    <mergeCell ref="A2721:G2721"/>
    <mergeCell ref="A2722:E2722"/>
    <mergeCell ref="A2723:E2725"/>
    <mergeCell ref="A2726:A2727"/>
    <mergeCell ref="B2726:G2726"/>
    <mergeCell ref="B2727:C2727"/>
    <mergeCell ref="B480:C480"/>
    <mergeCell ref="B481:C481"/>
    <mergeCell ref="A482:C482"/>
    <mergeCell ref="D482:F482"/>
    <mergeCell ref="A483:C483"/>
    <mergeCell ref="D483:F483"/>
    <mergeCell ref="B474:C474"/>
    <mergeCell ref="B475:C475"/>
    <mergeCell ref="B476:C476"/>
    <mergeCell ref="A477:C477"/>
    <mergeCell ref="D477:F477"/>
    <mergeCell ref="A478:A479"/>
    <mergeCell ref="B478:G478"/>
    <mergeCell ref="B479:C479"/>
    <mergeCell ref="B2711:C2711"/>
    <mergeCell ref="B2712:C2712"/>
    <mergeCell ref="A2705:C2705"/>
    <mergeCell ref="D2705:F2705"/>
    <mergeCell ref="A2706:A2707"/>
    <mergeCell ref="B2706:G2706"/>
    <mergeCell ref="B2707:C2707"/>
    <mergeCell ref="B2708:C2708"/>
    <mergeCell ref="A2698:E2700"/>
    <mergeCell ref="A2701:A2702"/>
    <mergeCell ref="B2701:G2701"/>
    <mergeCell ref="B2702:C2702"/>
    <mergeCell ref="B469:C469"/>
    <mergeCell ref="B470:C470"/>
    <mergeCell ref="A471:C471"/>
    <mergeCell ref="D471:F471"/>
    <mergeCell ref="A472:A473"/>
    <mergeCell ref="B472:G472"/>
    <mergeCell ref="B473:C473"/>
    <mergeCell ref="B463:C463"/>
    <mergeCell ref="B464:C464"/>
    <mergeCell ref="B465:C465"/>
    <mergeCell ref="B466:C466"/>
    <mergeCell ref="B467:C467"/>
    <mergeCell ref="B468:C468"/>
    <mergeCell ref="B457:C457"/>
    <mergeCell ref="B458:C458"/>
    <mergeCell ref="B459:C459"/>
    <mergeCell ref="B460:C460"/>
    <mergeCell ref="B461:C461"/>
    <mergeCell ref="B462:C462"/>
    <mergeCell ref="B453:C453"/>
    <mergeCell ref="A454:C454"/>
    <mergeCell ref="D454:F454"/>
    <mergeCell ref="A455:A456"/>
    <mergeCell ref="B455:G455"/>
    <mergeCell ref="B456:C456"/>
    <mergeCell ref="A446:E448"/>
    <mergeCell ref="A449:A450"/>
    <mergeCell ref="B449:G449"/>
    <mergeCell ref="B450:C450"/>
    <mergeCell ref="B451:C451"/>
    <mergeCell ref="B452:C452"/>
    <mergeCell ref="A2717:C2717"/>
    <mergeCell ref="D2717:F2717"/>
    <mergeCell ref="A2718:C2718"/>
    <mergeCell ref="D2718:F2718"/>
    <mergeCell ref="A444:G444"/>
    <mergeCell ref="A445:E445"/>
    <mergeCell ref="A576:A577"/>
    <mergeCell ref="B576:G576"/>
    <mergeCell ref="B577:C577"/>
    <mergeCell ref="A591:C591"/>
    <mergeCell ref="A2713:C2713"/>
    <mergeCell ref="D2713:F2713"/>
    <mergeCell ref="A2714:A2715"/>
    <mergeCell ref="B2714:G2714"/>
    <mergeCell ref="B2715:C2715"/>
    <mergeCell ref="B2716:C2716"/>
    <mergeCell ref="A2709:C2709"/>
    <mergeCell ref="D2709:F2709"/>
    <mergeCell ref="A2710:A2711"/>
    <mergeCell ref="B2710:G2710"/>
    <mergeCell ref="B2703:C2703"/>
    <mergeCell ref="B2704:C2704"/>
    <mergeCell ref="A2692:C2692"/>
    <mergeCell ref="D2692:F2692"/>
    <mergeCell ref="A2693:C2693"/>
    <mergeCell ref="D2693:F2693"/>
    <mergeCell ref="A2696:G2696"/>
    <mergeCell ref="A2697:E2697"/>
    <mergeCell ref="A2688:C2688"/>
    <mergeCell ref="D2688:F2688"/>
    <mergeCell ref="A2689:A2690"/>
    <mergeCell ref="B2689:G2689"/>
    <mergeCell ref="B2690:C2690"/>
    <mergeCell ref="B2691:C2691"/>
    <mergeCell ref="A2684:C2684"/>
    <mergeCell ref="D2684:F2684"/>
    <mergeCell ref="A2685:A2686"/>
    <mergeCell ref="B2685:G2685"/>
    <mergeCell ref="B2686:C2686"/>
    <mergeCell ref="B2687:C2687"/>
    <mergeCell ref="A2680:C2680"/>
    <mergeCell ref="D2680:F2680"/>
    <mergeCell ref="A2681:A2682"/>
    <mergeCell ref="B2681:G2681"/>
    <mergeCell ref="B2682:C2682"/>
    <mergeCell ref="B2683:C2683"/>
    <mergeCell ref="A2673:E2675"/>
    <mergeCell ref="A2676:A2677"/>
    <mergeCell ref="B2676:G2676"/>
    <mergeCell ref="B2677:C2677"/>
    <mergeCell ref="B2678:C2678"/>
    <mergeCell ref="B2679:C2679"/>
    <mergeCell ref="A2667:C2667"/>
    <mergeCell ref="D2667:F2667"/>
    <mergeCell ref="A2668:C2668"/>
    <mergeCell ref="D2668:F2668"/>
    <mergeCell ref="A2671:G2671"/>
    <mergeCell ref="A2672:E2672"/>
    <mergeCell ref="A2663:C2663"/>
    <mergeCell ref="D2663:F2663"/>
    <mergeCell ref="A2664:A2665"/>
    <mergeCell ref="B2664:G2664"/>
    <mergeCell ref="B2665:C2665"/>
    <mergeCell ref="B2666:C2666"/>
    <mergeCell ref="A2659:C2659"/>
    <mergeCell ref="D2659:F2659"/>
    <mergeCell ref="A2660:A2661"/>
    <mergeCell ref="B2660:G2660"/>
    <mergeCell ref="B2661:C2661"/>
    <mergeCell ref="B2662:C2662"/>
    <mergeCell ref="A2655:C2655"/>
    <mergeCell ref="D2655:F2655"/>
    <mergeCell ref="A2656:A2657"/>
    <mergeCell ref="B2656:G2656"/>
    <mergeCell ref="B2657:C2657"/>
    <mergeCell ref="B2658:C2658"/>
    <mergeCell ref="A2648:E2650"/>
    <mergeCell ref="A2651:A2652"/>
    <mergeCell ref="B2651:G2651"/>
    <mergeCell ref="B2652:C2652"/>
    <mergeCell ref="B2653:C2653"/>
    <mergeCell ref="B2654:C2654"/>
    <mergeCell ref="A2642:C2642"/>
    <mergeCell ref="D2642:F2642"/>
    <mergeCell ref="A2643:C2643"/>
    <mergeCell ref="D2643:F2643"/>
    <mergeCell ref="A2646:G2646"/>
    <mergeCell ref="A2647:E2647"/>
    <mergeCell ref="A2638:C2638"/>
    <mergeCell ref="D2638:F2638"/>
    <mergeCell ref="A2639:A2640"/>
    <mergeCell ref="B2639:G2639"/>
    <mergeCell ref="B2640:C2640"/>
    <mergeCell ref="B2641:C2641"/>
    <mergeCell ref="A2634:C2634"/>
    <mergeCell ref="D2634:F2634"/>
    <mergeCell ref="A2635:A2636"/>
    <mergeCell ref="B2635:G2635"/>
    <mergeCell ref="B2636:C2636"/>
    <mergeCell ref="B2637:C2637"/>
    <mergeCell ref="A2630:C2630"/>
    <mergeCell ref="D2630:F2630"/>
    <mergeCell ref="A2631:A2632"/>
    <mergeCell ref="B2631:G2631"/>
    <mergeCell ref="B2632:C2632"/>
    <mergeCell ref="B2633:C2633"/>
    <mergeCell ref="A2623:E2625"/>
    <mergeCell ref="A2626:A2627"/>
    <mergeCell ref="B2626:G2626"/>
    <mergeCell ref="B2627:C2627"/>
    <mergeCell ref="B2628:C2628"/>
    <mergeCell ref="B2629:C2629"/>
    <mergeCell ref="A2617:C2617"/>
    <mergeCell ref="D2617:F2617"/>
    <mergeCell ref="A2618:C2618"/>
    <mergeCell ref="D2618:F2618"/>
    <mergeCell ref="A2621:G2621"/>
    <mergeCell ref="A2622:E2622"/>
    <mergeCell ref="A2613:C2613"/>
    <mergeCell ref="D2613:F2613"/>
    <mergeCell ref="A2614:A2615"/>
    <mergeCell ref="B2614:G2614"/>
    <mergeCell ref="B2615:C2615"/>
    <mergeCell ref="B2616:C2616"/>
    <mergeCell ref="A2609:C2609"/>
    <mergeCell ref="D2609:F2609"/>
    <mergeCell ref="A2610:A2611"/>
    <mergeCell ref="B2610:G2610"/>
    <mergeCell ref="B2611:C2611"/>
    <mergeCell ref="B2612:C2612"/>
    <mergeCell ref="B2603:C2603"/>
    <mergeCell ref="B2604:C2604"/>
    <mergeCell ref="B2605:C2605"/>
    <mergeCell ref="B2606:C2606"/>
    <mergeCell ref="B2607:C2607"/>
    <mergeCell ref="B2608:C2608"/>
    <mergeCell ref="B2597:C2597"/>
    <mergeCell ref="B2598:C2598"/>
    <mergeCell ref="B2599:C2599"/>
    <mergeCell ref="A2600:C2600"/>
    <mergeCell ref="D2600:F2600"/>
    <mergeCell ref="A2601:A2602"/>
    <mergeCell ref="B2601:G2601"/>
    <mergeCell ref="B2602:C2602"/>
    <mergeCell ref="A2590:E2590"/>
    <mergeCell ref="A2591:E2593"/>
    <mergeCell ref="A2594:A2595"/>
    <mergeCell ref="B2594:G2594"/>
    <mergeCell ref="B2595:C2595"/>
    <mergeCell ref="B2596:C2596"/>
    <mergeCell ref="B2584:C2584"/>
    <mergeCell ref="A2585:C2585"/>
    <mergeCell ref="D2585:F2585"/>
    <mergeCell ref="A2586:C2586"/>
    <mergeCell ref="D2586:F2586"/>
    <mergeCell ref="A2589:G2589"/>
    <mergeCell ref="B2580:C2580"/>
    <mergeCell ref="A2581:C2581"/>
    <mergeCell ref="D2581:F2581"/>
    <mergeCell ref="A2582:A2583"/>
    <mergeCell ref="B2582:G2582"/>
    <mergeCell ref="B2583:C2583"/>
    <mergeCell ref="B2574:C2574"/>
    <mergeCell ref="B2575:C2575"/>
    <mergeCell ref="B2576:C2576"/>
    <mergeCell ref="A2577:C2577"/>
    <mergeCell ref="D2577:F2577"/>
    <mergeCell ref="A2578:A2579"/>
    <mergeCell ref="B2578:G2578"/>
    <mergeCell ref="B2579:C2579"/>
    <mergeCell ref="B2568:C2568"/>
    <mergeCell ref="B2569:C2569"/>
    <mergeCell ref="B2570:C2570"/>
    <mergeCell ref="A2571:C2571"/>
    <mergeCell ref="D2571:F2571"/>
    <mergeCell ref="A2572:A2573"/>
    <mergeCell ref="B2572:G2572"/>
    <mergeCell ref="B2573:C2573"/>
    <mergeCell ref="A2558:C2558"/>
    <mergeCell ref="D2558:F2558"/>
    <mergeCell ref="A2561:G2561"/>
    <mergeCell ref="A2562:E2562"/>
    <mergeCell ref="A2563:E2565"/>
    <mergeCell ref="A2566:A2567"/>
    <mergeCell ref="B2566:G2566"/>
    <mergeCell ref="B2567:C2567"/>
    <mergeCell ref="A2554:A2555"/>
    <mergeCell ref="B2554:G2554"/>
    <mergeCell ref="B2555:C2555"/>
    <mergeCell ref="B2556:C2556"/>
    <mergeCell ref="A2557:C2557"/>
    <mergeCell ref="D2557:F2557"/>
    <mergeCell ref="A2550:A2551"/>
    <mergeCell ref="B2550:G2550"/>
    <mergeCell ref="B2551:C2551"/>
    <mergeCell ref="B2552:C2552"/>
    <mergeCell ref="A2553:C2553"/>
    <mergeCell ref="D2553:F2553"/>
    <mergeCell ref="B2545:C2545"/>
    <mergeCell ref="B2546:C2546"/>
    <mergeCell ref="B2547:C2547"/>
    <mergeCell ref="B2548:C2548"/>
    <mergeCell ref="A2549:C2549"/>
    <mergeCell ref="D2549:F2549"/>
    <mergeCell ref="B2539:C2539"/>
    <mergeCell ref="B2540:C2540"/>
    <mergeCell ref="B2541:C2541"/>
    <mergeCell ref="A2542:C2542"/>
    <mergeCell ref="D2542:F2542"/>
    <mergeCell ref="A2543:A2544"/>
    <mergeCell ref="B2543:G2543"/>
    <mergeCell ref="B2544:C2544"/>
    <mergeCell ref="A2529:C2529"/>
    <mergeCell ref="D2529:F2529"/>
    <mergeCell ref="A2532:G2532"/>
    <mergeCell ref="A2533:E2533"/>
    <mergeCell ref="A2534:E2536"/>
    <mergeCell ref="A2537:A2538"/>
    <mergeCell ref="B2537:G2537"/>
    <mergeCell ref="B2538:C2538"/>
    <mergeCell ref="A2525:A2526"/>
    <mergeCell ref="B2525:G2525"/>
    <mergeCell ref="B2526:C2526"/>
    <mergeCell ref="B2527:C2527"/>
    <mergeCell ref="A2528:C2528"/>
    <mergeCell ref="D2528:F2528"/>
    <mergeCell ref="A2521:A2522"/>
    <mergeCell ref="B2521:G2521"/>
    <mergeCell ref="B2522:C2522"/>
    <mergeCell ref="B2523:C2523"/>
    <mergeCell ref="A2524:C2524"/>
    <mergeCell ref="D2524:F2524"/>
    <mergeCell ref="B2516:C2516"/>
    <mergeCell ref="B2517:C2517"/>
    <mergeCell ref="B2518:C2518"/>
    <mergeCell ref="B2519:C2519"/>
    <mergeCell ref="A2520:C2520"/>
    <mergeCell ref="D2520:F2520"/>
    <mergeCell ref="B2510:C2510"/>
    <mergeCell ref="B2511:C2511"/>
    <mergeCell ref="B2512:C2512"/>
    <mergeCell ref="A2513:C2513"/>
    <mergeCell ref="D2513:F2513"/>
    <mergeCell ref="A2514:A2515"/>
    <mergeCell ref="B2514:G2514"/>
    <mergeCell ref="B2515:C2515"/>
    <mergeCell ref="A2500:C2500"/>
    <mergeCell ref="D2500:F2500"/>
    <mergeCell ref="A2503:G2503"/>
    <mergeCell ref="A2504:E2504"/>
    <mergeCell ref="A2505:E2507"/>
    <mergeCell ref="A2508:A2509"/>
    <mergeCell ref="B2508:G2508"/>
    <mergeCell ref="B2509:C2509"/>
    <mergeCell ref="A2496:A2497"/>
    <mergeCell ref="B2496:G2496"/>
    <mergeCell ref="B2497:C2497"/>
    <mergeCell ref="B2498:C2498"/>
    <mergeCell ref="A2499:C2499"/>
    <mergeCell ref="D2499:F2499"/>
    <mergeCell ref="A2491:A2492"/>
    <mergeCell ref="B2491:G2491"/>
    <mergeCell ref="B2492:C2492"/>
    <mergeCell ref="B2493:C2493"/>
    <mergeCell ref="B2494:C2494"/>
    <mergeCell ref="A2495:C2495"/>
    <mergeCell ref="D2495:F2495"/>
    <mergeCell ref="B2486:C2486"/>
    <mergeCell ref="B2487:C2487"/>
    <mergeCell ref="B2488:C2488"/>
    <mergeCell ref="B2489:C2489"/>
    <mergeCell ref="A2490:C2490"/>
    <mergeCell ref="D2490:F2490"/>
    <mergeCell ref="B2481:C2481"/>
    <mergeCell ref="B2482:C2482"/>
    <mergeCell ref="A2483:C2483"/>
    <mergeCell ref="D2483:F2483"/>
    <mergeCell ref="A2484:A2485"/>
    <mergeCell ref="B2484:G2484"/>
    <mergeCell ref="B2485:C2485"/>
    <mergeCell ref="A2474:E2474"/>
    <mergeCell ref="A2475:E2477"/>
    <mergeCell ref="A2478:A2479"/>
    <mergeCell ref="B2478:G2478"/>
    <mergeCell ref="B2479:C2479"/>
    <mergeCell ref="B2480:C2480"/>
    <mergeCell ref="B2468:C2468"/>
    <mergeCell ref="A2469:C2469"/>
    <mergeCell ref="D2469:F2469"/>
    <mergeCell ref="A2470:C2470"/>
    <mergeCell ref="D2470:F2470"/>
    <mergeCell ref="A2473:G2473"/>
    <mergeCell ref="B2463:C2463"/>
    <mergeCell ref="B2464:C2464"/>
    <mergeCell ref="A2465:C2465"/>
    <mergeCell ref="D2465:F2465"/>
    <mergeCell ref="A2466:A2467"/>
    <mergeCell ref="B2466:G2466"/>
    <mergeCell ref="B2467:C2467"/>
    <mergeCell ref="B2457:C2457"/>
    <mergeCell ref="B2458:C2458"/>
    <mergeCell ref="B2459:C2459"/>
    <mergeCell ref="A2460:C2460"/>
    <mergeCell ref="D2460:F2460"/>
    <mergeCell ref="A2461:A2462"/>
    <mergeCell ref="B2461:G2461"/>
    <mergeCell ref="B2462:C2462"/>
    <mergeCell ref="B2452:C2452"/>
    <mergeCell ref="B2453:C2453"/>
    <mergeCell ref="A2454:C2454"/>
    <mergeCell ref="D2454:F2454"/>
    <mergeCell ref="A2455:A2456"/>
    <mergeCell ref="B2455:G2455"/>
    <mergeCell ref="B2456:C2456"/>
    <mergeCell ref="A2445:E2445"/>
    <mergeCell ref="A2446:E2448"/>
    <mergeCell ref="A2449:A2450"/>
    <mergeCell ref="B2449:G2449"/>
    <mergeCell ref="B2450:C2450"/>
    <mergeCell ref="B2451:C2451"/>
    <mergeCell ref="B2439:C2439"/>
    <mergeCell ref="A2440:C2440"/>
    <mergeCell ref="D2440:F2440"/>
    <mergeCell ref="A2441:C2441"/>
    <mergeCell ref="D2441:F2441"/>
    <mergeCell ref="A2444:G2444"/>
    <mergeCell ref="B2435:C2435"/>
    <mergeCell ref="A2436:C2436"/>
    <mergeCell ref="D2436:F2436"/>
    <mergeCell ref="A2437:A2438"/>
    <mergeCell ref="B2437:G2437"/>
    <mergeCell ref="B2438:C2438"/>
    <mergeCell ref="B2429:C2429"/>
    <mergeCell ref="B2430:C2430"/>
    <mergeCell ref="B2431:C2431"/>
    <mergeCell ref="A2432:C2432"/>
    <mergeCell ref="D2432:F2432"/>
    <mergeCell ref="A2433:A2434"/>
    <mergeCell ref="B2433:G2433"/>
    <mergeCell ref="B2434:C2434"/>
    <mergeCell ref="B2423:C2423"/>
    <mergeCell ref="B2424:C2424"/>
    <mergeCell ref="B2425:C2425"/>
    <mergeCell ref="A2426:C2426"/>
    <mergeCell ref="D2426:F2426"/>
    <mergeCell ref="A2427:A2428"/>
    <mergeCell ref="B2427:G2427"/>
    <mergeCell ref="B2428:C2428"/>
    <mergeCell ref="A2413:C2413"/>
    <mergeCell ref="D2413:F2413"/>
    <mergeCell ref="A2416:G2416"/>
    <mergeCell ref="A2417:E2417"/>
    <mergeCell ref="A2418:E2420"/>
    <mergeCell ref="A2421:A2422"/>
    <mergeCell ref="B2421:G2421"/>
    <mergeCell ref="B2422:C2422"/>
    <mergeCell ref="A2409:A2410"/>
    <mergeCell ref="B2409:G2409"/>
    <mergeCell ref="B2410:C2410"/>
    <mergeCell ref="B2411:C2411"/>
    <mergeCell ref="A2412:C2412"/>
    <mergeCell ref="D2412:F2412"/>
    <mergeCell ref="A2405:A2406"/>
    <mergeCell ref="B2405:G2405"/>
    <mergeCell ref="B2406:C2406"/>
    <mergeCell ref="B2407:C2407"/>
    <mergeCell ref="A2408:C2408"/>
    <mergeCell ref="D2408:F2408"/>
    <mergeCell ref="B2400:C2400"/>
    <mergeCell ref="B2401:C2401"/>
    <mergeCell ref="B2402:C2402"/>
    <mergeCell ref="B2403:C2403"/>
    <mergeCell ref="A2404:C2404"/>
    <mergeCell ref="D2404:F2404"/>
    <mergeCell ref="B2395:C2395"/>
    <mergeCell ref="B2396:C2396"/>
    <mergeCell ref="A2397:C2397"/>
    <mergeCell ref="D2397:F2397"/>
    <mergeCell ref="A2398:A2399"/>
    <mergeCell ref="B2398:G2398"/>
    <mergeCell ref="B2399:C2399"/>
    <mergeCell ref="A2388:E2388"/>
    <mergeCell ref="A2389:E2391"/>
    <mergeCell ref="A2392:A2393"/>
    <mergeCell ref="B2392:G2392"/>
    <mergeCell ref="B2393:C2393"/>
    <mergeCell ref="B2394:C2394"/>
    <mergeCell ref="B387:C387"/>
    <mergeCell ref="A388:C388"/>
    <mergeCell ref="D388:F388"/>
    <mergeCell ref="A389:C389"/>
    <mergeCell ref="D389:F389"/>
    <mergeCell ref="A2387:G2387"/>
    <mergeCell ref="D591:F591"/>
    <mergeCell ref="A582:A583"/>
    <mergeCell ref="B582:G582"/>
    <mergeCell ref="B583:C583"/>
    <mergeCell ref="B2382:C2382"/>
    <mergeCell ref="A2383:C2383"/>
    <mergeCell ref="D2383:F2383"/>
    <mergeCell ref="A2384:C2384"/>
    <mergeCell ref="D2384:F2384"/>
    <mergeCell ref="A2358:C2358"/>
    <mergeCell ref="D2358:F2358"/>
    <mergeCell ref="A2360:G2360"/>
    <mergeCell ref="A2361:E2361"/>
    <mergeCell ref="B383:C383"/>
    <mergeCell ref="A384:C384"/>
    <mergeCell ref="D384:F384"/>
    <mergeCell ref="A385:A386"/>
    <mergeCell ref="B385:G385"/>
    <mergeCell ref="B386:C386"/>
    <mergeCell ref="B379:C379"/>
    <mergeCell ref="A380:C380"/>
    <mergeCell ref="D380:F380"/>
    <mergeCell ref="A381:A382"/>
    <mergeCell ref="B381:G381"/>
    <mergeCell ref="B382:C382"/>
    <mergeCell ref="B373:C373"/>
    <mergeCell ref="B374:C374"/>
    <mergeCell ref="B375:C375"/>
    <mergeCell ref="A376:C376"/>
    <mergeCell ref="D376:F376"/>
    <mergeCell ref="A377:A378"/>
    <mergeCell ref="B377:G377"/>
    <mergeCell ref="B378:C378"/>
    <mergeCell ref="A364:C364"/>
    <mergeCell ref="D364:F364"/>
    <mergeCell ref="A366:G366"/>
    <mergeCell ref="A367:E367"/>
    <mergeCell ref="A368:E370"/>
    <mergeCell ref="A371:A372"/>
    <mergeCell ref="B371:G371"/>
    <mergeCell ref="B372:C372"/>
    <mergeCell ref="A360:A361"/>
    <mergeCell ref="B360:G360"/>
    <mergeCell ref="B361:C361"/>
    <mergeCell ref="B362:C362"/>
    <mergeCell ref="A363:C363"/>
    <mergeCell ref="D363:F363"/>
    <mergeCell ref="D355:F355"/>
    <mergeCell ref="A356:A357"/>
    <mergeCell ref="B356:G356"/>
    <mergeCell ref="B357:C357"/>
    <mergeCell ref="B358:C358"/>
    <mergeCell ref="A359:C359"/>
    <mergeCell ref="D359:F359"/>
    <mergeCell ref="B350:C350"/>
    <mergeCell ref="B351:C351"/>
    <mergeCell ref="B352:C352"/>
    <mergeCell ref="B353:C353"/>
    <mergeCell ref="B354:C354"/>
    <mergeCell ref="A355:C355"/>
    <mergeCell ref="B344:C344"/>
    <mergeCell ref="B345:C345"/>
    <mergeCell ref="B346:C346"/>
    <mergeCell ref="A347:C347"/>
    <mergeCell ref="D347:F347"/>
    <mergeCell ref="A348:A349"/>
    <mergeCell ref="B348:G348"/>
    <mergeCell ref="B349:C349"/>
    <mergeCell ref="A335:C335"/>
    <mergeCell ref="D335:F335"/>
    <mergeCell ref="A337:G337"/>
    <mergeCell ref="A338:E338"/>
    <mergeCell ref="A339:E341"/>
    <mergeCell ref="A342:A343"/>
    <mergeCell ref="B342:G342"/>
    <mergeCell ref="B343:C343"/>
    <mergeCell ref="A331:A332"/>
    <mergeCell ref="B331:G331"/>
    <mergeCell ref="B332:C332"/>
    <mergeCell ref="B333:C333"/>
    <mergeCell ref="A334:C334"/>
    <mergeCell ref="D334:F334"/>
    <mergeCell ref="A327:A328"/>
    <mergeCell ref="B327:G327"/>
    <mergeCell ref="B328:C328"/>
    <mergeCell ref="B329:C329"/>
    <mergeCell ref="A330:C330"/>
    <mergeCell ref="D330:F330"/>
    <mergeCell ref="B322:C322"/>
    <mergeCell ref="B323:C323"/>
    <mergeCell ref="B324:C324"/>
    <mergeCell ref="B325:C325"/>
    <mergeCell ref="A326:C326"/>
    <mergeCell ref="D326:F326"/>
    <mergeCell ref="B317:C317"/>
    <mergeCell ref="B318:C318"/>
    <mergeCell ref="A319:C319"/>
    <mergeCell ref="D319:F319"/>
    <mergeCell ref="A320:A321"/>
    <mergeCell ref="B320:G320"/>
    <mergeCell ref="B321:C321"/>
    <mergeCell ref="A310:E310"/>
    <mergeCell ref="A311:E313"/>
    <mergeCell ref="A314:A315"/>
    <mergeCell ref="B314:G314"/>
    <mergeCell ref="B315:C315"/>
    <mergeCell ref="B316:C316"/>
    <mergeCell ref="B305:C305"/>
    <mergeCell ref="A306:C306"/>
    <mergeCell ref="D306:F306"/>
    <mergeCell ref="A307:C307"/>
    <mergeCell ref="D307:F307"/>
    <mergeCell ref="A309:G309"/>
    <mergeCell ref="B301:C301"/>
    <mergeCell ref="A302:C302"/>
    <mergeCell ref="D302:F302"/>
    <mergeCell ref="A303:A304"/>
    <mergeCell ref="B303:G303"/>
    <mergeCell ref="B304:C304"/>
    <mergeCell ref="B295:C295"/>
    <mergeCell ref="B296:C296"/>
    <mergeCell ref="B297:C297"/>
    <mergeCell ref="A298:C298"/>
    <mergeCell ref="D298:F298"/>
    <mergeCell ref="A299:A300"/>
    <mergeCell ref="B299:G299"/>
    <mergeCell ref="B300:C300"/>
    <mergeCell ref="B290:C290"/>
    <mergeCell ref="B291:C291"/>
    <mergeCell ref="A292:C292"/>
    <mergeCell ref="D292:F292"/>
    <mergeCell ref="A293:A294"/>
    <mergeCell ref="B293:G293"/>
    <mergeCell ref="B294:C294"/>
    <mergeCell ref="A283:E283"/>
    <mergeCell ref="A284:E286"/>
    <mergeCell ref="A287:A288"/>
    <mergeCell ref="B287:G287"/>
    <mergeCell ref="B288:C288"/>
    <mergeCell ref="B289:C289"/>
    <mergeCell ref="B278:C278"/>
    <mergeCell ref="A279:C279"/>
    <mergeCell ref="D279:F279"/>
    <mergeCell ref="A280:C280"/>
    <mergeCell ref="D280:F280"/>
    <mergeCell ref="A282:G282"/>
    <mergeCell ref="B274:C274"/>
    <mergeCell ref="A275:C275"/>
    <mergeCell ref="D275:F275"/>
    <mergeCell ref="A276:A277"/>
    <mergeCell ref="B276:G276"/>
    <mergeCell ref="B277:C277"/>
    <mergeCell ref="B269:C269"/>
    <mergeCell ref="B270:C270"/>
    <mergeCell ref="A271:C271"/>
    <mergeCell ref="D271:F271"/>
    <mergeCell ref="A272:A273"/>
    <mergeCell ref="B272:G272"/>
    <mergeCell ref="B273:C273"/>
    <mergeCell ref="B264:C264"/>
    <mergeCell ref="B265:C265"/>
    <mergeCell ref="A266:C266"/>
    <mergeCell ref="D266:F266"/>
    <mergeCell ref="A267:A268"/>
    <mergeCell ref="B267:G267"/>
    <mergeCell ref="B268:C268"/>
    <mergeCell ref="A257:E257"/>
    <mergeCell ref="A258:E260"/>
    <mergeCell ref="A261:A262"/>
    <mergeCell ref="B261:G261"/>
    <mergeCell ref="B262:C262"/>
    <mergeCell ref="B263:C263"/>
    <mergeCell ref="A256:G256"/>
    <mergeCell ref="B584:C584"/>
    <mergeCell ref="B585:C585"/>
    <mergeCell ref="B586:C586"/>
    <mergeCell ref="B587:C587"/>
    <mergeCell ref="B2378:C2378"/>
    <mergeCell ref="A2379:C2379"/>
    <mergeCell ref="D2379:F2379"/>
    <mergeCell ref="A2380:A2381"/>
    <mergeCell ref="B2380:G2380"/>
    <mergeCell ref="B2381:C2381"/>
    <mergeCell ref="B2373:C2373"/>
    <mergeCell ref="B2374:C2374"/>
    <mergeCell ref="A2375:C2375"/>
    <mergeCell ref="D2375:F2375"/>
    <mergeCell ref="A2376:A2377"/>
    <mergeCell ref="B2376:G2376"/>
    <mergeCell ref="B2377:C2377"/>
    <mergeCell ref="B2369:C2369"/>
    <mergeCell ref="A2370:C2370"/>
    <mergeCell ref="D2370:F2370"/>
    <mergeCell ref="A2371:A2372"/>
    <mergeCell ref="B2371:G2371"/>
    <mergeCell ref="B2372:C2372"/>
    <mergeCell ref="A2362:E2364"/>
    <mergeCell ref="A2365:A2366"/>
    <mergeCell ref="B2365:G2365"/>
    <mergeCell ref="B2366:C2366"/>
    <mergeCell ref="B2367:C2367"/>
    <mergeCell ref="B2368:C2368"/>
    <mergeCell ref="A2357:C2357"/>
    <mergeCell ref="D2357:F2357"/>
    <mergeCell ref="B2350:C2350"/>
    <mergeCell ref="A2351:C2351"/>
    <mergeCell ref="D2351:F2351"/>
    <mergeCell ref="A2352:A2353"/>
    <mergeCell ref="B2352:G2352"/>
    <mergeCell ref="B2353:C2353"/>
    <mergeCell ref="B2345:C2345"/>
    <mergeCell ref="B2346:C2346"/>
    <mergeCell ref="A2347:C2347"/>
    <mergeCell ref="D2347:F2347"/>
    <mergeCell ref="A2348:A2349"/>
    <mergeCell ref="B2348:G2348"/>
    <mergeCell ref="B2349:C2349"/>
    <mergeCell ref="B2341:C2341"/>
    <mergeCell ref="A2342:C2342"/>
    <mergeCell ref="D2342:F2342"/>
    <mergeCell ref="A2343:A2344"/>
    <mergeCell ref="B2343:G2343"/>
    <mergeCell ref="B2344:C2344"/>
    <mergeCell ref="A2334:E2336"/>
    <mergeCell ref="A2337:A2338"/>
    <mergeCell ref="B2337:G2337"/>
    <mergeCell ref="B2338:C2338"/>
    <mergeCell ref="B2339:C2339"/>
    <mergeCell ref="B2340:C2340"/>
    <mergeCell ref="A253:C253"/>
    <mergeCell ref="D253:F253"/>
    <mergeCell ref="A254:C254"/>
    <mergeCell ref="D254:F254"/>
    <mergeCell ref="A2332:G2332"/>
    <mergeCell ref="A2333:E2333"/>
    <mergeCell ref="B589:C589"/>
    <mergeCell ref="A597:C597"/>
    <mergeCell ref="D597:F597"/>
    <mergeCell ref="A598:A599"/>
    <mergeCell ref="B244:C244"/>
    <mergeCell ref="B245:C245"/>
    <mergeCell ref="B246:C246"/>
    <mergeCell ref="A247:C247"/>
    <mergeCell ref="D247:F247"/>
    <mergeCell ref="A248:A249"/>
    <mergeCell ref="B248:G248"/>
    <mergeCell ref="B249:C249"/>
    <mergeCell ref="B2255:C2255"/>
    <mergeCell ref="B2256:C2256"/>
    <mergeCell ref="B2243:C2243"/>
    <mergeCell ref="A2245:C2245"/>
    <mergeCell ref="D2245:F2245"/>
    <mergeCell ref="A2246:C2246"/>
    <mergeCell ref="D2246:F2246"/>
    <mergeCell ref="A2249:G2249"/>
    <mergeCell ref="B238:C238"/>
    <mergeCell ref="B239:C239"/>
    <mergeCell ref="B240:C240"/>
    <mergeCell ref="A241:C241"/>
    <mergeCell ref="D241:F241"/>
    <mergeCell ref="A242:A243"/>
    <mergeCell ref="B242:G242"/>
    <mergeCell ref="B243:C243"/>
    <mergeCell ref="B233:C233"/>
    <mergeCell ref="B234:C234"/>
    <mergeCell ref="A235:C235"/>
    <mergeCell ref="D235:F235"/>
    <mergeCell ref="A236:A237"/>
    <mergeCell ref="B236:G236"/>
    <mergeCell ref="B237:C237"/>
    <mergeCell ref="A224:C224"/>
    <mergeCell ref="D224:F224"/>
    <mergeCell ref="A226:G226"/>
    <mergeCell ref="A227:E227"/>
    <mergeCell ref="A228:E230"/>
    <mergeCell ref="A231:A232"/>
    <mergeCell ref="B231:G231"/>
    <mergeCell ref="B232:C232"/>
    <mergeCell ref="B218:C218"/>
    <mergeCell ref="A219:C219"/>
    <mergeCell ref="D219:F219"/>
    <mergeCell ref="A220:A221"/>
    <mergeCell ref="B220:G220"/>
    <mergeCell ref="A223:C223"/>
    <mergeCell ref="D223:F223"/>
    <mergeCell ref="D213:F213"/>
    <mergeCell ref="A214:A215"/>
    <mergeCell ref="B214:G214"/>
    <mergeCell ref="B215:C215"/>
    <mergeCell ref="B216:C216"/>
    <mergeCell ref="B217:C217"/>
    <mergeCell ref="B208:C208"/>
    <mergeCell ref="B209:C209"/>
    <mergeCell ref="B210:C210"/>
    <mergeCell ref="B211:C211"/>
    <mergeCell ref="B212:C212"/>
    <mergeCell ref="A213:C213"/>
    <mergeCell ref="B203:C203"/>
    <mergeCell ref="B204:C204"/>
    <mergeCell ref="A205:C205"/>
    <mergeCell ref="D205:F205"/>
    <mergeCell ref="A206:A207"/>
    <mergeCell ref="B206:G206"/>
    <mergeCell ref="B207:C207"/>
    <mergeCell ref="A196:E196"/>
    <mergeCell ref="A197:E199"/>
    <mergeCell ref="A200:A201"/>
    <mergeCell ref="B200:G200"/>
    <mergeCell ref="B201:C201"/>
    <mergeCell ref="B202:C202"/>
    <mergeCell ref="B2325:C2325"/>
    <mergeCell ref="A2327:C2327"/>
    <mergeCell ref="D2327:F2327"/>
    <mergeCell ref="A2328:C2328"/>
    <mergeCell ref="D2328:F2328"/>
    <mergeCell ref="B2308:C2308"/>
    <mergeCell ref="B2262:G2262"/>
    <mergeCell ref="B2263:C2263"/>
    <mergeCell ref="B2264:C2264"/>
    <mergeCell ref="A2257:C2257"/>
    <mergeCell ref="D2257:F2257"/>
    <mergeCell ref="A2258:A2259"/>
    <mergeCell ref="B2258:G2258"/>
    <mergeCell ref="B2259:C2259"/>
    <mergeCell ref="B2260:C2260"/>
    <mergeCell ref="A2250:E2250"/>
    <mergeCell ref="A2251:E2253"/>
    <mergeCell ref="A2254:A2255"/>
    <mergeCell ref="B2254:G2254"/>
    <mergeCell ref="A195:G195"/>
    <mergeCell ref="B598:G598"/>
    <mergeCell ref="B580:C580"/>
    <mergeCell ref="A581:C581"/>
    <mergeCell ref="D581:F581"/>
    <mergeCell ref="B2320:C2320"/>
    <mergeCell ref="B2321:C2321"/>
    <mergeCell ref="A2322:C2322"/>
    <mergeCell ref="D2322:F2322"/>
    <mergeCell ref="A2323:A2324"/>
    <mergeCell ref="B2323:G2323"/>
    <mergeCell ref="B2324:C2324"/>
    <mergeCell ref="B2315:C2315"/>
    <mergeCell ref="B2316:C2316"/>
    <mergeCell ref="A2317:C2317"/>
    <mergeCell ref="D2317:F2317"/>
    <mergeCell ref="A2318:A2319"/>
    <mergeCell ref="B2318:G2318"/>
    <mergeCell ref="B2319:C2319"/>
    <mergeCell ref="B2309:C2309"/>
    <mergeCell ref="B2310:C2310"/>
    <mergeCell ref="B2311:C2311"/>
    <mergeCell ref="A2312:C2312"/>
    <mergeCell ref="D2312:F2312"/>
    <mergeCell ref="A2313:A2314"/>
    <mergeCell ref="B2313:G2313"/>
    <mergeCell ref="B2314:C2314"/>
    <mergeCell ref="A2302:G2302"/>
    <mergeCell ref="A2303:E2303"/>
    <mergeCell ref="A2304:E2306"/>
    <mergeCell ref="A2307:A2308"/>
    <mergeCell ref="B2307:G2307"/>
    <mergeCell ref="B189:C189"/>
    <mergeCell ref="B190:C190"/>
    <mergeCell ref="B191:C191"/>
    <mergeCell ref="A192:C192"/>
    <mergeCell ref="D192:F192"/>
    <mergeCell ref="A193:C193"/>
    <mergeCell ref="D193:F193"/>
    <mergeCell ref="B184:C184"/>
    <mergeCell ref="B185:C185"/>
    <mergeCell ref="A186:C186"/>
    <mergeCell ref="D186:F186"/>
    <mergeCell ref="A187:A188"/>
    <mergeCell ref="B187:G187"/>
    <mergeCell ref="B188:C188"/>
    <mergeCell ref="B180:C180"/>
    <mergeCell ref="A181:C181"/>
    <mergeCell ref="D181:F181"/>
    <mergeCell ref="A182:A183"/>
    <mergeCell ref="B182:G182"/>
    <mergeCell ref="B183:C183"/>
    <mergeCell ref="B175:C175"/>
    <mergeCell ref="B176:C176"/>
    <mergeCell ref="A177:C177"/>
    <mergeCell ref="D177:F177"/>
    <mergeCell ref="A178:A179"/>
    <mergeCell ref="B178:G178"/>
    <mergeCell ref="B179:C179"/>
    <mergeCell ref="A168:E168"/>
    <mergeCell ref="A169:E171"/>
    <mergeCell ref="A172:A173"/>
    <mergeCell ref="B172:G172"/>
    <mergeCell ref="B173:C173"/>
    <mergeCell ref="B174:C174"/>
    <mergeCell ref="B2296:C2296"/>
    <mergeCell ref="A2297:C2297"/>
    <mergeCell ref="D2297:F2297"/>
    <mergeCell ref="A2298:C2298"/>
    <mergeCell ref="D2298:F2298"/>
    <mergeCell ref="A2270:C2270"/>
    <mergeCell ref="D2270:F2270"/>
    <mergeCell ref="A2271:C2271"/>
    <mergeCell ref="D2271:F2271"/>
    <mergeCell ref="A2274:G2274"/>
    <mergeCell ref="B2265:C2265"/>
    <mergeCell ref="A2266:C2266"/>
    <mergeCell ref="D2266:F2266"/>
    <mergeCell ref="A2267:A2268"/>
    <mergeCell ref="B2267:G2267"/>
    <mergeCell ref="B2268:C2268"/>
    <mergeCell ref="A2261:C2261"/>
    <mergeCell ref="D2261:F2261"/>
    <mergeCell ref="A2262:A2263"/>
    <mergeCell ref="A167:G167"/>
    <mergeCell ref="A572:E572"/>
    <mergeCell ref="A573:E575"/>
    <mergeCell ref="B578:C578"/>
    <mergeCell ref="B579:C579"/>
    <mergeCell ref="B2291:C2291"/>
    <mergeCell ref="B2292:C2292"/>
    <mergeCell ref="A2293:C2293"/>
    <mergeCell ref="D2293:F2293"/>
    <mergeCell ref="A2294:A2295"/>
    <mergeCell ref="B2294:G2294"/>
    <mergeCell ref="B2295:C2295"/>
    <mergeCell ref="B2287:C2287"/>
    <mergeCell ref="A2288:C2288"/>
    <mergeCell ref="D2288:F2288"/>
    <mergeCell ref="A2289:A2290"/>
    <mergeCell ref="B2289:G2289"/>
    <mergeCell ref="B2290:C2290"/>
    <mergeCell ref="B2282:C2282"/>
    <mergeCell ref="B2283:C2283"/>
    <mergeCell ref="A2284:C2284"/>
    <mergeCell ref="D2284:F2284"/>
    <mergeCell ref="A2285:A2286"/>
    <mergeCell ref="B2285:G2285"/>
    <mergeCell ref="B2286:C2286"/>
    <mergeCell ref="A2275:E2275"/>
    <mergeCell ref="A2276:E2278"/>
    <mergeCell ref="A2279:A2280"/>
    <mergeCell ref="B2279:G2279"/>
    <mergeCell ref="B2280:C2280"/>
    <mergeCell ref="B2281:C2281"/>
    <mergeCell ref="B2269:C2269"/>
    <mergeCell ref="B2238:C2238"/>
    <mergeCell ref="B2239:C2239"/>
    <mergeCell ref="A2240:C2240"/>
    <mergeCell ref="D2240:F2240"/>
    <mergeCell ref="A2241:A2242"/>
    <mergeCell ref="B2241:G2241"/>
    <mergeCell ref="B2242:C2242"/>
    <mergeCell ref="B2234:C2234"/>
    <mergeCell ref="A2235:C2235"/>
    <mergeCell ref="D2235:F2235"/>
    <mergeCell ref="A2236:A2237"/>
    <mergeCell ref="B2236:G2236"/>
    <mergeCell ref="B2237:C2237"/>
    <mergeCell ref="A2230:C2230"/>
    <mergeCell ref="D2230:F2230"/>
    <mergeCell ref="A2231:A2232"/>
    <mergeCell ref="B2231:G2231"/>
    <mergeCell ref="B2232:C2232"/>
    <mergeCell ref="B2233:C2233"/>
    <mergeCell ref="A2223:E2225"/>
    <mergeCell ref="A2226:A2227"/>
    <mergeCell ref="B2226:G2226"/>
    <mergeCell ref="B2227:C2227"/>
    <mergeCell ref="B2228:C2228"/>
    <mergeCell ref="B2229:C2229"/>
    <mergeCell ref="B2216:C2216"/>
    <mergeCell ref="A2218:C2218"/>
    <mergeCell ref="D2218:F2218"/>
    <mergeCell ref="A2219:C2219"/>
    <mergeCell ref="D2219:F2219"/>
    <mergeCell ref="A2222:E2222"/>
    <mergeCell ref="B2211:C2211"/>
    <mergeCell ref="B2212:C2212"/>
    <mergeCell ref="A2213:C2213"/>
    <mergeCell ref="D2213:F2213"/>
    <mergeCell ref="A2214:A2215"/>
    <mergeCell ref="B2214:G2214"/>
    <mergeCell ref="B2215:C2215"/>
    <mergeCell ref="B2207:C2207"/>
    <mergeCell ref="A2208:C2208"/>
    <mergeCell ref="D2208:F2208"/>
    <mergeCell ref="A2209:A2210"/>
    <mergeCell ref="B2209:G2209"/>
    <mergeCell ref="B2210:C2210"/>
    <mergeCell ref="A2203:C2203"/>
    <mergeCell ref="D2203:F2203"/>
    <mergeCell ref="A2204:A2205"/>
    <mergeCell ref="B2204:G2204"/>
    <mergeCell ref="B2205:C2205"/>
    <mergeCell ref="B2206:C2206"/>
    <mergeCell ref="A2196:E2198"/>
    <mergeCell ref="A2199:A2200"/>
    <mergeCell ref="B2199:G2199"/>
    <mergeCell ref="B2200:C2200"/>
    <mergeCell ref="B2201:C2201"/>
    <mergeCell ref="B2202:C2202"/>
    <mergeCell ref="B2189:C2189"/>
    <mergeCell ref="A2191:C2191"/>
    <mergeCell ref="D2191:F2191"/>
    <mergeCell ref="A2192:C2192"/>
    <mergeCell ref="D2192:F2192"/>
    <mergeCell ref="A2195:E2195"/>
    <mergeCell ref="B2184:C2184"/>
    <mergeCell ref="B2185:C2185"/>
    <mergeCell ref="A2186:C2186"/>
    <mergeCell ref="D2186:F2186"/>
    <mergeCell ref="A2187:A2188"/>
    <mergeCell ref="B2187:G2187"/>
    <mergeCell ref="B2188:C2188"/>
    <mergeCell ref="B2180:C2180"/>
    <mergeCell ref="A2181:C2181"/>
    <mergeCell ref="D2181:F2181"/>
    <mergeCell ref="A2182:A2183"/>
    <mergeCell ref="B2182:G2182"/>
    <mergeCell ref="B2183:C2183"/>
    <mergeCell ref="A2176:C2176"/>
    <mergeCell ref="D2176:F2176"/>
    <mergeCell ref="A2177:A2178"/>
    <mergeCell ref="B2177:G2177"/>
    <mergeCell ref="B2178:C2178"/>
    <mergeCell ref="B2179:C2179"/>
    <mergeCell ref="A2169:E2171"/>
    <mergeCell ref="A2172:A2173"/>
    <mergeCell ref="B2172:G2172"/>
    <mergeCell ref="B2173:C2173"/>
    <mergeCell ref="B2174:C2174"/>
    <mergeCell ref="B2175:C2175"/>
    <mergeCell ref="B2162:C2162"/>
    <mergeCell ref="A2164:C2164"/>
    <mergeCell ref="D2164:F2164"/>
    <mergeCell ref="A2165:C2165"/>
    <mergeCell ref="D2165:F2165"/>
    <mergeCell ref="A2168:E2168"/>
    <mergeCell ref="B2157:C2157"/>
    <mergeCell ref="B2158:C2158"/>
    <mergeCell ref="A2159:C2159"/>
    <mergeCell ref="D2159:F2159"/>
    <mergeCell ref="A2160:A2161"/>
    <mergeCell ref="B2160:G2160"/>
    <mergeCell ref="B2161:C2161"/>
    <mergeCell ref="B2153:C2153"/>
    <mergeCell ref="A2154:C2154"/>
    <mergeCell ref="D2154:F2154"/>
    <mergeCell ref="A2155:A2156"/>
    <mergeCell ref="B2155:G2155"/>
    <mergeCell ref="B2156:C2156"/>
    <mergeCell ref="A2149:C2149"/>
    <mergeCell ref="D2149:F2149"/>
    <mergeCell ref="A2150:A2151"/>
    <mergeCell ref="B2150:G2150"/>
    <mergeCell ref="B2151:C2151"/>
    <mergeCell ref="B2152:C2152"/>
    <mergeCell ref="A2142:E2144"/>
    <mergeCell ref="A2145:A2146"/>
    <mergeCell ref="B2145:G2145"/>
    <mergeCell ref="B2146:C2146"/>
    <mergeCell ref="B2147:C2147"/>
    <mergeCell ref="B2148:C2148"/>
    <mergeCell ref="B2135:C2135"/>
    <mergeCell ref="A2137:C2137"/>
    <mergeCell ref="D2137:F2137"/>
    <mergeCell ref="A2138:C2138"/>
    <mergeCell ref="D2138:F2138"/>
    <mergeCell ref="A2141:E2141"/>
    <mergeCell ref="B2130:C2130"/>
    <mergeCell ref="B2131:C2131"/>
    <mergeCell ref="A2132:C2132"/>
    <mergeCell ref="D2132:F2132"/>
    <mergeCell ref="A2133:A2134"/>
    <mergeCell ref="B2133:G2133"/>
    <mergeCell ref="B2134:C2134"/>
    <mergeCell ref="B2126:C2126"/>
    <mergeCell ref="A2127:C2127"/>
    <mergeCell ref="D2127:F2127"/>
    <mergeCell ref="A2128:A2129"/>
    <mergeCell ref="B2128:G2128"/>
    <mergeCell ref="B2129:C2129"/>
    <mergeCell ref="A2122:C2122"/>
    <mergeCell ref="D2122:F2122"/>
    <mergeCell ref="A2123:A2124"/>
    <mergeCell ref="B2123:G2123"/>
    <mergeCell ref="B2124:C2124"/>
    <mergeCell ref="B2125:C2125"/>
    <mergeCell ref="A2115:E2117"/>
    <mergeCell ref="A2118:A2119"/>
    <mergeCell ref="B2118:G2118"/>
    <mergeCell ref="B2119:C2119"/>
    <mergeCell ref="B2120:C2120"/>
    <mergeCell ref="B2121:C2121"/>
    <mergeCell ref="B162:C162"/>
    <mergeCell ref="A164:C164"/>
    <mergeCell ref="D164:F164"/>
    <mergeCell ref="A165:C165"/>
    <mergeCell ref="D165:F165"/>
    <mergeCell ref="A2114:E2114"/>
    <mergeCell ref="A715:A716"/>
    <mergeCell ref="A697:A698"/>
    <mergeCell ref="B697:G697"/>
    <mergeCell ref="B706:C706"/>
    <mergeCell ref="B157:C157"/>
    <mergeCell ref="B158:C158"/>
    <mergeCell ref="A159:C159"/>
    <mergeCell ref="D159:F159"/>
    <mergeCell ref="A160:A161"/>
    <mergeCell ref="B160:G160"/>
    <mergeCell ref="B161:C161"/>
    <mergeCell ref="B2074:G2074"/>
    <mergeCell ref="B2075:C2075"/>
    <mergeCell ref="A2068:C2068"/>
    <mergeCell ref="D2068:F2068"/>
    <mergeCell ref="A2069:A2070"/>
    <mergeCell ref="B2069:G2069"/>
    <mergeCell ref="B2070:C2070"/>
    <mergeCell ref="B2071:C2071"/>
    <mergeCell ref="A2061:E2063"/>
    <mergeCell ref="A2064:A2065"/>
    <mergeCell ref="B2064:G2064"/>
    <mergeCell ref="B2065:C2065"/>
    <mergeCell ref="B2066:C2066"/>
    <mergeCell ref="B2067:C2067"/>
    <mergeCell ref="B2055:C2055"/>
    <mergeCell ref="B153:C153"/>
    <mergeCell ref="A154:C154"/>
    <mergeCell ref="D154:F154"/>
    <mergeCell ref="A155:A156"/>
    <mergeCell ref="B155:G155"/>
    <mergeCell ref="B156:C156"/>
    <mergeCell ref="A149:C149"/>
    <mergeCell ref="D149:F149"/>
    <mergeCell ref="A150:A151"/>
    <mergeCell ref="B150:G150"/>
    <mergeCell ref="B151:C151"/>
    <mergeCell ref="B152:C152"/>
    <mergeCell ref="A142:E144"/>
    <mergeCell ref="A145:A146"/>
    <mergeCell ref="B145:G145"/>
    <mergeCell ref="B146:C146"/>
    <mergeCell ref="B147:C147"/>
    <mergeCell ref="B148:C148"/>
    <mergeCell ref="B136:C136"/>
    <mergeCell ref="A138:C138"/>
    <mergeCell ref="D138:F138"/>
    <mergeCell ref="A139:C139"/>
    <mergeCell ref="D139:F139"/>
    <mergeCell ref="A141:E141"/>
    <mergeCell ref="B131:C131"/>
    <mergeCell ref="B132:C132"/>
    <mergeCell ref="A133:C133"/>
    <mergeCell ref="D133:F133"/>
    <mergeCell ref="A134:A135"/>
    <mergeCell ref="B134:G134"/>
    <mergeCell ref="B135:C135"/>
    <mergeCell ref="B127:C127"/>
    <mergeCell ref="A128:C128"/>
    <mergeCell ref="D128:F128"/>
    <mergeCell ref="A129:A130"/>
    <mergeCell ref="B129:G129"/>
    <mergeCell ref="B130:C130"/>
    <mergeCell ref="A123:C123"/>
    <mergeCell ref="D123:F123"/>
    <mergeCell ref="A124:A125"/>
    <mergeCell ref="B124:G124"/>
    <mergeCell ref="B125:C125"/>
    <mergeCell ref="B126:C126"/>
    <mergeCell ref="A116:E118"/>
    <mergeCell ref="A119:A120"/>
    <mergeCell ref="B119:G119"/>
    <mergeCell ref="B120:C120"/>
    <mergeCell ref="B121:C121"/>
    <mergeCell ref="B122:C122"/>
    <mergeCell ref="B2108:C2108"/>
    <mergeCell ref="A2110:C2110"/>
    <mergeCell ref="D2110:F2110"/>
    <mergeCell ref="A2111:C2111"/>
    <mergeCell ref="D2111:F2111"/>
    <mergeCell ref="D2083:F2083"/>
    <mergeCell ref="A2084:C2084"/>
    <mergeCell ref="D2084:F2084"/>
    <mergeCell ref="A2087:E2087"/>
    <mergeCell ref="B2076:C2076"/>
    <mergeCell ref="B2077:C2077"/>
    <mergeCell ref="A2078:C2078"/>
    <mergeCell ref="D2078:F2078"/>
    <mergeCell ref="A2079:A2080"/>
    <mergeCell ref="B2079:G2079"/>
    <mergeCell ref="B2080:C2080"/>
    <mergeCell ref="B2072:C2072"/>
    <mergeCell ref="A2073:C2073"/>
    <mergeCell ref="D2073:F2073"/>
    <mergeCell ref="A2074:A2075"/>
    <mergeCell ref="A115:E115"/>
    <mergeCell ref="A714:C714"/>
    <mergeCell ref="A723:C723"/>
    <mergeCell ref="D723:F723"/>
    <mergeCell ref="A693:E693"/>
    <mergeCell ref="B2103:C2103"/>
    <mergeCell ref="B2104:C2104"/>
    <mergeCell ref="A2105:C2105"/>
    <mergeCell ref="D2105:F2105"/>
    <mergeCell ref="A2106:A2107"/>
    <mergeCell ref="B2106:G2106"/>
    <mergeCell ref="B2107:C2107"/>
    <mergeCell ref="B2099:C2099"/>
    <mergeCell ref="A2100:C2100"/>
    <mergeCell ref="D2100:F2100"/>
    <mergeCell ref="A2101:A2102"/>
    <mergeCell ref="B2101:G2101"/>
    <mergeCell ref="B2102:C2102"/>
    <mergeCell ref="A2095:C2095"/>
    <mergeCell ref="D2095:F2095"/>
    <mergeCell ref="A2096:A2097"/>
    <mergeCell ref="B2096:G2096"/>
    <mergeCell ref="B2097:C2097"/>
    <mergeCell ref="B2098:C2098"/>
    <mergeCell ref="A2088:E2090"/>
    <mergeCell ref="A2091:A2092"/>
    <mergeCell ref="B2091:G2091"/>
    <mergeCell ref="B2092:C2092"/>
    <mergeCell ref="B2093:C2093"/>
    <mergeCell ref="B2094:C2094"/>
    <mergeCell ref="B2081:C2081"/>
    <mergeCell ref="A2083:C2083"/>
    <mergeCell ref="A2057:C2057"/>
    <mergeCell ref="D2057:F2057"/>
    <mergeCell ref="A2058:C2058"/>
    <mergeCell ref="D2058:F2058"/>
    <mergeCell ref="A2060:E2060"/>
    <mergeCell ref="B2050:C2050"/>
    <mergeCell ref="B2051:C2051"/>
    <mergeCell ref="A2052:C2052"/>
    <mergeCell ref="D2052:F2052"/>
    <mergeCell ref="A2053:A2054"/>
    <mergeCell ref="B2053:G2053"/>
    <mergeCell ref="B2054:C2054"/>
    <mergeCell ref="B2045:C2045"/>
    <mergeCell ref="B2046:C2046"/>
    <mergeCell ref="A2047:C2047"/>
    <mergeCell ref="D2047:F2047"/>
    <mergeCell ref="A2048:A2049"/>
    <mergeCell ref="B2048:G2048"/>
    <mergeCell ref="B2049:C2049"/>
    <mergeCell ref="B2040:C2040"/>
    <mergeCell ref="B2041:C2041"/>
    <mergeCell ref="A2042:C2042"/>
    <mergeCell ref="D2042:F2042"/>
    <mergeCell ref="A2043:A2044"/>
    <mergeCell ref="B2043:G2043"/>
    <mergeCell ref="B2044:C2044"/>
    <mergeCell ref="A61:C61"/>
    <mergeCell ref="D61:F61"/>
    <mergeCell ref="A2034:E2034"/>
    <mergeCell ref="A2035:E2037"/>
    <mergeCell ref="A2038:A2039"/>
    <mergeCell ref="B2038:G2038"/>
    <mergeCell ref="B2039:C2039"/>
    <mergeCell ref="A694:E696"/>
    <mergeCell ref="D714:F714"/>
    <mergeCell ref="B712:C712"/>
    <mergeCell ref="A2032:C2032"/>
    <mergeCell ref="D2032:F2032"/>
    <mergeCell ref="A2033:C2033"/>
    <mergeCell ref="D2033:F2033"/>
    <mergeCell ref="B2018:C2018"/>
    <mergeCell ref="B2019:C2019"/>
    <mergeCell ref="B2020:C2020"/>
    <mergeCell ref="B2011:C2011"/>
    <mergeCell ref="B2012:C2012"/>
    <mergeCell ref="B2013:C2013"/>
    <mergeCell ref="B2014:C2014"/>
    <mergeCell ref="A2015:C2015"/>
    <mergeCell ref="D2015:F2015"/>
    <mergeCell ref="D1167:F1167"/>
    <mergeCell ref="A1168:A1169"/>
    <mergeCell ref="A57:A58"/>
    <mergeCell ref="B57:G57"/>
    <mergeCell ref="B58:C58"/>
    <mergeCell ref="B59:C59"/>
    <mergeCell ref="A60:C60"/>
    <mergeCell ref="D60:F60"/>
    <mergeCell ref="A52:A53"/>
    <mergeCell ref="B52:G52"/>
    <mergeCell ref="B53:C53"/>
    <mergeCell ref="B54:C54"/>
    <mergeCell ref="B55:C55"/>
    <mergeCell ref="A56:C56"/>
    <mergeCell ref="D56:F56"/>
    <mergeCell ref="A48:A49"/>
    <mergeCell ref="B48:G48"/>
    <mergeCell ref="B49:C49"/>
    <mergeCell ref="B50:C50"/>
    <mergeCell ref="A51:C51"/>
    <mergeCell ref="D51:F51"/>
    <mergeCell ref="B43:C43"/>
    <mergeCell ref="B44:C44"/>
    <mergeCell ref="B45:C45"/>
    <mergeCell ref="B46:C46"/>
    <mergeCell ref="A47:C47"/>
    <mergeCell ref="D47:F47"/>
    <mergeCell ref="A36:E36"/>
    <mergeCell ref="A37:E39"/>
    <mergeCell ref="A40:A41"/>
    <mergeCell ref="B40:G40"/>
    <mergeCell ref="B41:C41"/>
    <mergeCell ref="B42:C42"/>
    <mergeCell ref="B30:C30"/>
    <mergeCell ref="B31:C31"/>
    <mergeCell ref="B32:C32"/>
    <mergeCell ref="A33:C33"/>
    <mergeCell ref="D33:F33"/>
    <mergeCell ref="A34:C34"/>
    <mergeCell ref="D34:F34"/>
    <mergeCell ref="B26:C26"/>
    <mergeCell ref="A27:C27"/>
    <mergeCell ref="D27:F27"/>
    <mergeCell ref="A28:A29"/>
    <mergeCell ref="B28:G28"/>
    <mergeCell ref="B29:C29"/>
    <mergeCell ref="A22:C22"/>
    <mergeCell ref="D22:F22"/>
    <mergeCell ref="A23:A24"/>
    <mergeCell ref="B23:G23"/>
    <mergeCell ref="B24:C24"/>
    <mergeCell ref="B25:C25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A13:C13"/>
    <mergeCell ref="D13:F13"/>
    <mergeCell ref="A14:A15"/>
    <mergeCell ref="B14:G14"/>
    <mergeCell ref="B15:C15"/>
    <mergeCell ref="A3:E3"/>
    <mergeCell ref="A4:E6"/>
    <mergeCell ref="A7:A8"/>
    <mergeCell ref="B7:G7"/>
    <mergeCell ref="B8:C8"/>
    <mergeCell ref="B9:C9"/>
    <mergeCell ref="B2029:C2029"/>
    <mergeCell ref="B2030:C2030"/>
    <mergeCell ref="B2031:C2031"/>
    <mergeCell ref="B2025:C2025"/>
    <mergeCell ref="A2026:C2026"/>
    <mergeCell ref="D2026:F2026"/>
    <mergeCell ref="A2027:A2028"/>
    <mergeCell ref="B2027:G2027"/>
    <mergeCell ref="B2028:C2028"/>
    <mergeCell ref="A2021:C2021"/>
    <mergeCell ref="D2021:F2021"/>
    <mergeCell ref="A2022:A2023"/>
    <mergeCell ref="B2022:G2022"/>
    <mergeCell ref="B2023:C2023"/>
    <mergeCell ref="B2024:C2024"/>
    <mergeCell ref="A2016:A2017"/>
    <mergeCell ref="B2016:G2016"/>
    <mergeCell ref="B2017:C2017"/>
    <mergeCell ref="A1:G1"/>
    <mergeCell ref="A2005:E2005"/>
    <mergeCell ref="A2006:E2008"/>
    <mergeCell ref="A2009:A2010"/>
    <mergeCell ref="B2009:G2009"/>
    <mergeCell ref="B2010:C2010"/>
    <mergeCell ref="B713:C713"/>
    <mergeCell ref="B719:G719"/>
    <mergeCell ref="B720:C720"/>
    <mergeCell ref="A1149:E1149"/>
    <mergeCell ref="A1150:E1152"/>
    <mergeCell ref="A1153:A1154"/>
    <mergeCell ref="B1153:G1153"/>
    <mergeCell ref="B1154:C1154"/>
    <mergeCell ref="B1155:C1155"/>
    <mergeCell ref="B1156:C1156"/>
    <mergeCell ref="A1157:C1157"/>
    <mergeCell ref="D1157:F1157"/>
    <mergeCell ref="A1158:A1159"/>
    <mergeCell ref="B1158:G1158"/>
    <mergeCell ref="B1159:C1159"/>
    <mergeCell ref="B1160:C1160"/>
    <mergeCell ref="B1161:C1161"/>
    <mergeCell ref="A1162:C1162"/>
    <mergeCell ref="D1162:F1162"/>
    <mergeCell ref="A1163:A1164"/>
    <mergeCell ref="B1163:G1163"/>
    <mergeCell ref="B1164:C1164"/>
    <mergeCell ref="B1165:C1165"/>
    <mergeCell ref="B1166:C1166"/>
    <mergeCell ref="A1167:C1167"/>
    <mergeCell ref="D1197:F1197"/>
    <mergeCell ref="B1168:G1168"/>
    <mergeCell ref="B1169:C1169"/>
    <mergeCell ref="B1170:C1170"/>
    <mergeCell ref="A1172:C1172"/>
    <mergeCell ref="D1172:F1172"/>
    <mergeCell ref="A1173:C1173"/>
    <mergeCell ref="D1173:F1173"/>
    <mergeCell ref="A1175:G1175"/>
    <mergeCell ref="A1176:E1176"/>
    <mergeCell ref="A1177:E1179"/>
    <mergeCell ref="A1180:A1181"/>
    <mergeCell ref="B1180:G1180"/>
    <mergeCell ref="B1181:C1181"/>
    <mergeCell ref="B1182:C1182"/>
    <mergeCell ref="A1183:C1183"/>
    <mergeCell ref="D1183:F1183"/>
    <mergeCell ref="A1184:A1185"/>
    <mergeCell ref="B1184:G1184"/>
    <mergeCell ref="B1185:C1185"/>
    <mergeCell ref="A1215:A1216"/>
    <mergeCell ref="B1215:G1215"/>
    <mergeCell ref="B1216:C1216"/>
    <mergeCell ref="B1217:C1217"/>
    <mergeCell ref="B1218:C1218"/>
    <mergeCell ref="A1219:C1219"/>
    <mergeCell ref="D1219:F1219"/>
    <mergeCell ref="A1220:A1221"/>
    <mergeCell ref="B1220:G1220"/>
    <mergeCell ref="B1221:C1221"/>
    <mergeCell ref="B1222:C1222"/>
    <mergeCell ref="A1223:C1223"/>
    <mergeCell ref="D1223:F1223"/>
    <mergeCell ref="A1224:C1224"/>
    <mergeCell ref="D1224:F1224"/>
    <mergeCell ref="B1186:C1186"/>
    <mergeCell ref="A1187:C1187"/>
    <mergeCell ref="D1187:F1187"/>
    <mergeCell ref="A1188:A1189"/>
    <mergeCell ref="B1188:G1188"/>
    <mergeCell ref="B1189:C1189"/>
    <mergeCell ref="B1190:C1190"/>
    <mergeCell ref="B1191:C1191"/>
    <mergeCell ref="A1192:C1192"/>
    <mergeCell ref="D1192:F1192"/>
    <mergeCell ref="A1193:A1194"/>
    <mergeCell ref="B1193:G1193"/>
    <mergeCell ref="B1194:C1194"/>
    <mergeCell ref="B1195:C1195"/>
    <mergeCell ref="A1196:C1196"/>
    <mergeCell ref="D1196:F1196"/>
    <mergeCell ref="A1197:C1197"/>
    <mergeCell ref="A1199:E1199"/>
    <mergeCell ref="A1200:E1202"/>
    <mergeCell ref="A1203:A1204"/>
    <mergeCell ref="B1203:G1203"/>
    <mergeCell ref="B1204:C1204"/>
    <mergeCell ref="B1205:C1205"/>
    <mergeCell ref="B1206:C1206"/>
    <mergeCell ref="B1207:C1207"/>
    <mergeCell ref="B1208:C1208"/>
    <mergeCell ref="B1209:C1209"/>
    <mergeCell ref="A1210:C1210"/>
    <mergeCell ref="D1210:F1210"/>
    <mergeCell ref="A1211:A1212"/>
    <mergeCell ref="B1211:G1211"/>
    <mergeCell ref="B1212:C1212"/>
    <mergeCell ref="B1213:C1213"/>
    <mergeCell ref="A1214:C1214"/>
    <mergeCell ref="D1214:F1214"/>
    <mergeCell ref="A1226:E1226"/>
    <mergeCell ref="A1227:E1229"/>
    <mergeCell ref="A1230:A1231"/>
    <mergeCell ref="B1230:G1230"/>
    <mergeCell ref="B1231:C1231"/>
    <mergeCell ref="B1232:C1232"/>
    <mergeCell ref="B1233:C1233"/>
    <mergeCell ref="B1234:C1234"/>
    <mergeCell ref="B1235:C1235"/>
    <mergeCell ref="B1236:C1236"/>
    <mergeCell ref="A1237:C1237"/>
    <mergeCell ref="D1237:F1237"/>
    <mergeCell ref="A1238:A1239"/>
    <mergeCell ref="B1238:G1238"/>
    <mergeCell ref="B1239:C1239"/>
    <mergeCell ref="B1240:C1240"/>
    <mergeCell ref="A1241:C1241"/>
    <mergeCell ref="D1241:F1241"/>
    <mergeCell ref="A1242:A1243"/>
    <mergeCell ref="B1242:G1242"/>
    <mergeCell ref="B1243:C1243"/>
    <mergeCell ref="B1244:C1244"/>
    <mergeCell ref="B1245:C1245"/>
    <mergeCell ref="A1246:C1246"/>
    <mergeCell ref="D1246:F1246"/>
    <mergeCell ref="A1247:A1248"/>
    <mergeCell ref="B1247:G1247"/>
    <mergeCell ref="B1248:C1248"/>
    <mergeCell ref="B1249:C1249"/>
    <mergeCell ref="B1250:C1250"/>
    <mergeCell ref="B1251:C1251"/>
    <mergeCell ref="A1252:C1252"/>
    <mergeCell ref="D1252:F1252"/>
    <mergeCell ref="A1253:C1253"/>
    <mergeCell ref="D1253:F1253"/>
    <mergeCell ref="A1255:E1255"/>
    <mergeCell ref="A1256:E1258"/>
    <mergeCell ref="A1259:A1260"/>
    <mergeCell ref="B1259:G1259"/>
    <mergeCell ref="B1260:C1260"/>
    <mergeCell ref="B1261:C1261"/>
    <mergeCell ref="B1262:C1262"/>
    <mergeCell ref="A1263:C1263"/>
    <mergeCell ref="D1263:F1263"/>
    <mergeCell ref="A1264:A1265"/>
    <mergeCell ref="B1264:G1264"/>
    <mergeCell ref="B1265:C1265"/>
    <mergeCell ref="B1266:C1266"/>
    <mergeCell ref="B1267:C1267"/>
    <mergeCell ref="A1268:C1268"/>
    <mergeCell ref="D1268:F1268"/>
    <mergeCell ref="A1269:A1270"/>
    <mergeCell ref="B1269:G1269"/>
    <mergeCell ref="B1270:C1270"/>
    <mergeCell ref="B1271:C1271"/>
    <mergeCell ref="B1272:C1272"/>
    <mergeCell ref="A1273:C1273"/>
    <mergeCell ref="D1273:F1273"/>
    <mergeCell ref="A1274:A1275"/>
    <mergeCell ref="B1274:G1274"/>
    <mergeCell ref="B1275:C1275"/>
    <mergeCell ref="B1276:C1276"/>
    <mergeCell ref="A1278:C1278"/>
    <mergeCell ref="D1278:F1278"/>
    <mergeCell ref="A1279:C1279"/>
    <mergeCell ref="D1279:F1279"/>
    <mergeCell ref="A1281:G1281"/>
    <mergeCell ref="A1282:E1282"/>
    <mergeCell ref="A1283:E1285"/>
    <mergeCell ref="A1286:A1287"/>
    <mergeCell ref="B1286:G1286"/>
    <mergeCell ref="B1287:C1287"/>
    <mergeCell ref="B1288:C1288"/>
    <mergeCell ref="B1289:C1289"/>
    <mergeCell ref="B1290:C1290"/>
    <mergeCell ref="A1291:C1291"/>
    <mergeCell ref="D1291:F1291"/>
    <mergeCell ref="A1292:A1293"/>
    <mergeCell ref="B1292:G1292"/>
    <mergeCell ref="B1293:C1293"/>
    <mergeCell ref="B1294:C1294"/>
    <mergeCell ref="B1295:C1295"/>
    <mergeCell ref="A1296:C1296"/>
    <mergeCell ref="D1296:F1296"/>
    <mergeCell ref="A1297:A1298"/>
    <mergeCell ref="B1297:G1297"/>
    <mergeCell ref="B1298:C1298"/>
    <mergeCell ref="B1299:C1299"/>
    <mergeCell ref="A1300:C1300"/>
    <mergeCell ref="D1300:F1300"/>
    <mergeCell ref="A1301:A1302"/>
    <mergeCell ref="B1301:G1301"/>
    <mergeCell ref="B1302:C1302"/>
    <mergeCell ref="B1303:C1303"/>
    <mergeCell ref="A1304:C1304"/>
    <mergeCell ref="D1304:F1304"/>
    <mergeCell ref="A1305:C1305"/>
    <mergeCell ref="D1305:F1305"/>
    <mergeCell ref="A1307:G1307"/>
    <mergeCell ref="A1308:E1308"/>
    <mergeCell ref="A1309:E1311"/>
    <mergeCell ref="A1312:A1313"/>
    <mergeCell ref="B1312:G1312"/>
    <mergeCell ref="B1313:C1313"/>
    <mergeCell ref="B1314:C1314"/>
    <mergeCell ref="B1315:C1315"/>
    <mergeCell ref="B1316:C1316"/>
    <mergeCell ref="A1317:C1317"/>
    <mergeCell ref="D1317:F1317"/>
    <mergeCell ref="A1318:A1319"/>
    <mergeCell ref="B1318:G1318"/>
    <mergeCell ref="B1319:C1319"/>
    <mergeCell ref="B1320:C1320"/>
    <mergeCell ref="B1321:C1321"/>
    <mergeCell ref="B1322:C1322"/>
    <mergeCell ref="B1323:C1323"/>
    <mergeCell ref="B1324:C1324"/>
    <mergeCell ref="A1325:C1325"/>
    <mergeCell ref="D1325:F1325"/>
    <mergeCell ref="A1326:A1327"/>
    <mergeCell ref="B1326:G1326"/>
    <mergeCell ref="B1327:C1327"/>
    <mergeCell ref="B1328:C1328"/>
    <mergeCell ref="A1329:C1329"/>
    <mergeCell ref="D1329:F1329"/>
    <mergeCell ref="A1330:A1331"/>
    <mergeCell ref="B1330:G1330"/>
    <mergeCell ref="B1331:C1331"/>
    <mergeCell ref="B1332:C1332"/>
    <mergeCell ref="A1333:C1333"/>
    <mergeCell ref="D1333:F1333"/>
    <mergeCell ref="A1334:C1334"/>
    <mergeCell ref="D1334:F1334"/>
    <mergeCell ref="A1336:G1336"/>
    <mergeCell ref="A1337:E1337"/>
    <mergeCell ref="A1338:E1340"/>
    <mergeCell ref="A1341:A1342"/>
    <mergeCell ref="B1341:G1341"/>
    <mergeCell ref="B1342:C1342"/>
    <mergeCell ref="B1343:C1343"/>
    <mergeCell ref="B1344:C1344"/>
    <mergeCell ref="B1345:C1345"/>
    <mergeCell ref="A1346:C1346"/>
    <mergeCell ref="D1346:F1346"/>
    <mergeCell ref="A1347:A1348"/>
    <mergeCell ref="B1347:G1347"/>
    <mergeCell ref="B1348:C1348"/>
    <mergeCell ref="B1349:C1349"/>
    <mergeCell ref="B1350:C1350"/>
    <mergeCell ref="B1351:C1351"/>
    <mergeCell ref="B1352:C1352"/>
    <mergeCell ref="A1353:C1353"/>
    <mergeCell ref="D1353:F1353"/>
    <mergeCell ref="A1354:A1355"/>
    <mergeCell ref="B1354:G1354"/>
    <mergeCell ref="B1355:C1355"/>
    <mergeCell ref="B1356:C1356"/>
    <mergeCell ref="A1357:C1357"/>
    <mergeCell ref="D1357:F1357"/>
    <mergeCell ref="A1358:A1359"/>
    <mergeCell ref="B1358:G1358"/>
    <mergeCell ref="B1359:C1359"/>
    <mergeCell ref="B1360:C1360"/>
    <mergeCell ref="A1361:C1361"/>
    <mergeCell ref="D1361:F1361"/>
    <mergeCell ref="A1362:C1362"/>
    <mergeCell ref="D1362:F1362"/>
    <mergeCell ref="A1364:G1364"/>
    <mergeCell ref="A1365:E1365"/>
    <mergeCell ref="A1366:E1368"/>
    <mergeCell ref="A1369:A1370"/>
    <mergeCell ref="B1369:G1369"/>
    <mergeCell ref="B1370:C1370"/>
    <mergeCell ref="B1371:C1371"/>
    <mergeCell ref="B1372:C1372"/>
    <mergeCell ref="B1373:C1373"/>
    <mergeCell ref="A1374:C1374"/>
    <mergeCell ref="D1374:F1374"/>
    <mergeCell ref="A1375:A1376"/>
    <mergeCell ref="B1375:G1375"/>
    <mergeCell ref="B1376:C1376"/>
    <mergeCell ref="B1377:C1377"/>
    <mergeCell ref="B1378:C1378"/>
    <mergeCell ref="B1379:C1379"/>
    <mergeCell ref="B1380:C1380"/>
    <mergeCell ref="A1381:C1381"/>
    <mergeCell ref="D1381:F1381"/>
    <mergeCell ref="A1382:A1383"/>
    <mergeCell ref="B1382:G1382"/>
    <mergeCell ref="B1383:C1383"/>
    <mergeCell ref="B1384:C1384"/>
    <mergeCell ref="A1385:C1385"/>
    <mergeCell ref="D1385:F1385"/>
    <mergeCell ref="A1386:A1387"/>
    <mergeCell ref="B1386:G1386"/>
    <mergeCell ref="B1387:C1387"/>
    <mergeCell ref="B1388:C1388"/>
    <mergeCell ref="A1389:C1389"/>
    <mergeCell ref="D1389:F1389"/>
    <mergeCell ref="A1390:C1390"/>
    <mergeCell ref="D1390:F1390"/>
    <mergeCell ref="A1392:G1392"/>
    <mergeCell ref="A1393:E1393"/>
    <mergeCell ref="A1394:E1396"/>
    <mergeCell ref="A1397:A1398"/>
    <mergeCell ref="B1397:G1397"/>
    <mergeCell ref="B1398:C1398"/>
    <mergeCell ref="B1399:C1399"/>
    <mergeCell ref="B1400:C1400"/>
    <mergeCell ref="B1401:C1401"/>
    <mergeCell ref="A1402:C1402"/>
    <mergeCell ref="D1402:F1402"/>
    <mergeCell ref="A1403:A1404"/>
    <mergeCell ref="B1403:G1403"/>
    <mergeCell ref="B1404:C1404"/>
    <mergeCell ref="B1405:C1405"/>
    <mergeCell ref="B1406:C1406"/>
    <mergeCell ref="B1407:C1407"/>
    <mergeCell ref="B1408:C1408"/>
    <mergeCell ref="A1409:C1409"/>
    <mergeCell ref="D1409:F1409"/>
    <mergeCell ref="A1410:A1411"/>
    <mergeCell ref="B1410:G1410"/>
    <mergeCell ref="B1411:C1411"/>
    <mergeCell ref="B1412:C1412"/>
    <mergeCell ref="A1413:C1413"/>
    <mergeCell ref="D1413:F1413"/>
    <mergeCell ref="A1414:A1415"/>
    <mergeCell ref="B1414:G1414"/>
    <mergeCell ref="B1415:C1415"/>
    <mergeCell ref="B1416:C1416"/>
    <mergeCell ref="A1417:C1417"/>
    <mergeCell ref="D1417:F1417"/>
    <mergeCell ref="A1418:C1418"/>
    <mergeCell ref="D1418:F1418"/>
    <mergeCell ref="A1420:G1420"/>
    <mergeCell ref="A1421:E1421"/>
    <mergeCell ref="A1422:E1424"/>
    <mergeCell ref="A1425:A1426"/>
    <mergeCell ref="B1425:G1425"/>
    <mergeCell ref="B1426:C1426"/>
    <mergeCell ref="B1427:C1427"/>
    <mergeCell ref="B1428:C1428"/>
    <mergeCell ref="B1429:C1429"/>
    <mergeCell ref="A1430:C1430"/>
    <mergeCell ref="D1430:F1430"/>
    <mergeCell ref="A1431:A1432"/>
    <mergeCell ref="B1431:G1431"/>
    <mergeCell ref="B1432:C1432"/>
    <mergeCell ref="B1433:C1433"/>
    <mergeCell ref="B1434:C1434"/>
    <mergeCell ref="B1435:C1435"/>
    <mergeCell ref="B1436:C1436"/>
    <mergeCell ref="A1437:C1437"/>
    <mergeCell ref="D1437:F1437"/>
    <mergeCell ref="A1438:A1439"/>
    <mergeCell ref="B1438:G1438"/>
    <mergeCell ref="B1439:C1439"/>
    <mergeCell ref="B1440:C1440"/>
    <mergeCell ref="A1441:C1441"/>
    <mergeCell ref="D1441:F1441"/>
    <mergeCell ref="A1442:A1443"/>
    <mergeCell ref="B1442:G1442"/>
    <mergeCell ref="B1443:C1443"/>
    <mergeCell ref="B1444:C1444"/>
    <mergeCell ref="A1445:C1445"/>
    <mergeCell ref="D1445:F1445"/>
    <mergeCell ref="A1446:C1446"/>
    <mergeCell ref="D1446:F1446"/>
    <mergeCell ref="A1448:G1448"/>
    <mergeCell ref="A1449:E1449"/>
    <mergeCell ref="A1450:E1452"/>
    <mergeCell ref="A1453:A1454"/>
    <mergeCell ref="B1453:G1453"/>
    <mergeCell ref="B1454:C1454"/>
    <mergeCell ref="B1455:C1455"/>
    <mergeCell ref="B1456:C1456"/>
    <mergeCell ref="B1457:C1457"/>
    <mergeCell ref="A1458:C1458"/>
    <mergeCell ref="D1458:F1458"/>
    <mergeCell ref="A1459:A1460"/>
    <mergeCell ref="B1459:G1459"/>
    <mergeCell ref="B1460:C1460"/>
    <mergeCell ref="B1461:C1461"/>
    <mergeCell ref="B1462:C1462"/>
    <mergeCell ref="B1463:C1463"/>
    <mergeCell ref="B1464:C1464"/>
    <mergeCell ref="B1465:C1465"/>
    <mergeCell ref="A1466:C1466"/>
    <mergeCell ref="D1466:F1466"/>
    <mergeCell ref="A1467:A1468"/>
    <mergeCell ref="B1467:G1467"/>
    <mergeCell ref="B1468:C1468"/>
    <mergeCell ref="B1469:C1469"/>
    <mergeCell ref="A1470:C1470"/>
    <mergeCell ref="D1470:F1470"/>
    <mergeCell ref="A1471:A1472"/>
    <mergeCell ref="B1471:G1471"/>
    <mergeCell ref="B1472:C1472"/>
    <mergeCell ref="B1473:C1473"/>
    <mergeCell ref="A1474:C1474"/>
    <mergeCell ref="D1474:F1474"/>
    <mergeCell ref="A1475:C1475"/>
    <mergeCell ref="D1475:F1475"/>
    <mergeCell ref="A1477:E1477"/>
    <mergeCell ref="A1478:E1480"/>
    <mergeCell ref="A1481:A1482"/>
    <mergeCell ref="B1481:G1481"/>
    <mergeCell ref="B1482:C1482"/>
    <mergeCell ref="B1483:C1483"/>
    <mergeCell ref="B1484:C1484"/>
    <mergeCell ref="B1485:C1485"/>
    <mergeCell ref="A1486:C1486"/>
    <mergeCell ref="D1486:F1486"/>
    <mergeCell ref="A1487:A1488"/>
    <mergeCell ref="B1487:G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A1496:C1496"/>
    <mergeCell ref="D1496:F1496"/>
    <mergeCell ref="A1497:A1498"/>
    <mergeCell ref="B1497:G1497"/>
    <mergeCell ref="B1498:C1498"/>
    <mergeCell ref="B1499:C1499"/>
    <mergeCell ref="B1500:C1500"/>
    <mergeCell ref="A1511:E1511"/>
    <mergeCell ref="A1512:E1514"/>
    <mergeCell ref="A1515:A1516"/>
    <mergeCell ref="B1515:G1515"/>
    <mergeCell ref="B1516:C1516"/>
    <mergeCell ref="B1517:C1517"/>
    <mergeCell ref="B1501:C1501"/>
    <mergeCell ref="A1502:C1502"/>
    <mergeCell ref="D1502:F1502"/>
    <mergeCell ref="A1503:A1504"/>
    <mergeCell ref="B1503:G1503"/>
    <mergeCell ref="B1504:C1504"/>
    <mergeCell ref="B1505:C1505"/>
    <mergeCell ref="B1506:C1506"/>
    <mergeCell ref="B1507:C1507"/>
    <mergeCell ref="A1508:C1508"/>
    <mergeCell ref="D1508:F1508"/>
    <mergeCell ref="A1509:C1509"/>
    <mergeCell ref="D1509:F1509"/>
    <mergeCell ref="B1518:C1518"/>
    <mergeCell ref="A1519:C1519"/>
    <mergeCell ref="D1519:F1519"/>
    <mergeCell ref="A1520:A1521"/>
    <mergeCell ref="B1520:G1520"/>
    <mergeCell ref="B1521:C1521"/>
    <mergeCell ref="B1522:C1522"/>
    <mergeCell ref="B1523:C1523"/>
    <mergeCell ref="B1524:C1524"/>
    <mergeCell ref="A1525:C1525"/>
    <mergeCell ref="D1525:F1525"/>
    <mergeCell ref="A1526:A1527"/>
    <mergeCell ref="B1526:G1526"/>
    <mergeCell ref="B1527:C1527"/>
    <mergeCell ref="B1528:C1528"/>
    <mergeCell ref="A1529:C1529"/>
    <mergeCell ref="D1529:F1529"/>
    <mergeCell ref="A1530:A1531"/>
    <mergeCell ref="B1530:G1530"/>
    <mergeCell ref="B1531:C1531"/>
    <mergeCell ref="B1532:C1532"/>
    <mergeCell ref="A1533:C1533"/>
    <mergeCell ref="D1533:F1533"/>
    <mergeCell ref="A1534:C1534"/>
    <mergeCell ref="D1534:F1534"/>
    <mergeCell ref="A1536:E1536"/>
    <mergeCell ref="A1537:E1539"/>
    <mergeCell ref="A1540:A1541"/>
    <mergeCell ref="B1540:G1540"/>
    <mergeCell ref="B1541:C1541"/>
    <mergeCell ref="B1542:C1542"/>
    <mergeCell ref="B1543:C1543"/>
    <mergeCell ref="A1544:C1544"/>
    <mergeCell ref="D1544:F1544"/>
    <mergeCell ref="A1545:A1546"/>
    <mergeCell ref="B1545:G1545"/>
    <mergeCell ref="B1546:C1546"/>
    <mergeCell ref="B1547:C1547"/>
    <mergeCell ref="B1548:C1548"/>
    <mergeCell ref="B1549:C1549"/>
    <mergeCell ref="A1550:C1550"/>
    <mergeCell ref="D1550:F1550"/>
    <mergeCell ref="A1551:A1552"/>
    <mergeCell ref="B1551:G1551"/>
    <mergeCell ref="B1552:C1552"/>
    <mergeCell ref="B1553:C1553"/>
    <mergeCell ref="A1554:C1554"/>
    <mergeCell ref="D1554:F1554"/>
    <mergeCell ref="A1555:A1556"/>
    <mergeCell ref="B1555:G1555"/>
    <mergeCell ref="B1556:C1556"/>
    <mergeCell ref="B1557:C1557"/>
    <mergeCell ref="A1558:C1558"/>
    <mergeCell ref="D1558:F1558"/>
    <mergeCell ref="A1559:C1559"/>
    <mergeCell ref="D1559:F1559"/>
    <mergeCell ref="A1561:E1561"/>
    <mergeCell ref="A1562:E1564"/>
    <mergeCell ref="A1565:A1566"/>
    <mergeCell ref="B1565:G1565"/>
    <mergeCell ref="B1566:C1566"/>
    <mergeCell ref="B1567:C1567"/>
    <mergeCell ref="B1568:C1568"/>
    <mergeCell ref="A1569:C1569"/>
    <mergeCell ref="D1569:F1569"/>
    <mergeCell ref="A1570:A1571"/>
    <mergeCell ref="B1570:G1570"/>
    <mergeCell ref="B1571:C1571"/>
    <mergeCell ref="B1572:C1572"/>
    <mergeCell ref="B1573:C1573"/>
    <mergeCell ref="B1574:C1574"/>
    <mergeCell ref="A1575:C1575"/>
    <mergeCell ref="D1575:F1575"/>
    <mergeCell ref="A1576:A1577"/>
    <mergeCell ref="B1576:G1576"/>
    <mergeCell ref="B1577:C1577"/>
    <mergeCell ref="B1578:C1578"/>
    <mergeCell ref="B1579:C1579"/>
    <mergeCell ref="B1580:C1580"/>
    <mergeCell ref="A1581:C1581"/>
    <mergeCell ref="D1581:F1581"/>
    <mergeCell ref="A1582:A1583"/>
    <mergeCell ref="B1582:G1582"/>
    <mergeCell ref="B1583:C1583"/>
    <mergeCell ref="A1587:C1587"/>
    <mergeCell ref="D1587:F1587"/>
    <mergeCell ref="A1588:C1588"/>
    <mergeCell ref="D1588:F1588"/>
    <mergeCell ref="A1590:E1590"/>
    <mergeCell ref="A1591:E1593"/>
    <mergeCell ref="A1594:A1595"/>
    <mergeCell ref="B1594:G1594"/>
    <mergeCell ref="B1595:C1595"/>
    <mergeCell ref="B1596:C1596"/>
    <mergeCell ref="B1597:C1597"/>
    <mergeCell ref="A1598:C1598"/>
    <mergeCell ref="D1598:F1598"/>
    <mergeCell ref="A1599:A1600"/>
    <mergeCell ref="B1599:G1599"/>
    <mergeCell ref="B1600:C1600"/>
    <mergeCell ref="B1601:C1601"/>
    <mergeCell ref="B1602:C1602"/>
    <mergeCell ref="B1603:C1603"/>
    <mergeCell ref="A1604:C1604"/>
    <mergeCell ref="D1604:F1604"/>
    <mergeCell ref="A1605:A1606"/>
    <mergeCell ref="B1605:G1605"/>
    <mergeCell ref="B1606:C1606"/>
    <mergeCell ref="B1607:C1607"/>
    <mergeCell ref="B1608:C1608"/>
    <mergeCell ref="B1609:C1609"/>
    <mergeCell ref="A1610:C1610"/>
    <mergeCell ref="D1610:F1610"/>
    <mergeCell ref="A1611:A1612"/>
    <mergeCell ref="B1611:G1611"/>
    <mergeCell ref="B1612:C1612"/>
    <mergeCell ref="A1616:C1616"/>
    <mergeCell ref="D1616:F1616"/>
    <mergeCell ref="A1617:C1617"/>
    <mergeCell ref="D1617:F1617"/>
    <mergeCell ref="A1619:E1619"/>
    <mergeCell ref="A1620:E1622"/>
    <mergeCell ref="A1623:A1624"/>
    <mergeCell ref="B1623:G1623"/>
    <mergeCell ref="B1624:C1624"/>
    <mergeCell ref="B1625:C1625"/>
    <mergeCell ref="B1626:C1626"/>
    <mergeCell ref="A1627:C1627"/>
    <mergeCell ref="D1627:F1627"/>
    <mergeCell ref="A1628:A1629"/>
    <mergeCell ref="B1628:G1628"/>
    <mergeCell ref="B1629:C1629"/>
    <mergeCell ref="B1630:C1630"/>
    <mergeCell ref="B1631:C1631"/>
    <mergeCell ref="B1632:C1632"/>
    <mergeCell ref="A1633:C1633"/>
    <mergeCell ref="D1633:F1633"/>
    <mergeCell ref="A1634:A1635"/>
    <mergeCell ref="B1634:G1634"/>
    <mergeCell ref="B1635:C1635"/>
    <mergeCell ref="B1636:C1636"/>
    <mergeCell ref="B1637:C1637"/>
    <mergeCell ref="B1638:C1638"/>
    <mergeCell ref="A1639:C1639"/>
    <mergeCell ref="D1639:F1639"/>
    <mergeCell ref="A1640:A1641"/>
    <mergeCell ref="B1640:G1640"/>
    <mergeCell ref="B1641:C1641"/>
    <mergeCell ref="A1645:C1645"/>
    <mergeCell ref="D1645:F1645"/>
    <mergeCell ref="A1646:C1646"/>
    <mergeCell ref="D1646:F1646"/>
    <mergeCell ref="A1648:E1648"/>
    <mergeCell ref="A1649:E1651"/>
    <mergeCell ref="A1652:A1653"/>
    <mergeCell ref="B1652:G1652"/>
    <mergeCell ref="B1653:C1653"/>
    <mergeCell ref="B1654:C1654"/>
    <mergeCell ref="B1655:C1655"/>
    <mergeCell ref="A1656:C1656"/>
    <mergeCell ref="D1656:F1656"/>
    <mergeCell ref="A1657:A1658"/>
    <mergeCell ref="B1657:G1657"/>
    <mergeCell ref="B1658:C1658"/>
    <mergeCell ref="B1659:C1659"/>
    <mergeCell ref="B1660:C1660"/>
    <mergeCell ref="B1661:C1661"/>
    <mergeCell ref="A1662:C1662"/>
    <mergeCell ref="D1662:F1662"/>
    <mergeCell ref="A1663:A1664"/>
    <mergeCell ref="B1663:G1663"/>
    <mergeCell ref="B1664:C1664"/>
    <mergeCell ref="B1665:C1665"/>
    <mergeCell ref="B1666:C1666"/>
    <mergeCell ref="B1667:C1667"/>
    <mergeCell ref="A1668:C1668"/>
    <mergeCell ref="D1668:F1668"/>
    <mergeCell ref="A1669:A1670"/>
    <mergeCell ref="B1669:G1669"/>
    <mergeCell ref="B1670:C1670"/>
    <mergeCell ref="A1674:C1674"/>
    <mergeCell ref="D1674:F1674"/>
    <mergeCell ref="A1675:C1675"/>
    <mergeCell ref="D1675:F1675"/>
    <mergeCell ref="A1677:E1677"/>
    <mergeCell ref="A1678:E1680"/>
    <mergeCell ref="A1681:A1682"/>
    <mergeCell ref="B1681:G1681"/>
    <mergeCell ref="B1682:C1682"/>
    <mergeCell ref="B1683:C1683"/>
    <mergeCell ref="B1684:C1684"/>
    <mergeCell ref="A1685:C1685"/>
    <mergeCell ref="D1685:F1685"/>
    <mergeCell ref="A1686:A1687"/>
    <mergeCell ref="B1686:G1686"/>
    <mergeCell ref="B1687:C1687"/>
    <mergeCell ref="B1688:C1688"/>
    <mergeCell ref="B1689:C1689"/>
    <mergeCell ref="B1690:C1690"/>
    <mergeCell ref="A1691:C1691"/>
    <mergeCell ref="D1691:F1691"/>
    <mergeCell ref="A1692:A1693"/>
    <mergeCell ref="B1692:G1692"/>
    <mergeCell ref="B1693:C1693"/>
    <mergeCell ref="B1694:C1694"/>
    <mergeCell ref="B1695:C1695"/>
    <mergeCell ref="B1696:C1696"/>
    <mergeCell ref="A1697:C1697"/>
    <mergeCell ref="D1697:F1697"/>
    <mergeCell ref="A1698:A1699"/>
    <mergeCell ref="B1698:G1698"/>
    <mergeCell ref="B1699:C1699"/>
    <mergeCell ref="A1703:C1703"/>
    <mergeCell ref="D1703:F1703"/>
    <mergeCell ref="A1704:C1704"/>
    <mergeCell ref="D1704:F1704"/>
    <mergeCell ref="A1706:E1706"/>
    <mergeCell ref="A1707:E1709"/>
    <mergeCell ref="A1710:A1711"/>
    <mergeCell ref="B1710:G1710"/>
    <mergeCell ref="B1711:C1711"/>
    <mergeCell ref="B1712:C1712"/>
    <mergeCell ref="B1713:C1713"/>
    <mergeCell ref="A1714:C1714"/>
    <mergeCell ref="D1714:F1714"/>
    <mergeCell ref="A1715:A1716"/>
    <mergeCell ref="B1715:G1715"/>
    <mergeCell ref="B1716:C1716"/>
    <mergeCell ref="B1717:C1717"/>
    <mergeCell ref="B1718:C1718"/>
    <mergeCell ref="B1719:C1719"/>
    <mergeCell ref="A1720:C1720"/>
    <mergeCell ref="D1720:F1720"/>
    <mergeCell ref="A1721:A1722"/>
    <mergeCell ref="B1721:G1721"/>
    <mergeCell ref="B1722:C1722"/>
    <mergeCell ref="B1723:C1723"/>
    <mergeCell ref="B1724:C1724"/>
    <mergeCell ref="B1725:C1725"/>
    <mergeCell ref="A1726:C1726"/>
    <mergeCell ref="D1726:F1726"/>
    <mergeCell ref="A1727:A1728"/>
    <mergeCell ref="B1727:G1727"/>
    <mergeCell ref="B1728:C1728"/>
    <mergeCell ref="A1732:C1732"/>
    <mergeCell ref="D1732:F1732"/>
    <mergeCell ref="A1733:C1733"/>
    <mergeCell ref="D1733:F1733"/>
    <mergeCell ref="A1735:E1735"/>
    <mergeCell ref="A1736:E1738"/>
    <mergeCell ref="A1739:A1740"/>
    <mergeCell ref="B1739:G1739"/>
    <mergeCell ref="B1740:C1740"/>
    <mergeCell ref="B1741:C1741"/>
    <mergeCell ref="B1742:C1742"/>
    <mergeCell ref="A1743:C1743"/>
    <mergeCell ref="D1743:F1743"/>
    <mergeCell ref="A1744:A1745"/>
    <mergeCell ref="B1744:G1744"/>
    <mergeCell ref="B1745:C1745"/>
    <mergeCell ref="A1762:C1762"/>
    <mergeCell ref="D1762:F1762"/>
    <mergeCell ref="B1746:C1746"/>
    <mergeCell ref="B1747:C1747"/>
    <mergeCell ref="B1748:C1748"/>
    <mergeCell ref="A1749:C1749"/>
    <mergeCell ref="D1749:F1749"/>
    <mergeCell ref="A1750:A1751"/>
    <mergeCell ref="B1750:G1750"/>
    <mergeCell ref="B1751:C1751"/>
    <mergeCell ref="B1752:C1752"/>
    <mergeCell ref="B1753:C1753"/>
    <mergeCell ref="B1754:C1754"/>
    <mergeCell ref="A1755:C1755"/>
    <mergeCell ref="D1755:F1755"/>
    <mergeCell ref="A1756:A1757"/>
    <mergeCell ref="B1756:G1756"/>
    <mergeCell ref="B1757:C1757"/>
    <mergeCell ref="A1761:C1761"/>
    <mergeCell ref="D1761:F1761"/>
    <mergeCell ref="A1764:E1764"/>
    <mergeCell ref="A1765:E1767"/>
    <mergeCell ref="A1768:A1769"/>
    <mergeCell ref="B1768:G1768"/>
    <mergeCell ref="B1769:C1769"/>
    <mergeCell ref="B1770:C1770"/>
    <mergeCell ref="B1771:C1771"/>
    <mergeCell ref="B1772:C1772"/>
    <mergeCell ref="A1773:C1773"/>
    <mergeCell ref="D1773:F1773"/>
    <mergeCell ref="A1774:A1775"/>
    <mergeCell ref="B1774:G1774"/>
    <mergeCell ref="B1775:C1775"/>
    <mergeCell ref="B1776:C1776"/>
    <mergeCell ref="B1777:C1777"/>
    <mergeCell ref="B1778:C1778"/>
    <mergeCell ref="B1779:C1779"/>
    <mergeCell ref="A1792:E1792"/>
    <mergeCell ref="A1793:E1795"/>
    <mergeCell ref="A1796:A1797"/>
    <mergeCell ref="B1796:G1796"/>
    <mergeCell ref="B1797:C1797"/>
    <mergeCell ref="B1798:C1798"/>
    <mergeCell ref="B1799:C1799"/>
    <mergeCell ref="B1800:C1800"/>
    <mergeCell ref="A1801:C1801"/>
    <mergeCell ref="D1801:F1801"/>
    <mergeCell ref="A1802:A1803"/>
    <mergeCell ref="B1802:G1802"/>
    <mergeCell ref="B1803:C1803"/>
    <mergeCell ref="B1804:C1804"/>
    <mergeCell ref="B1780:C1780"/>
    <mergeCell ref="A1781:C1781"/>
    <mergeCell ref="D1781:F1781"/>
    <mergeCell ref="A1782:A1783"/>
    <mergeCell ref="B1782:G1782"/>
    <mergeCell ref="B1783:C1783"/>
    <mergeCell ref="B1784:C1784"/>
    <mergeCell ref="A1785:C1785"/>
    <mergeCell ref="D1785:F1785"/>
    <mergeCell ref="A1786:A1787"/>
    <mergeCell ref="B1786:G1786"/>
    <mergeCell ref="B1787:C1787"/>
    <mergeCell ref="B1788:C1788"/>
    <mergeCell ref="A1789:C1789"/>
    <mergeCell ref="D1789:F1789"/>
    <mergeCell ref="A1790:C1790"/>
    <mergeCell ref="D1790:F1790"/>
    <mergeCell ref="A1805:C1805"/>
    <mergeCell ref="D1805:F1805"/>
    <mergeCell ref="A1806:A1807"/>
    <mergeCell ref="B1806:G1806"/>
    <mergeCell ref="B1807:C1807"/>
    <mergeCell ref="B1808:C1808"/>
    <mergeCell ref="A1809:C1809"/>
    <mergeCell ref="D1809:F1809"/>
    <mergeCell ref="A1810:A1811"/>
    <mergeCell ref="B1810:G1810"/>
    <mergeCell ref="B1811:C1811"/>
    <mergeCell ref="B1812:C1812"/>
    <mergeCell ref="A1813:C1813"/>
    <mergeCell ref="D1813:F1813"/>
    <mergeCell ref="A1814:C1814"/>
    <mergeCell ref="D1814:F1814"/>
    <mergeCell ref="A1816:G1816"/>
    <mergeCell ref="A1817:E1817"/>
    <mergeCell ref="A1818:E1820"/>
    <mergeCell ref="A1821:A1822"/>
    <mergeCell ref="B1821:G1821"/>
    <mergeCell ref="B1822:C1822"/>
    <mergeCell ref="B1823:C1823"/>
    <mergeCell ref="B1824:C1824"/>
    <mergeCell ref="B1825:C1825"/>
    <mergeCell ref="A1826:C1826"/>
    <mergeCell ref="D1826:F1826"/>
    <mergeCell ref="A1827:A1828"/>
    <mergeCell ref="B1827:G1827"/>
    <mergeCell ref="B1828:C1828"/>
    <mergeCell ref="B1829:C1829"/>
    <mergeCell ref="B1830:C1830"/>
    <mergeCell ref="A1831:C1831"/>
    <mergeCell ref="D1831:F1831"/>
    <mergeCell ref="A1832:A1833"/>
    <mergeCell ref="B1832:G1832"/>
    <mergeCell ref="B1833:C1833"/>
    <mergeCell ref="B1834:C1834"/>
    <mergeCell ref="B1835:C1835"/>
    <mergeCell ref="B1836:C1836"/>
    <mergeCell ref="A1837:C1837"/>
    <mergeCell ref="D1837:F1837"/>
    <mergeCell ref="A1838:A1839"/>
    <mergeCell ref="B1838:G1838"/>
    <mergeCell ref="B1839:C1839"/>
    <mergeCell ref="B1840:C1840"/>
    <mergeCell ref="B1841:C1841"/>
    <mergeCell ref="A1842:C1842"/>
    <mergeCell ref="D1842:F1842"/>
    <mergeCell ref="A1843:C1843"/>
    <mergeCell ref="D1843:F1843"/>
    <mergeCell ref="A1845:E1845"/>
    <mergeCell ref="A1846:E1848"/>
    <mergeCell ref="A1849:A1850"/>
    <mergeCell ref="B1849:G1849"/>
    <mergeCell ref="B1850:C1850"/>
    <mergeCell ref="B1851:C1851"/>
    <mergeCell ref="A1852:C1852"/>
    <mergeCell ref="D1852:F1852"/>
    <mergeCell ref="A1853:A1854"/>
    <mergeCell ref="B1853:G1853"/>
    <mergeCell ref="B1854:C1854"/>
    <mergeCell ref="B1855:C1855"/>
    <mergeCell ref="A1856:C1856"/>
    <mergeCell ref="D1856:F1856"/>
    <mergeCell ref="A1857:A1858"/>
    <mergeCell ref="B1857:G1857"/>
    <mergeCell ref="B1858:C1858"/>
    <mergeCell ref="B1859:C1859"/>
    <mergeCell ref="A1860:C1860"/>
    <mergeCell ref="D1860:F1860"/>
    <mergeCell ref="A1861:A1862"/>
    <mergeCell ref="B1861:G1861"/>
    <mergeCell ref="B1862:C1862"/>
    <mergeCell ref="A1867:E1867"/>
    <mergeCell ref="A1868:E1870"/>
    <mergeCell ref="A1871:A1872"/>
    <mergeCell ref="B1871:G1871"/>
    <mergeCell ref="B1872:C1872"/>
    <mergeCell ref="B1873:C1873"/>
    <mergeCell ref="B1874:C1874"/>
    <mergeCell ref="B1875:C1875"/>
    <mergeCell ref="A1876:C1876"/>
    <mergeCell ref="D1876:F1876"/>
    <mergeCell ref="A1877:A1878"/>
    <mergeCell ref="B1877:G1877"/>
    <mergeCell ref="B1878:C1878"/>
    <mergeCell ref="B1863:C1863"/>
    <mergeCell ref="A1864:C1864"/>
    <mergeCell ref="D1864:F1864"/>
    <mergeCell ref="A1865:C1865"/>
    <mergeCell ref="D1865:F1865"/>
    <mergeCell ref="B1893:C1893"/>
    <mergeCell ref="A1894:C1894"/>
    <mergeCell ref="D1894:F1894"/>
    <mergeCell ref="A1895:C1895"/>
    <mergeCell ref="D1895:F1895"/>
    <mergeCell ref="B1879:C1879"/>
    <mergeCell ref="B1880:C1880"/>
    <mergeCell ref="B1881:C1881"/>
    <mergeCell ref="B1882:C1882"/>
    <mergeCell ref="B1883:C1883"/>
    <mergeCell ref="B1884:C1884"/>
    <mergeCell ref="B1885:C1885"/>
    <mergeCell ref="A1886:C1886"/>
    <mergeCell ref="D1886:F1886"/>
    <mergeCell ref="A1887:A1888"/>
    <mergeCell ref="B1887:G1887"/>
    <mergeCell ref="B1888:C1888"/>
    <mergeCell ref="B1889:C1889"/>
    <mergeCell ref="A1890:C1890"/>
    <mergeCell ref="D1890:F1890"/>
    <mergeCell ref="A1891:A1892"/>
    <mergeCell ref="B1891:G1891"/>
    <mergeCell ref="B1892:C1892"/>
    <mergeCell ref="B1909:C1909"/>
    <mergeCell ref="B1910:C1910"/>
    <mergeCell ref="A1911:C1911"/>
    <mergeCell ref="D1911:F1911"/>
    <mergeCell ref="A1912:A1913"/>
    <mergeCell ref="B1912:G1912"/>
    <mergeCell ref="B1913:C1913"/>
    <mergeCell ref="B1914:C1914"/>
    <mergeCell ref="B1915:C1915"/>
    <mergeCell ref="A1916:C1916"/>
    <mergeCell ref="D1916:F1916"/>
    <mergeCell ref="A1917:A1918"/>
    <mergeCell ref="B1917:G1917"/>
    <mergeCell ref="B1918:C1918"/>
    <mergeCell ref="A1921:C1921"/>
    <mergeCell ref="D1921:F1921"/>
    <mergeCell ref="A1897:E1897"/>
    <mergeCell ref="A1898:E1900"/>
    <mergeCell ref="A1901:A1902"/>
    <mergeCell ref="B1901:G1901"/>
    <mergeCell ref="B1902:C1902"/>
    <mergeCell ref="B1903:C1903"/>
    <mergeCell ref="B1904:C1904"/>
    <mergeCell ref="B1905:C1905"/>
    <mergeCell ref="A1906:C1906"/>
    <mergeCell ref="D1906:F1906"/>
    <mergeCell ref="A1907:A1908"/>
    <mergeCell ref="B1907:G1907"/>
    <mergeCell ref="B1908:C1908"/>
    <mergeCell ref="A1922:C1922"/>
    <mergeCell ref="D1922:F1922"/>
    <mergeCell ref="A1924:E1924"/>
    <mergeCell ref="A1925:E1927"/>
    <mergeCell ref="A1928:A1929"/>
    <mergeCell ref="B1928:G1928"/>
    <mergeCell ref="B1929:C1929"/>
    <mergeCell ref="B1930:C1930"/>
    <mergeCell ref="B1931:C1931"/>
    <mergeCell ref="B1932:C1932"/>
    <mergeCell ref="A1933:C1933"/>
    <mergeCell ref="D1933:F1933"/>
    <mergeCell ref="A1934:A1935"/>
    <mergeCell ref="B1934:G1934"/>
    <mergeCell ref="B1935:C1935"/>
    <mergeCell ref="B1936:C1936"/>
    <mergeCell ref="B1938:C1938"/>
    <mergeCell ref="A1939:C1939"/>
    <mergeCell ref="D1939:F1939"/>
    <mergeCell ref="A1940:A1941"/>
    <mergeCell ref="B1940:G1940"/>
    <mergeCell ref="B1941:C1941"/>
    <mergeCell ref="B1942:C1942"/>
    <mergeCell ref="B1943:C1943"/>
    <mergeCell ref="A1944:C1944"/>
    <mergeCell ref="D1944:F1944"/>
    <mergeCell ref="A1945:A1946"/>
    <mergeCell ref="B1945:G1945"/>
    <mergeCell ref="B1946:C1946"/>
    <mergeCell ref="A1949:C1949"/>
    <mergeCell ref="D1949:F1949"/>
    <mergeCell ref="A1950:C1950"/>
    <mergeCell ref="D1950:F1950"/>
    <mergeCell ref="A1952:E1952"/>
    <mergeCell ref="A1953:E1955"/>
    <mergeCell ref="A1956:A1957"/>
    <mergeCell ref="B1956:G1956"/>
    <mergeCell ref="B1957:C1957"/>
    <mergeCell ref="B1958:C1958"/>
    <mergeCell ref="B1959:C1959"/>
    <mergeCell ref="B1960:C1960"/>
    <mergeCell ref="A1961:C1961"/>
    <mergeCell ref="D1961:F1961"/>
    <mergeCell ref="A1962:A1963"/>
    <mergeCell ref="B1962:G1962"/>
    <mergeCell ref="B1963:C1963"/>
    <mergeCell ref="B1964:C1964"/>
    <mergeCell ref="B1965:C1965"/>
    <mergeCell ref="A1966:C1966"/>
    <mergeCell ref="D1966:F1966"/>
    <mergeCell ref="A1967:A1968"/>
    <mergeCell ref="B1967:G1967"/>
    <mergeCell ref="B1968:C1968"/>
    <mergeCell ref="B1969:C1969"/>
    <mergeCell ref="B1970:C1970"/>
    <mergeCell ref="A1971:C1971"/>
    <mergeCell ref="D1971:F1971"/>
    <mergeCell ref="A1972:A1973"/>
    <mergeCell ref="B1972:G1972"/>
    <mergeCell ref="B1973:C1973"/>
    <mergeCell ref="A1976:C1976"/>
    <mergeCell ref="D1976:F1976"/>
    <mergeCell ref="A1977:C1977"/>
    <mergeCell ref="D1977:F1977"/>
    <mergeCell ref="A1979:E1979"/>
    <mergeCell ref="A1980:E1982"/>
    <mergeCell ref="A1983:A1984"/>
    <mergeCell ref="B1983:G1983"/>
    <mergeCell ref="B1984:C1984"/>
    <mergeCell ref="B1985:C1985"/>
    <mergeCell ref="B710:C710"/>
    <mergeCell ref="B711:C711"/>
    <mergeCell ref="B708:C708"/>
    <mergeCell ref="B709:C709"/>
    <mergeCell ref="B1937:C1937"/>
    <mergeCell ref="A1999:C1999"/>
    <mergeCell ref="D1999:F1999"/>
    <mergeCell ref="A2000:A2001"/>
    <mergeCell ref="B2000:G2000"/>
    <mergeCell ref="B2001:C2001"/>
    <mergeCell ref="B2002:C2002"/>
    <mergeCell ref="A2003:C2003"/>
    <mergeCell ref="D2003:F2003"/>
    <mergeCell ref="A2004:C2004"/>
    <mergeCell ref="D2004:F2004"/>
    <mergeCell ref="B1986:C1986"/>
    <mergeCell ref="B1987:C1987"/>
    <mergeCell ref="A1988:C1988"/>
    <mergeCell ref="D1988:F1988"/>
    <mergeCell ref="A1989:A1990"/>
    <mergeCell ref="B1989:G1989"/>
    <mergeCell ref="B1990:C1990"/>
    <mergeCell ref="B1991:C1991"/>
    <mergeCell ref="B1992:C1992"/>
    <mergeCell ref="B1993:C1993"/>
    <mergeCell ref="A1994:C1994"/>
    <mergeCell ref="D1994:F1994"/>
    <mergeCell ref="A1995:A1996"/>
    <mergeCell ref="B1995:G1995"/>
    <mergeCell ref="B1996:C1996"/>
    <mergeCell ref="B1997:C1997"/>
    <mergeCell ref="B1998:C1998"/>
    <mergeCell ref="A898:E898"/>
    <mergeCell ref="A899:E901"/>
    <mergeCell ref="A902:A903"/>
    <mergeCell ref="B902:G902"/>
    <mergeCell ref="B903:C903"/>
    <mergeCell ref="B904:C904"/>
    <mergeCell ref="B905:C905"/>
    <mergeCell ref="A906:C906"/>
    <mergeCell ref="D906:F906"/>
    <mergeCell ref="A907:A908"/>
    <mergeCell ref="B907:G907"/>
    <mergeCell ref="B908:C908"/>
    <mergeCell ref="B909:C909"/>
    <mergeCell ref="B921:C921"/>
    <mergeCell ref="B922:C922"/>
    <mergeCell ref="A923:C923"/>
    <mergeCell ref="D923:F923"/>
    <mergeCell ref="B910:C910"/>
    <mergeCell ref="B911:C911"/>
    <mergeCell ref="B912:C912"/>
    <mergeCell ref="B913:C913"/>
    <mergeCell ref="B914:C914"/>
    <mergeCell ref="B915:C915"/>
    <mergeCell ref="B916:C916"/>
    <mergeCell ref="B918:C918"/>
    <mergeCell ref="B919:C919"/>
    <mergeCell ref="B920:C920"/>
    <mergeCell ref="B917:C917"/>
    <mergeCell ref="A924:A925"/>
    <mergeCell ref="B924:G924"/>
    <mergeCell ref="B925:C925"/>
    <mergeCell ref="B926:C926"/>
    <mergeCell ref="B927:C927"/>
    <mergeCell ref="B928:C928"/>
    <mergeCell ref="A929:C929"/>
    <mergeCell ref="D929:F929"/>
    <mergeCell ref="A930:A931"/>
    <mergeCell ref="B930:G930"/>
    <mergeCell ref="B931:C931"/>
    <mergeCell ref="A935:C935"/>
    <mergeCell ref="D935:F935"/>
    <mergeCell ref="A936:C936"/>
    <mergeCell ref="D936:F936"/>
    <mergeCell ref="A938:E938"/>
    <mergeCell ref="A939:E941"/>
    <mergeCell ref="A942:A943"/>
    <mergeCell ref="B942:G942"/>
    <mergeCell ref="B943:C943"/>
    <mergeCell ref="B944:C944"/>
    <mergeCell ref="B945:C945"/>
    <mergeCell ref="A946:C946"/>
    <mergeCell ref="D946:F946"/>
    <mergeCell ref="A947:A948"/>
    <mergeCell ref="B947:G947"/>
    <mergeCell ref="B948:C948"/>
    <mergeCell ref="B959:C959"/>
    <mergeCell ref="B960:C960"/>
    <mergeCell ref="A961:C961"/>
    <mergeCell ref="D961:F961"/>
    <mergeCell ref="A962:A963"/>
    <mergeCell ref="B962:G962"/>
    <mergeCell ref="B963:C963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8:C958"/>
    <mergeCell ref="B957:C957"/>
    <mergeCell ref="B964:C964"/>
    <mergeCell ref="B965:C965"/>
    <mergeCell ref="B966:C966"/>
    <mergeCell ref="A967:C967"/>
    <mergeCell ref="D967:F967"/>
    <mergeCell ref="A968:A969"/>
    <mergeCell ref="B968:G968"/>
    <mergeCell ref="B969:C969"/>
    <mergeCell ref="A973:C973"/>
    <mergeCell ref="D973:F973"/>
    <mergeCell ref="A974:C974"/>
    <mergeCell ref="D974:F974"/>
    <mergeCell ref="A976:E976"/>
    <mergeCell ref="A977:E979"/>
    <mergeCell ref="A980:A981"/>
    <mergeCell ref="B980:G980"/>
    <mergeCell ref="B981:C981"/>
    <mergeCell ref="B982:C982"/>
    <mergeCell ref="B983:C983"/>
    <mergeCell ref="A984:C984"/>
    <mergeCell ref="D984:F984"/>
    <mergeCell ref="A985:A986"/>
    <mergeCell ref="B985:G985"/>
    <mergeCell ref="B986:C986"/>
    <mergeCell ref="B997:C997"/>
    <mergeCell ref="B998:C998"/>
    <mergeCell ref="A999:C999"/>
    <mergeCell ref="D999:F999"/>
    <mergeCell ref="A1000:A1001"/>
    <mergeCell ref="B1000:G1000"/>
    <mergeCell ref="B1001:C1001"/>
    <mergeCell ref="B1002:C1002"/>
    <mergeCell ref="B1003:C1003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1004:C1004"/>
    <mergeCell ref="A1005:C1005"/>
    <mergeCell ref="D1005:F1005"/>
    <mergeCell ref="A1006:A1007"/>
    <mergeCell ref="B1006:G1006"/>
    <mergeCell ref="B1007:C1007"/>
    <mergeCell ref="A1011:C1011"/>
    <mergeCell ref="D1011:F1011"/>
    <mergeCell ref="A1012:C1012"/>
    <mergeCell ref="D1012:F1012"/>
    <mergeCell ref="A1014:E1014"/>
    <mergeCell ref="A1015:E1017"/>
    <mergeCell ref="A1018:A1019"/>
    <mergeCell ref="B1018:G1018"/>
    <mergeCell ref="B1019:C1019"/>
    <mergeCell ref="B1020:C1020"/>
    <mergeCell ref="B1021:C1021"/>
    <mergeCell ref="A1022:C1022"/>
    <mergeCell ref="D1022:F1022"/>
    <mergeCell ref="A1023:A1024"/>
    <mergeCell ref="B1023:G1023"/>
    <mergeCell ref="B1024:C1024"/>
    <mergeCell ref="B1025:C1025"/>
    <mergeCell ref="B1029:C1029"/>
    <mergeCell ref="B1030:C1030"/>
    <mergeCell ref="A1031:C1031"/>
    <mergeCell ref="D1031:F1031"/>
    <mergeCell ref="A1032:A1033"/>
    <mergeCell ref="B1032:G1032"/>
    <mergeCell ref="B1033:C1033"/>
    <mergeCell ref="B1034:C1034"/>
    <mergeCell ref="B1035:C1035"/>
    <mergeCell ref="B1036:C1036"/>
    <mergeCell ref="A1037:C1037"/>
    <mergeCell ref="D1037:F1037"/>
    <mergeCell ref="B1026:C1026"/>
    <mergeCell ref="B1027:C1027"/>
    <mergeCell ref="B1028:C1028"/>
    <mergeCell ref="A1038:A1039"/>
    <mergeCell ref="B1038:G1038"/>
    <mergeCell ref="B1039:C1039"/>
    <mergeCell ref="A1043:C1043"/>
    <mergeCell ref="D1043:F1043"/>
    <mergeCell ref="A1044:C1044"/>
    <mergeCell ref="D1044:F1044"/>
    <mergeCell ref="A1046:E1046"/>
    <mergeCell ref="A1047:E1049"/>
    <mergeCell ref="A1050:A1051"/>
    <mergeCell ref="B1050:G1050"/>
    <mergeCell ref="B1051:C1051"/>
    <mergeCell ref="B1052:C1052"/>
    <mergeCell ref="B1053:C1053"/>
    <mergeCell ref="A1054:C1054"/>
    <mergeCell ref="D1054:F1054"/>
    <mergeCell ref="A1055:A1056"/>
    <mergeCell ref="B1055:G1055"/>
    <mergeCell ref="B1056:C1056"/>
    <mergeCell ref="B1057:C1057"/>
    <mergeCell ref="B1060:C1060"/>
    <mergeCell ref="A1061:C1061"/>
    <mergeCell ref="D1061:F1061"/>
    <mergeCell ref="A1062:A1063"/>
    <mergeCell ref="B1062:G1062"/>
    <mergeCell ref="B1063:C1063"/>
    <mergeCell ref="B1064:C1064"/>
    <mergeCell ref="B1065:C1065"/>
    <mergeCell ref="B1066:C1066"/>
    <mergeCell ref="A1067:C1067"/>
    <mergeCell ref="D1067:F1067"/>
    <mergeCell ref="A1068:A1069"/>
    <mergeCell ref="B1068:G1068"/>
    <mergeCell ref="B1069:C1069"/>
    <mergeCell ref="A1073:C1073"/>
    <mergeCell ref="D1073:F1073"/>
    <mergeCell ref="B1058:C1058"/>
    <mergeCell ref="B1059:C1059"/>
    <mergeCell ref="A1074:C1074"/>
    <mergeCell ref="D1074:F1074"/>
    <mergeCell ref="A1076:E1076"/>
    <mergeCell ref="A1077:E1079"/>
    <mergeCell ref="A1080:A1081"/>
    <mergeCell ref="B1080:G1080"/>
    <mergeCell ref="B1081:C1081"/>
    <mergeCell ref="B1082:C1082"/>
    <mergeCell ref="B1083:C1083"/>
    <mergeCell ref="A1084:C1084"/>
    <mergeCell ref="D1084:F1084"/>
    <mergeCell ref="A1085:A1086"/>
    <mergeCell ref="B1085:G1085"/>
    <mergeCell ref="B1086:C1086"/>
    <mergeCell ref="B1087:C1087"/>
    <mergeCell ref="B1094:C1094"/>
    <mergeCell ref="B1095:C1095"/>
    <mergeCell ref="B1088:C1088"/>
    <mergeCell ref="B1089:C1089"/>
    <mergeCell ref="B1090:C1090"/>
    <mergeCell ref="B1091:C1091"/>
    <mergeCell ref="B1092:C1092"/>
    <mergeCell ref="B1093:C1093"/>
    <mergeCell ref="A1096:C1096"/>
    <mergeCell ref="D1096:F1096"/>
    <mergeCell ref="A1097:A1098"/>
    <mergeCell ref="B1097:G1097"/>
    <mergeCell ref="B1098:C1098"/>
    <mergeCell ref="B1099:C1099"/>
    <mergeCell ref="B1100:C1100"/>
    <mergeCell ref="B1101:C1101"/>
    <mergeCell ref="A1102:C1102"/>
    <mergeCell ref="D1102:F1102"/>
    <mergeCell ref="A1103:A1104"/>
    <mergeCell ref="B1103:G1103"/>
    <mergeCell ref="B1104:C1104"/>
    <mergeCell ref="A1108:C1108"/>
    <mergeCell ref="D1108:F1108"/>
    <mergeCell ref="A1109:C1109"/>
    <mergeCell ref="D1109:F1109"/>
    <mergeCell ref="A1111:E1111"/>
    <mergeCell ref="A1112:E1114"/>
    <mergeCell ref="A1115:A1116"/>
    <mergeCell ref="B1115:G1115"/>
    <mergeCell ref="B1116:C1116"/>
    <mergeCell ref="B1117:C1117"/>
    <mergeCell ref="B1118:C1118"/>
    <mergeCell ref="A1119:C1119"/>
    <mergeCell ref="D1119:F1119"/>
    <mergeCell ref="A1120:A1121"/>
    <mergeCell ref="B1120:G1120"/>
    <mergeCell ref="B1121:C1121"/>
    <mergeCell ref="B1122:C1122"/>
    <mergeCell ref="B1123:C1123"/>
    <mergeCell ref="B1124:C1124"/>
    <mergeCell ref="B1125:C1125"/>
    <mergeCell ref="B1126:C1126"/>
    <mergeCell ref="A1141:A1142"/>
    <mergeCell ref="B1141:G1141"/>
    <mergeCell ref="B1142:C1142"/>
    <mergeCell ref="A1146:C1146"/>
    <mergeCell ref="D1146:F1146"/>
    <mergeCell ref="A1147:C1147"/>
    <mergeCell ref="D1147:F1147"/>
    <mergeCell ref="B1127:C1127"/>
    <mergeCell ref="B1128:C1128"/>
    <mergeCell ref="B1129:C1129"/>
    <mergeCell ref="B1130:C1130"/>
    <mergeCell ref="B1131:C1131"/>
    <mergeCell ref="B1132:C1132"/>
    <mergeCell ref="B1133:C1133"/>
    <mergeCell ref="A1134:C1134"/>
    <mergeCell ref="D1134:F1134"/>
    <mergeCell ref="A1135:A1136"/>
    <mergeCell ref="B1135:G1135"/>
    <mergeCell ref="B1136:C1136"/>
    <mergeCell ref="B1137:C1137"/>
    <mergeCell ref="B1138:C1138"/>
    <mergeCell ref="B1139:C1139"/>
    <mergeCell ref="A1140:C1140"/>
    <mergeCell ref="D1140:F1140"/>
  </mergeCells>
  <phoneticPr fontId="10" type="noConversion"/>
  <hyperlinks>
    <hyperlink ref="G6" location="Presupuesto!B10" display="Presupuesto!B10" xr:uid="{3792B43E-BDBF-4E8C-A0DE-BA35ABD9361C}"/>
    <hyperlink ref="G39" location="Presupuesto!B10" display="Presupuesto!B10" xr:uid="{5D7950AA-B08F-49FF-BCA2-AF26BB7631CF}"/>
    <hyperlink ref="G118" location="Presupuesto!B10" display="Presupuesto!B10" xr:uid="{12108243-F21C-4A17-97AD-EFB851C09FEB}"/>
    <hyperlink ref="G144" location="Presupuesto!B10" display="Presupuesto!B10" xr:uid="{B6F6ADA8-045F-40C3-8452-C0D0D497AB5B}"/>
    <hyperlink ref="G171" location="Presupuesto!B10" display="Presupuesto!B10" xr:uid="{E3DF4811-037F-4025-A7C1-AB168728620D}"/>
    <hyperlink ref="G199" location="Presupuesto!B10" display="Presupuesto!B10" xr:uid="{6A28CEFB-C608-4126-99D4-E5314237B4A3}"/>
    <hyperlink ref="G230" location="Presupuesto!B10" display="Presupuesto!B10" xr:uid="{F9F6526E-1762-4CEF-8C37-57B93F7AE880}"/>
    <hyperlink ref="G260" location="Presupuesto!B10" display="Presupuesto!B10" xr:uid="{BC926209-B90F-4AD0-B286-CC503E72EEFC}"/>
    <hyperlink ref="G286" location="Presupuesto!B10" display="Presupuesto!B10" xr:uid="{9822E390-F992-4121-B4EF-4A22DB219C9C}"/>
    <hyperlink ref="G313" location="Presupuesto!B10" display="Presupuesto!B10" xr:uid="{DC0D5A49-9607-45AA-AD15-7E0779DE50CB}"/>
    <hyperlink ref="G341" location="Presupuesto!B10" display="Presupuesto!B10" xr:uid="{2507298A-8330-4C1F-8337-40889F0F6121}"/>
    <hyperlink ref="G370" location="Presupuesto!B10" display="Presupuesto!B10" xr:uid="{E5E6A486-E70F-4C78-913E-13E2B59C12D1}"/>
    <hyperlink ref="G448" location="Presupuesto!B10" display="Presupuesto!B10" xr:uid="{C085EB5E-AA94-41A7-A84E-893174B6BD12}"/>
    <hyperlink ref="G489" location="Presupuesto!B10" display="Presupuesto!B10" xr:uid="{FCECECE3-7520-4842-A107-19F64E26741E}"/>
    <hyperlink ref="G610" location="Presupuesto!B10" display="Presupuesto!B10" xr:uid="{AB8E6F1D-F983-4E2F-ACC8-850984D5B091}"/>
    <hyperlink ref="G92" location="Presupuesto!B10" display="Presupuesto!B10" xr:uid="{BA29D4B2-447A-43BB-AD69-7F2F5AE36A76}"/>
    <hyperlink ref="G66" location="Presupuesto!B10" display="Presupuesto!B10" xr:uid="{DCCFB9A6-6F13-49E8-A819-13324B129111}"/>
    <hyperlink ref="G395" location="Presupuesto!B10" display="Presupuesto!B10" xr:uid="{8B3BAC94-2BC8-4768-96A3-08F854E9E974}"/>
    <hyperlink ref="G420" location="Presupuesto!B10" display="Presupuesto!B10" xr:uid="{7DC33035-B388-4DD3-B424-D65AA978ADD0}"/>
    <hyperlink ref="G639" location="Presupuesto!B10" display="Presupuesto!B10" xr:uid="{4E39FAD2-E59A-4868-99D5-5C7CBF98C53D}"/>
    <hyperlink ref="G518" location="Presupuesto!B10" display="Presupuesto!B10" xr:uid="{5BB44928-B7A2-4BF7-B8E8-8CCB7D6F2354}"/>
    <hyperlink ref="G669" location="Presupuesto!B10" display="Presupuesto!B10" xr:uid="{9DF587F1-1CC5-488D-A998-47F5D2D4220D}"/>
    <hyperlink ref="G553" location="Presupuesto!B10" display="Presupuesto!B10" xr:uid="{19D6D605-6C27-4360-87F2-5A1696536B38}"/>
    <hyperlink ref="G575" location="Presupuesto!B10" display="Presupuesto!B10" xr:uid="{A7D51247-8B2E-49B8-9634-08002C887B7F}"/>
    <hyperlink ref="G696" location="Presupuesto!B10" display="Presupuesto!B10" xr:uid="{E784550E-645D-4F88-B867-AA13CA1152EA}"/>
    <hyperlink ref="G728" location="Presupuesto!B10" display="Presupuesto!B10" xr:uid="{A4146A47-BD55-42D6-8AFA-F004E6F7BE03}"/>
    <hyperlink ref="G755" location="Presupuesto!B10" display="Presupuesto!B10" xr:uid="{C5946FFC-D513-40D1-A34D-F9CE9FF7AF06}"/>
    <hyperlink ref="G785" location="Presupuesto!B10" display="Presupuesto!B10" xr:uid="{4602AF66-2243-4698-8201-FDF950B861C4}"/>
    <hyperlink ref="G814" location="Presupuesto!B10" display="Presupuesto!B10" xr:uid="{8510F926-9460-4B3F-8945-1D367D9E7A7C}"/>
    <hyperlink ref="G843" location="Presupuesto!B10" display="Presupuesto!B10" xr:uid="{4FE5CAFA-774E-43C5-903E-834C419501FB}"/>
    <hyperlink ref="G872" location="Presupuesto!B10" display="Presupuesto!B10" xr:uid="{3267EC52-F156-44BC-A673-F74323B54B72}"/>
    <hyperlink ref="G1152" location="Presupuesto!B10" display="Presupuesto!B10" xr:uid="{0C9C9A67-634C-455B-A92E-34D2F59F900F}"/>
    <hyperlink ref="G1179" location="Presupuesto!B10" display="Presupuesto!B10" xr:uid="{E09D5A3C-3767-4C7A-A70A-B4B8CE7C76D3}"/>
    <hyperlink ref="G1202" location="Presupuesto!B10" display="Presupuesto!B10" xr:uid="{9607508F-40C9-492C-AD61-51FDF2389EFD}"/>
    <hyperlink ref="G1229" location="Presupuesto!B10" display="Presupuesto!B10" xr:uid="{646E1E18-D059-4966-BEE2-3CCA250A8E65}"/>
    <hyperlink ref="G1258" location="Presupuesto!B10" display="Presupuesto!B10" xr:uid="{FD5CE671-37CA-4AD5-AFE2-888F90F0BC9B}"/>
    <hyperlink ref="G1285" location="Presupuesto!B10" display="Presupuesto!B10" xr:uid="{1F5B9DE7-5F9B-4C95-B21A-A6997F351405}"/>
    <hyperlink ref="G1311" location="Presupuesto!B10" display="Presupuesto!B10" xr:uid="{D77B3C16-17C8-48C9-9726-28127FD50610}"/>
    <hyperlink ref="G1340" location="Presupuesto!B10" display="Presupuesto!B10" xr:uid="{322838F5-9445-4AEE-9DFD-9B8F773E6B64}"/>
    <hyperlink ref="G1368" location="Presupuesto!B10" display="Presupuesto!B10" xr:uid="{0D7E838B-21D4-4A08-86E9-C7DF46B8C755}"/>
    <hyperlink ref="G1396" location="Presupuesto!B10" display="Presupuesto!B10" xr:uid="{64445A8E-1CE3-475B-BC6B-8953312C0010}"/>
    <hyperlink ref="G1424" location="Presupuesto!B10" display="Presupuesto!B10" xr:uid="{F2A79BE5-C68B-4DAE-B36B-321C9E417587}"/>
    <hyperlink ref="G1452" location="Presupuesto!B10" display="Presupuesto!B10" xr:uid="{28C4EEB6-3F83-4CC1-8BD2-9D52EC263660}"/>
    <hyperlink ref="G1480" location="Presupuesto!B10" display="Presupuesto!B10" xr:uid="{6F1CB1C2-8974-461B-9E1F-06B0A4F6C196}"/>
    <hyperlink ref="G1738" location="Presupuesto!B10" display="Presupuesto!B10" xr:uid="{67DEEF5A-CFC0-47E4-9FF2-9DDFEBFBE207}"/>
    <hyperlink ref="G1767" location="Presupuesto!B10" display="Presupuesto!B10" xr:uid="{EC308666-9518-435B-A883-0A810ABFCCEC}"/>
    <hyperlink ref="G1795" location="Presupuesto!B10" display="Presupuesto!B10" xr:uid="{0345F5C8-FC18-4F57-A1F3-7B5C8170DBF4}"/>
    <hyperlink ref="G1820" location="Presupuesto!B10" display="Presupuesto!B10" xr:uid="{D2405BA8-194B-478F-A20C-7FEB4ED61D4B}"/>
    <hyperlink ref="G1848" location="Presupuesto!B10" display="Presupuesto!B10" xr:uid="{B554D9B9-84A5-4BB4-A328-A403726941EF}"/>
    <hyperlink ref="G1870" location="Presupuesto!B10" display="Presupuesto!B10" xr:uid="{F2E503BB-8FD6-470E-BB6E-BE8B361094B9}"/>
    <hyperlink ref="G1900" location="Presupuesto!B10" display="Presupuesto!B10" xr:uid="{2C999454-0C88-4DDF-952B-22D9F297EDB2}"/>
    <hyperlink ref="G1927" location="Presupuesto!B10" display="Presupuesto!B10" xr:uid="{3AF63C14-2BBF-4156-9E36-D2255AB7AFD7}"/>
    <hyperlink ref="G1955" location="Presupuesto!B10" display="Presupuesto!B10" xr:uid="{210D5F44-182F-4F1A-81CF-D3021F61CF8F}"/>
    <hyperlink ref="G1982" location="Presupuesto!B10" display="Presupuesto!B10" xr:uid="{EB54EBBF-E392-49BA-95A8-A5688E8CB33E}"/>
    <hyperlink ref="G1514" location="Presupuesto!B10" display="Presupuesto!B10" xr:uid="{56F88DD7-3A66-4F79-84D8-E62BB99F21A4}"/>
    <hyperlink ref="G1539" location="Presupuesto!B10" display="Presupuesto!B10" xr:uid="{BA725A0C-9F76-4836-958A-9A99ADB23674}"/>
    <hyperlink ref="G1564" location="Presupuesto!B10" display="Presupuesto!B10" xr:uid="{6E45AF1F-2F52-43F8-956B-33EFF1AC4791}"/>
    <hyperlink ref="G1593" location="Presupuesto!B10" display="Presupuesto!B10" xr:uid="{1DBB9377-44D2-40BF-BA56-EB6767B8DE50}"/>
    <hyperlink ref="G1622" location="Presupuesto!B10" display="Presupuesto!B10" xr:uid="{5ABA0813-2AFF-4EB7-AE86-1415F30AD9FE}"/>
    <hyperlink ref="G1651" location="Presupuesto!B10" display="Presupuesto!B10" xr:uid="{EFB040A1-A105-43C0-A3C5-2BEBD3049178}"/>
    <hyperlink ref="G1680" location="Presupuesto!B10" display="Presupuesto!B10" xr:uid="{042B8CAF-966C-482A-97B0-5C80007971CC}"/>
    <hyperlink ref="G1709" location="Presupuesto!B10" display="Presupuesto!B10" xr:uid="{2D11F4FE-C673-438B-A790-7E52D63F3880}"/>
    <hyperlink ref="G901" location="Presupuesto!B10" display="Presupuesto!B10" xr:uid="{ACC3D04E-17D6-4310-8761-E16B24FF918F}"/>
    <hyperlink ref="G941" location="Presupuesto!B10" display="Presupuesto!B10" xr:uid="{8491EE10-CA91-4461-87E4-B5020E17BE0B}"/>
    <hyperlink ref="G979" location="Presupuesto!B10" display="Presupuesto!B10" xr:uid="{9C57250F-4D47-4E6A-AA91-D1876C834200}"/>
    <hyperlink ref="G1017" location="Presupuesto!B10" display="Presupuesto!B10" xr:uid="{A99D12D8-EA13-4D4D-B207-021E5B26CF2B}"/>
    <hyperlink ref="G1049" location="Presupuesto!B10" display="Presupuesto!B10" xr:uid="{6D47A556-FC1C-4A89-9222-62E172E9DDE9}"/>
    <hyperlink ref="G1079" location="Presupuesto!B10" display="Presupuesto!B10" xr:uid="{EA53A700-3D04-40E5-92BD-4066CF81CAEA}"/>
    <hyperlink ref="G1114" location="Presupuesto!B10" display="Presupuesto!B10" xr:uid="{7A7AB204-8224-4770-98E2-4827426AEA73}"/>
  </hyperlinks>
  <printOptions vertic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>
    <oddFooter>&amp;L&amp;"Swis721 LtCn BT,Light"&amp;F
&amp;A&amp;C&amp;"Swis721 LtCn BT,Light"&amp;Pde&amp;N&amp;R&amp;"Swis721 LtCn BT,Light"Presupuesto Obra Civil:
Elaborado por : James Andres Marin Rojas</oddFooter>
  </headerFooter>
  <rowBreaks count="68" manualBreakCount="68">
    <brk id="34" max="16383" man="1"/>
    <brk id="61" max="16383" man="1"/>
    <brk id="87" max="16383" man="1"/>
    <brk id="113" max="16383" man="1"/>
    <brk id="139" max="16383" man="1"/>
    <brk id="165" max="16383" man="1"/>
    <brk id="193" max="16383" man="1"/>
    <brk id="224" max="16383" man="1"/>
    <brk id="254" max="16383" man="1"/>
    <brk id="280" max="16383" man="1"/>
    <brk id="307" max="16383" man="1"/>
    <brk id="335" max="16383" man="1"/>
    <brk id="364" max="16383" man="1"/>
    <brk id="389" max="16383" man="1"/>
    <brk id="414" max="16383" man="1"/>
    <brk id="442" max="16383" man="1"/>
    <brk id="483" max="16383" man="1"/>
    <brk id="512" max="16383" man="1"/>
    <brk id="548" max="16383" man="1"/>
    <brk id="570" max="16383" man="1"/>
    <brk id="604" max="16383" man="1"/>
    <brk id="633" max="16383" man="1"/>
    <brk id="664" max="16383" man="1"/>
    <brk id="690" max="16383" man="1"/>
    <brk id="723" max="16383" man="1"/>
    <brk id="749" max="16383" man="1"/>
    <brk id="779" max="16383" man="1"/>
    <brk id="809" max="16383" man="1"/>
    <brk id="838" max="16383" man="1"/>
    <brk id="867" max="16383" man="1"/>
    <brk id="896" max="16383" man="1"/>
    <brk id="936" max="16383" man="1"/>
    <brk id="974" max="16383" man="1"/>
    <brk id="1012" max="16383" man="1"/>
    <brk id="1044" max="16383" man="1"/>
    <brk id="1074" max="16383" man="1"/>
    <brk id="1109" max="16383" man="1"/>
    <brk id="1147" max="16383" man="1"/>
    <brk id="1173" max="16383" man="1"/>
    <brk id="1197" max="16383" man="1"/>
    <brk id="1224" max="16383" man="1"/>
    <brk id="1253" max="16383" man="1"/>
    <brk id="1279" max="16383" man="1"/>
    <brk id="1305" max="16383" man="1"/>
    <brk id="1334" max="16383" man="1"/>
    <brk id="1362" max="16383" man="1"/>
    <brk id="1390" max="16383" man="1"/>
    <brk id="1418" max="16383" man="1"/>
    <brk id="1446" max="16383" man="1"/>
    <brk id="1475" max="16383" man="1"/>
    <brk id="1509" max="16383" man="1"/>
    <brk id="1534" max="16383" man="1"/>
    <brk id="1559" max="16383" man="1"/>
    <brk id="1588" max="16383" man="1"/>
    <brk id="1617" max="16383" man="1"/>
    <brk id="1646" max="16383" man="1"/>
    <brk id="1675" max="16383" man="1"/>
    <brk id="1704" max="16383" man="1"/>
    <brk id="1733" max="16383" man="1"/>
    <brk id="1762" max="16383" man="1"/>
    <brk id="1790" max="16383" man="1"/>
    <brk id="1814" max="16383" man="1"/>
    <brk id="1843" max="16383" man="1"/>
    <brk id="1865" max="16383" man="1"/>
    <brk id="1895" max="16383" man="1"/>
    <brk id="1922" max="16383" man="1"/>
    <brk id="1950" max="16383" man="1"/>
    <brk id="1977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C2FF-AD82-4A70-A0EC-5196BE4CA061}">
  <dimension ref="A1:G47"/>
  <sheetViews>
    <sheetView workbookViewId="0">
      <selection activeCell="C26" sqref="C26"/>
    </sheetView>
  </sheetViews>
  <sheetFormatPr baseColWidth="10" defaultColWidth="11.5703125" defaultRowHeight="15"/>
  <cols>
    <col min="1" max="1" width="11.5703125" style="269"/>
    <col min="2" max="2" width="75.28515625" style="269" customWidth="1"/>
    <col min="3" max="3" width="9.28515625" style="269" bestFit="1" customWidth="1"/>
    <col min="4" max="4" width="15.7109375" style="269" bestFit="1" customWidth="1"/>
    <col min="5" max="5" width="17.28515625" style="270" bestFit="1" customWidth="1"/>
    <col min="6" max="16384" width="11.5703125" style="269"/>
  </cols>
  <sheetData>
    <row r="1" spans="1:5" ht="24.6" customHeight="1" thickBot="1">
      <c r="A1" s="1144" t="s">
        <v>608</v>
      </c>
      <c r="B1" s="1145"/>
      <c r="C1" s="1145"/>
      <c r="D1" s="1145"/>
      <c r="E1" s="1145"/>
    </row>
    <row r="2" spans="1:5">
      <c r="A2" s="407"/>
      <c r="B2" s="408"/>
      <c r="C2" s="409"/>
      <c r="D2" s="408"/>
      <c r="E2" s="410"/>
    </row>
    <row r="3" spans="1:5" ht="30">
      <c r="A3" s="722" t="s">
        <v>609</v>
      </c>
      <c r="B3" s="722" t="s">
        <v>610</v>
      </c>
      <c r="C3" s="722" t="s">
        <v>3</v>
      </c>
      <c r="D3" s="723" t="s">
        <v>611</v>
      </c>
      <c r="E3" s="724" t="s">
        <v>612</v>
      </c>
    </row>
    <row r="4" spans="1:5">
      <c r="A4" s="718">
        <v>1</v>
      </c>
      <c r="B4" s="719" t="s">
        <v>613</v>
      </c>
      <c r="C4" s="718" t="s">
        <v>430</v>
      </c>
      <c r="D4" s="720">
        <f>3520000*1.58</f>
        <v>5561600</v>
      </c>
      <c r="E4" s="720">
        <f>+D4/30</f>
        <v>185386.66666666666</v>
      </c>
    </row>
    <row r="5" spans="1:5">
      <c r="A5" s="718">
        <v>2</v>
      </c>
      <c r="B5" s="719" t="s">
        <v>448</v>
      </c>
      <c r="C5" s="718" t="s">
        <v>430</v>
      </c>
      <c r="D5" s="720">
        <f>+('Tabla Salarial '!$C$5+'Tabla Salarial '!$C$6)*'Tabla Salarial '!$C$7</f>
        <v>3165692</v>
      </c>
      <c r="E5" s="720">
        <f>+D5/30</f>
        <v>105523.06666666667</v>
      </c>
    </row>
    <row r="6" spans="1:5">
      <c r="A6" s="718">
        <v>3</v>
      </c>
      <c r="B6" s="719" t="s">
        <v>614</v>
      </c>
      <c r="C6" s="718" t="s">
        <v>615</v>
      </c>
      <c r="D6" s="720">
        <v>15300000</v>
      </c>
      <c r="E6" s="720">
        <f t="shared" ref="E6:E7" si="0">+D6/30</f>
        <v>510000</v>
      </c>
    </row>
    <row r="7" spans="1:5">
      <c r="A7" s="718">
        <v>4</v>
      </c>
      <c r="B7" s="719" t="s">
        <v>616</v>
      </c>
      <c r="C7" s="718" t="s">
        <v>615</v>
      </c>
      <c r="D7" s="720">
        <f>5500000*1.58</f>
        <v>8690000</v>
      </c>
      <c r="E7" s="720">
        <f t="shared" si="0"/>
        <v>289666.66666666669</v>
      </c>
    </row>
    <row r="8" spans="1:5">
      <c r="A8" s="718">
        <v>5</v>
      </c>
      <c r="B8" s="719" t="s">
        <v>437</v>
      </c>
      <c r="C8" s="718" t="s">
        <v>430</v>
      </c>
      <c r="D8" s="720"/>
      <c r="E8" s="720">
        <f>+E4+2*E5</f>
        <v>396432.8</v>
      </c>
    </row>
    <row r="9" spans="1:5">
      <c r="A9" s="718">
        <v>6</v>
      </c>
      <c r="B9" s="719" t="s">
        <v>617</v>
      </c>
      <c r="C9" s="718" t="s">
        <v>430</v>
      </c>
      <c r="D9" s="720">
        <f>+('Tabla Salarial '!$C$5+'Tabla Salarial '!$C$6)*'Tabla Salarial '!$C$7</f>
        <v>3165692</v>
      </c>
      <c r="E9" s="720">
        <f>+D9/30</f>
        <v>105523.06666666667</v>
      </c>
    </row>
    <row r="10" spans="1:5">
      <c r="A10" s="718">
        <f>A9+1</f>
        <v>7</v>
      </c>
      <c r="B10" s="719" t="s">
        <v>618</v>
      </c>
      <c r="C10" s="718" t="s">
        <v>430</v>
      </c>
      <c r="D10" s="720"/>
      <c r="E10" s="720">
        <f>+E5*3</f>
        <v>316569.2</v>
      </c>
    </row>
    <row r="11" spans="1:5">
      <c r="A11" s="718">
        <f t="shared" ref="A11:A47" si="1">A10+1</f>
        <v>8</v>
      </c>
      <c r="B11" s="719" t="s">
        <v>466</v>
      </c>
      <c r="C11" s="718" t="s">
        <v>430</v>
      </c>
      <c r="D11" s="720"/>
      <c r="E11" s="720">
        <f>+E4+E5</f>
        <v>290909.73333333334</v>
      </c>
    </row>
    <row r="12" spans="1:5">
      <c r="A12" s="718">
        <f t="shared" si="1"/>
        <v>9</v>
      </c>
      <c r="B12" s="719" t="s">
        <v>619</v>
      </c>
      <c r="C12" s="718" t="s">
        <v>430</v>
      </c>
      <c r="D12" s="720">
        <f>2200000*1.58</f>
        <v>3476000</v>
      </c>
      <c r="E12" s="720">
        <f>+D12/30</f>
        <v>115866.66666666667</v>
      </c>
    </row>
    <row r="13" spans="1:5">
      <c r="A13" s="718">
        <f t="shared" si="1"/>
        <v>10</v>
      </c>
      <c r="B13" s="719" t="s">
        <v>620</v>
      </c>
      <c r="C13" s="718" t="s">
        <v>430</v>
      </c>
      <c r="D13" s="720"/>
      <c r="E13" s="720">
        <f>+E4+E5+E12</f>
        <v>406776.4</v>
      </c>
    </row>
    <row r="14" spans="1:5" ht="30">
      <c r="A14" s="718">
        <f t="shared" si="1"/>
        <v>11</v>
      </c>
      <c r="B14" s="719" t="s">
        <v>621</v>
      </c>
      <c r="C14" s="718" t="s">
        <v>430</v>
      </c>
      <c r="D14" s="720"/>
      <c r="E14" s="720">
        <f>+E15+2*E16+E17+6*E5</f>
        <v>1197914.8</v>
      </c>
    </row>
    <row r="15" spans="1:5">
      <c r="A15" s="718">
        <f t="shared" si="1"/>
        <v>12</v>
      </c>
      <c r="B15" s="719" t="s">
        <v>622</v>
      </c>
      <c r="C15" s="718" t="s">
        <v>430</v>
      </c>
      <c r="D15" s="720">
        <f>3520000*1.58</f>
        <v>5561600</v>
      </c>
      <c r="E15" s="720">
        <f>+D15/30</f>
        <v>185386.66666666666</v>
      </c>
    </row>
    <row r="16" spans="1:5">
      <c r="A16" s="718">
        <f t="shared" si="1"/>
        <v>13</v>
      </c>
      <c r="B16" s="719" t="s">
        <v>623</v>
      </c>
      <c r="C16" s="718" t="s">
        <v>430</v>
      </c>
      <c r="D16" s="720">
        <f>2600000*1.58</f>
        <v>4108000</v>
      </c>
      <c r="E16" s="720">
        <f>+D16/30</f>
        <v>136933.33333333334</v>
      </c>
    </row>
    <row r="17" spans="1:7">
      <c r="A17" s="718">
        <f t="shared" si="1"/>
        <v>14</v>
      </c>
      <c r="B17" s="719" t="s">
        <v>624</v>
      </c>
      <c r="C17" s="718" t="s">
        <v>430</v>
      </c>
      <c r="D17" s="720">
        <f>+('Tabla Salarial '!$C$5+'Tabla Salarial '!$C$6)*'Tabla Salarial '!$C$7</f>
        <v>3165692</v>
      </c>
      <c r="E17" s="720">
        <f>+D17/30</f>
        <v>105523.06666666667</v>
      </c>
    </row>
    <row r="18" spans="1:7">
      <c r="A18" s="718">
        <f t="shared" si="1"/>
        <v>15</v>
      </c>
      <c r="B18" s="719" t="s">
        <v>625</v>
      </c>
      <c r="C18" s="718" t="s">
        <v>430</v>
      </c>
      <c r="D18" s="720"/>
      <c r="E18" s="720">
        <f>+E19+2*E5</f>
        <v>396432.8</v>
      </c>
    </row>
    <row r="19" spans="1:7">
      <c r="A19" s="718">
        <f t="shared" si="1"/>
        <v>16</v>
      </c>
      <c r="B19" s="719" t="s">
        <v>626</v>
      </c>
      <c r="C19" s="718" t="s">
        <v>430</v>
      </c>
      <c r="D19" s="720">
        <f>3520000*1.58</f>
        <v>5561600</v>
      </c>
      <c r="E19" s="720">
        <f>+D19/30</f>
        <v>185386.66666666666</v>
      </c>
      <c r="G19" s="269">
        <f>3200000*1.1</f>
        <v>3520000.0000000005</v>
      </c>
    </row>
    <row r="20" spans="1:7">
      <c r="A20" s="718">
        <f t="shared" si="1"/>
        <v>17</v>
      </c>
      <c r="B20" s="719" t="s">
        <v>421</v>
      </c>
      <c r="C20" s="718" t="s">
        <v>430</v>
      </c>
      <c r="D20" s="720"/>
      <c r="E20" s="720">
        <f>+E4+E12</f>
        <v>301253.33333333331</v>
      </c>
      <c r="G20" s="269">
        <v>3520000</v>
      </c>
    </row>
    <row r="21" spans="1:7">
      <c r="A21" s="718">
        <f t="shared" si="1"/>
        <v>18</v>
      </c>
      <c r="B21" s="719" t="s">
        <v>480</v>
      </c>
      <c r="C21" s="718" t="s">
        <v>430</v>
      </c>
      <c r="D21" s="720"/>
      <c r="E21" s="720">
        <f>+E4+E12</f>
        <v>301253.33333333331</v>
      </c>
    </row>
    <row r="22" spans="1:7">
      <c r="A22" s="718">
        <f t="shared" si="1"/>
        <v>19</v>
      </c>
      <c r="B22" s="719" t="s">
        <v>627</v>
      </c>
      <c r="C22" s="718" t="s">
        <v>430</v>
      </c>
      <c r="D22" s="720"/>
      <c r="E22" s="720">
        <f>+E23+2*E24</f>
        <v>396432.8</v>
      </c>
    </row>
    <row r="23" spans="1:7">
      <c r="A23" s="718">
        <f t="shared" si="1"/>
        <v>20</v>
      </c>
      <c r="B23" s="719" t="s">
        <v>628</v>
      </c>
      <c r="C23" s="718" t="s">
        <v>430</v>
      </c>
      <c r="D23" s="720">
        <f>3520000*1.58</f>
        <v>5561600</v>
      </c>
      <c r="E23" s="720">
        <f>+D23/30</f>
        <v>185386.66666666666</v>
      </c>
    </row>
    <row r="24" spans="1:7">
      <c r="A24" s="718">
        <f t="shared" si="1"/>
        <v>21</v>
      </c>
      <c r="B24" s="719" t="s">
        <v>629</v>
      </c>
      <c r="C24" s="718" t="s">
        <v>430</v>
      </c>
      <c r="D24" s="720">
        <f>+('Tabla Salarial '!$C$5+'Tabla Salarial '!$C$6)*'Tabla Salarial '!$C$7</f>
        <v>3165692</v>
      </c>
      <c r="E24" s="720">
        <f>+D24/30</f>
        <v>105523.06666666667</v>
      </c>
    </row>
    <row r="25" spans="1:7">
      <c r="A25" s="718">
        <f t="shared" si="1"/>
        <v>22</v>
      </c>
      <c r="B25" s="719" t="s">
        <v>630</v>
      </c>
      <c r="C25" s="718" t="s">
        <v>430</v>
      </c>
      <c r="D25" s="720">
        <f>3520000*1.58</f>
        <v>5561600</v>
      </c>
      <c r="E25" s="720">
        <f>+D25/30</f>
        <v>185386.66666666666</v>
      </c>
    </row>
    <row r="26" spans="1:7">
      <c r="A26" s="718">
        <f t="shared" si="1"/>
        <v>23</v>
      </c>
      <c r="B26" s="719" t="s">
        <v>557</v>
      </c>
      <c r="C26" s="718" t="s">
        <v>430</v>
      </c>
      <c r="D26" s="720"/>
      <c r="E26" s="720">
        <f>+E25+E5</f>
        <v>290909.73333333334</v>
      </c>
    </row>
    <row r="27" spans="1:7">
      <c r="A27" s="718">
        <f t="shared" si="1"/>
        <v>24</v>
      </c>
      <c r="B27" s="719" t="s">
        <v>631</v>
      </c>
      <c r="C27" s="718" t="s">
        <v>430</v>
      </c>
      <c r="D27" s="720">
        <f>4400000*1.58</f>
        <v>6952000</v>
      </c>
      <c r="E27" s="720">
        <f>+D27/30</f>
        <v>231733.33333333334</v>
      </c>
    </row>
    <row r="28" spans="1:7">
      <c r="A28" s="718">
        <f t="shared" si="1"/>
        <v>25</v>
      </c>
      <c r="B28" s="719" t="s">
        <v>632</v>
      </c>
      <c r="C28" s="718" t="s">
        <v>430</v>
      </c>
      <c r="D28" s="720"/>
      <c r="E28" s="720">
        <f>+E10+E4</f>
        <v>501955.8666666667</v>
      </c>
    </row>
    <row r="29" spans="1:7">
      <c r="A29" s="718">
        <f t="shared" si="1"/>
        <v>26</v>
      </c>
      <c r="B29" s="719" t="s">
        <v>456</v>
      </c>
      <c r="C29" s="718" t="s">
        <v>430</v>
      </c>
      <c r="D29" s="720"/>
      <c r="E29" s="720">
        <f>3*E5+E4</f>
        <v>501955.8666666667</v>
      </c>
    </row>
    <row r="30" spans="1:7">
      <c r="A30" s="718">
        <f t="shared" si="1"/>
        <v>27</v>
      </c>
      <c r="B30" s="719" t="s">
        <v>633</v>
      </c>
      <c r="C30" s="718" t="s">
        <v>430</v>
      </c>
      <c r="D30" s="720">
        <f>+('Tabla Salarial '!$C$5+'Tabla Salarial '!$C$6)*'Tabla Salarial '!$C$7</f>
        <v>3165692</v>
      </c>
      <c r="E30" s="720">
        <f>(+D30/30)*6</f>
        <v>633138.4</v>
      </c>
    </row>
    <row r="31" spans="1:7">
      <c r="A31" s="718">
        <f t="shared" si="1"/>
        <v>28</v>
      </c>
      <c r="B31" s="719" t="s">
        <v>634</v>
      </c>
      <c r="C31" s="718" t="s">
        <v>430</v>
      </c>
      <c r="D31" s="720">
        <f>+('Tabla Salarial '!$C$5+'Tabla Salarial '!$C$6)*'Tabla Salarial '!$C$7</f>
        <v>3165692</v>
      </c>
      <c r="E31" s="720">
        <f>(+D31/30)*2</f>
        <v>211046.13333333333</v>
      </c>
    </row>
    <row r="32" spans="1:7">
      <c r="A32" s="718">
        <f t="shared" si="1"/>
        <v>29</v>
      </c>
      <c r="B32" s="719" t="s">
        <v>635</v>
      </c>
      <c r="C32" s="718" t="s">
        <v>430</v>
      </c>
      <c r="D32" s="720">
        <f>3520000*1.58</f>
        <v>5561600</v>
      </c>
      <c r="E32" s="720">
        <f>(+D32/30)*2</f>
        <v>370773.33333333331</v>
      </c>
    </row>
    <row r="33" spans="1:5">
      <c r="A33" s="718">
        <f t="shared" si="1"/>
        <v>30</v>
      </c>
      <c r="B33" s="719" t="s">
        <v>636</v>
      </c>
      <c r="C33" s="718" t="s">
        <v>430</v>
      </c>
      <c r="D33" s="720">
        <f>+('Tabla Salarial '!$C$5+'Tabla Salarial '!$C$6)*'Tabla Salarial '!$C$7</f>
        <v>3165692</v>
      </c>
      <c r="E33" s="720">
        <f>(+D33/30)*3</f>
        <v>316569.2</v>
      </c>
    </row>
    <row r="34" spans="1:5">
      <c r="A34" s="718">
        <f t="shared" si="1"/>
        <v>31</v>
      </c>
      <c r="B34" s="719" t="s">
        <v>637</v>
      </c>
      <c r="C34" s="718" t="s">
        <v>430</v>
      </c>
      <c r="D34" s="720">
        <f>+('Tabla Salarial '!$C$5+'Tabla Salarial '!$C$6)*'Tabla Salarial '!$C$7</f>
        <v>3165692</v>
      </c>
      <c r="E34" s="720">
        <f>(+D34/30)*2</f>
        <v>211046.13333333333</v>
      </c>
    </row>
    <row r="35" spans="1:5">
      <c r="A35" s="718">
        <f t="shared" si="1"/>
        <v>32</v>
      </c>
      <c r="B35" s="719" t="s">
        <v>638</v>
      </c>
      <c r="C35" s="718" t="s">
        <v>430</v>
      </c>
      <c r="D35" s="720">
        <f>+('Tabla Salarial '!$C$5+'Tabla Salarial '!$C$6)*'Tabla Salarial '!$C$7</f>
        <v>3165692</v>
      </c>
      <c r="E35" s="720">
        <f>(+D35/30)*8</f>
        <v>844184.53333333333</v>
      </c>
    </row>
    <row r="36" spans="1:5">
      <c r="A36" s="718">
        <f t="shared" si="1"/>
        <v>33</v>
      </c>
      <c r="B36" s="719" t="s">
        <v>639</v>
      </c>
      <c r="C36" s="718" t="s">
        <v>430</v>
      </c>
      <c r="D36" s="720"/>
      <c r="E36" s="720"/>
    </row>
    <row r="37" spans="1:5">
      <c r="A37" s="718">
        <f t="shared" si="1"/>
        <v>34</v>
      </c>
      <c r="B37" s="719" t="s">
        <v>640</v>
      </c>
      <c r="C37" s="718" t="s">
        <v>430</v>
      </c>
      <c r="D37" s="720"/>
      <c r="E37" s="721">
        <f>E26*6</f>
        <v>1745458.4</v>
      </c>
    </row>
    <row r="38" spans="1:5">
      <c r="A38" s="718">
        <f t="shared" si="1"/>
        <v>35</v>
      </c>
      <c r="B38" s="719" t="s">
        <v>641</v>
      </c>
      <c r="C38" s="718" t="s">
        <v>430</v>
      </c>
      <c r="D38" s="720"/>
      <c r="E38" s="721">
        <f>+E4+3*E5</f>
        <v>501955.8666666667</v>
      </c>
    </row>
    <row r="39" spans="1:5">
      <c r="A39" s="718">
        <f t="shared" si="1"/>
        <v>36</v>
      </c>
      <c r="B39" s="719" t="s">
        <v>642</v>
      </c>
      <c r="C39" s="718" t="s">
        <v>430</v>
      </c>
      <c r="D39" s="720">
        <f>+('Tabla Salarial '!$C$5+'Tabla Salarial '!$C$6)*'Tabla Salarial '!$C$7</f>
        <v>3165692</v>
      </c>
      <c r="E39" s="720">
        <f>+(D39/30)*2</f>
        <v>211046.13333333333</v>
      </c>
    </row>
    <row r="40" spans="1:5">
      <c r="A40" s="718">
        <f t="shared" si="1"/>
        <v>37</v>
      </c>
      <c r="B40" s="719" t="s">
        <v>643</v>
      </c>
      <c r="C40" s="718" t="s">
        <v>430</v>
      </c>
      <c r="D40" s="720"/>
      <c r="E40" s="720">
        <f>+E18</f>
        <v>396432.8</v>
      </c>
    </row>
    <row r="41" spans="1:5">
      <c r="A41" s="718">
        <f t="shared" si="1"/>
        <v>38</v>
      </c>
      <c r="B41" s="719" t="s">
        <v>644</v>
      </c>
      <c r="C41" s="718" t="s">
        <v>430</v>
      </c>
      <c r="D41" s="720"/>
      <c r="E41" s="720">
        <f>+E18</f>
        <v>396432.8</v>
      </c>
    </row>
    <row r="42" spans="1:5">
      <c r="A42" s="718">
        <f t="shared" si="1"/>
        <v>39</v>
      </c>
      <c r="B42" s="719" t="s">
        <v>645</v>
      </c>
      <c r="C42" s="718" t="s">
        <v>430</v>
      </c>
      <c r="D42" s="720">
        <f>2800000*1.58</f>
        <v>4424000</v>
      </c>
      <c r="E42" s="720">
        <f>+D42/30</f>
        <v>147466.66666666666</v>
      </c>
    </row>
    <row r="43" spans="1:5">
      <c r="A43" s="718">
        <f t="shared" si="1"/>
        <v>40</v>
      </c>
      <c r="B43" s="719" t="s">
        <v>646</v>
      </c>
      <c r="C43" s="718" t="s">
        <v>430</v>
      </c>
      <c r="D43" s="720"/>
      <c r="E43" s="720">
        <f>+E5*2</f>
        <v>211046.13333333333</v>
      </c>
    </row>
    <row r="44" spans="1:5">
      <c r="A44" s="718">
        <f t="shared" si="1"/>
        <v>41</v>
      </c>
      <c r="B44" s="719" t="s">
        <v>512</v>
      </c>
      <c r="C44" s="718" t="s">
        <v>430</v>
      </c>
      <c r="D44" s="720"/>
      <c r="E44" s="720">
        <f>+E15+E12</f>
        <v>301253.33333333331</v>
      </c>
    </row>
    <row r="45" spans="1:5">
      <c r="A45" s="718">
        <f t="shared" si="1"/>
        <v>42</v>
      </c>
      <c r="B45" s="719" t="s">
        <v>647</v>
      </c>
      <c r="C45" s="718" t="s">
        <v>267</v>
      </c>
      <c r="D45" s="720"/>
      <c r="E45" s="720">
        <v>4046982.4607068533</v>
      </c>
    </row>
    <row r="46" spans="1:5">
      <c r="A46" s="718">
        <f t="shared" si="1"/>
        <v>43</v>
      </c>
      <c r="B46" s="719" t="s">
        <v>442</v>
      </c>
      <c r="C46" s="718" t="s">
        <v>430</v>
      </c>
      <c r="D46" s="720"/>
      <c r="E46" s="720">
        <f>+E5*3</f>
        <v>316569.2</v>
      </c>
    </row>
    <row r="47" spans="1:5">
      <c r="A47" s="718">
        <f t="shared" si="1"/>
        <v>44</v>
      </c>
      <c r="B47" s="719" t="s">
        <v>520</v>
      </c>
      <c r="C47" s="718" t="s">
        <v>430</v>
      </c>
      <c r="D47" s="720"/>
      <c r="E47" s="720">
        <f>+E15+E12</f>
        <v>301253.33333333331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7B65-5780-4D21-8464-9BF1F305A449}">
  <sheetPr>
    <pageSetUpPr fitToPage="1"/>
  </sheetPr>
  <dimension ref="B1:BA233"/>
  <sheetViews>
    <sheetView view="pageBreakPreview" zoomScale="60" zoomScaleNormal="85" workbookViewId="0">
      <selection activeCell="J6" sqref="J6"/>
    </sheetView>
  </sheetViews>
  <sheetFormatPr baseColWidth="10" defaultColWidth="11.42578125" defaultRowHeight="18"/>
  <cols>
    <col min="2" max="2" width="47.42578125" style="377" customWidth="1"/>
    <col min="3" max="3" width="26" style="377" customWidth="1"/>
    <col min="4" max="4" width="26.42578125" style="377" customWidth="1"/>
    <col min="5" max="5" width="27.42578125" style="377" customWidth="1"/>
    <col min="6" max="6" width="36.85546875" style="377" customWidth="1"/>
    <col min="7" max="7" width="31.85546875" style="377" customWidth="1"/>
    <col min="8" max="8" width="14.140625" style="379" bestFit="1" customWidth="1"/>
    <col min="9" max="9" width="18.140625" style="39" bestFit="1" customWidth="1"/>
    <col min="10" max="53" width="11.5703125" style="39"/>
  </cols>
  <sheetData>
    <row r="1" spans="2:53" ht="75" customHeight="1" thickBot="1">
      <c r="B1" s="1148" t="s">
        <v>648</v>
      </c>
      <c r="C1" s="1149"/>
      <c r="D1" s="1149"/>
      <c r="E1" s="1149"/>
      <c r="F1" s="1149"/>
      <c r="G1" s="1150"/>
    </row>
    <row r="2" spans="2:53" s="727" customFormat="1" ht="25.5" customHeight="1" thickBot="1">
      <c r="B2" s="728" t="s">
        <v>649</v>
      </c>
      <c r="C2" s="1151" t="s">
        <v>650</v>
      </c>
      <c r="D2" s="1151"/>
      <c r="E2" s="1151"/>
      <c r="F2" s="1151"/>
      <c r="G2" s="729" t="s">
        <v>651</v>
      </c>
      <c r="H2" s="730"/>
    </row>
    <row r="3" spans="2:53" ht="31.5" customHeight="1" thickBot="1">
      <c r="B3" s="1152" t="s">
        <v>652</v>
      </c>
      <c r="C3" s="1153"/>
      <c r="D3" s="1153"/>
      <c r="E3" s="1153"/>
      <c r="F3" s="1153"/>
      <c r="G3" s="1154"/>
    </row>
    <row r="4" spans="2:53" ht="18.75" thickBot="1">
      <c r="B4" s="538"/>
      <c r="C4" s="538"/>
      <c r="D4" s="538"/>
      <c r="E4" s="538"/>
      <c r="F4" s="538"/>
      <c r="G4" s="538"/>
    </row>
    <row r="5" spans="2:53" s="731" customFormat="1" ht="27" customHeight="1">
      <c r="B5" s="732" t="s">
        <v>653</v>
      </c>
      <c r="C5" s="733">
        <v>1750905</v>
      </c>
      <c r="D5" s="734"/>
      <c r="E5" s="734"/>
      <c r="F5" s="734"/>
      <c r="G5" s="734"/>
      <c r="H5" s="735"/>
      <c r="I5" s="736"/>
      <c r="J5" s="736"/>
      <c r="K5" s="736"/>
      <c r="L5" s="736"/>
      <c r="M5" s="736"/>
      <c r="N5" s="736"/>
      <c r="O5" s="736"/>
      <c r="P5" s="736"/>
      <c r="Q5" s="736"/>
      <c r="R5" s="736"/>
      <c r="S5" s="736"/>
      <c r="T5" s="736"/>
      <c r="U5" s="736"/>
      <c r="V5" s="736"/>
      <c r="W5" s="736"/>
      <c r="X5" s="736"/>
      <c r="Y5" s="736"/>
      <c r="Z5" s="736"/>
      <c r="AA5" s="736"/>
      <c r="AB5" s="736"/>
      <c r="AC5" s="736"/>
      <c r="AD5" s="736"/>
      <c r="AE5" s="736"/>
      <c r="AF5" s="736"/>
      <c r="AG5" s="736"/>
      <c r="AH5" s="736"/>
      <c r="AI5" s="736"/>
      <c r="AJ5" s="736"/>
      <c r="AK5" s="736"/>
      <c r="AL5" s="736"/>
      <c r="AM5" s="736"/>
      <c r="AN5" s="736"/>
      <c r="AO5" s="736"/>
      <c r="AP5" s="736"/>
      <c r="AQ5" s="736"/>
      <c r="AR5" s="736"/>
      <c r="AS5" s="736"/>
      <c r="AT5" s="736"/>
      <c r="AU5" s="736"/>
      <c r="AV5" s="736"/>
      <c r="AW5" s="736"/>
      <c r="AX5" s="736"/>
      <c r="AY5" s="736"/>
      <c r="AZ5" s="736"/>
      <c r="BA5" s="736"/>
    </row>
    <row r="6" spans="2:53" s="731" customFormat="1" ht="27" customHeight="1">
      <c r="B6" s="786" t="s">
        <v>654</v>
      </c>
      <c r="C6" s="787">
        <v>249095</v>
      </c>
      <c r="D6" s="734"/>
      <c r="E6" s="734"/>
      <c r="F6" s="734"/>
      <c r="G6" s="734"/>
      <c r="H6" s="735"/>
      <c r="I6" s="736"/>
      <c r="J6" s="736"/>
      <c r="K6" s="736"/>
      <c r="L6" s="736"/>
      <c r="M6" s="736"/>
      <c r="N6" s="736"/>
      <c r="O6" s="736"/>
      <c r="P6" s="736"/>
      <c r="Q6" s="736"/>
      <c r="R6" s="736"/>
      <c r="S6" s="736"/>
      <c r="T6" s="736"/>
      <c r="U6" s="736"/>
      <c r="V6" s="736"/>
      <c r="W6" s="736"/>
      <c r="X6" s="736"/>
      <c r="Y6" s="736"/>
      <c r="Z6" s="736"/>
      <c r="AA6" s="736"/>
      <c r="AB6" s="736"/>
      <c r="AC6" s="736"/>
      <c r="AD6" s="736"/>
      <c r="AE6" s="736"/>
      <c r="AF6" s="736"/>
      <c r="AG6" s="736"/>
      <c r="AH6" s="736"/>
      <c r="AI6" s="736"/>
      <c r="AJ6" s="736"/>
      <c r="AK6" s="736"/>
      <c r="AL6" s="736"/>
      <c r="AM6" s="736"/>
      <c r="AN6" s="736"/>
      <c r="AO6" s="736"/>
      <c r="AP6" s="736"/>
      <c r="AQ6" s="736"/>
      <c r="AR6" s="736"/>
      <c r="AS6" s="736"/>
      <c r="AT6" s="736"/>
      <c r="AU6" s="736"/>
      <c r="AV6" s="736"/>
      <c r="AW6" s="736"/>
      <c r="AX6" s="736"/>
      <c r="AY6" s="736"/>
      <c r="AZ6" s="736"/>
      <c r="BA6" s="736"/>
    </row>
    <row r="7" spans="2:53" s="731" customFormat="1" ht="27" customHeight="1" thickBot="1">
      <c r="B7" s="737" t="s">
        <v>655</v>
      </c>
      <c r="C7" s="783">
        <f>+E50+1</f>
        <v>1.582846</v>
      </c>
      <c r="D7" s="734"/>
      <c r="E7" s="734"/>
      <c r="F7" s="734"/>
      <c r="G7" s="734"/>
      <c r="H7" s="735"/>
      <c r="I7" s="736"/>
      <c r="J7" s="736"/>
      <c r="K7" s="736"/>
      <c r="L7" s="736"/>
      <c r="M7" s="736"/>
      <c r="N7" s="736"/>
      <c r="O7" s="736"/>
      <c r="P7" s="736"/>
      <c r="Q7" s="736"/>
      <c r="R7" s="736"/>
      <c r="S7" s="736"/>
      <c r="T7" s="736"/>
      <c r="U7" s="736"/>
      <c r="V7" s="736"/>
      <c r="W7" s="736"/>
      <c r="X7" s="736"/>
      <c r="Y7" s="736"/>
      <c r="Z7" s="736"/>
      <c r="AA7" s="736"/>
      <c r="AB7" s="736"/>
      <c r="AC7" s="736"/>
      <c r="AD7" s="736"/>
      <c r="AE7" s="736"/>
      <c r="AF7" s="736"/>
      <c r="AG7" s="736"/>
      <c r="AH7" s="736"/>
      <c r="AI7" s="736"/>
      <c r="AJ7" s="736"/>
      <c r="AK7" s="736"/>
      <c r="AL7" s="736"/>
      <c r="AM7" s="736"/>
      <c r="AN7" s="736"/>
      <c r="AO7" s="736"/>
      <c r="AP7" s="736"/>
      <c r="AQ7" s="736"/>
      <c r="AR7" s="736"/>
      <c r="AS7" s="736"/>
      <c r="AT7" s="736"/>
      <c r="AU7" s="736"/>
      <c r="AV7" s="736"/>
      <c r="AW7" s="736"/>
      <c r="AX7" s="736"/>
      <c r="AY7" s="736"/>
      <c r="AZ7" s="736"/>
      <c r="BA7" s="736"/>
    </row>
    <row r="8" spans="2:53" ht="18.75" thickBot="1">
      <c r="B8" s="538"/>
      <c r="C8" s="538"/>
      <c r="D8" s="538"/>
      <c r="E8" s="538"/>
      <c r="F8" s="538"/>
      <c r="G8" s="538"/>
    </row>
    <row r="9" spans="2:53" ht="60.75" customHeight="1" thickBot="1">
      <c r="B9" s="780" t="s">
        <v>656</v>
      </c>
      <c r="C9" s="781" t="s">
        <v>657</v>
      </c>
      <c r="D9" s="781" t="s">
        <v>658</v>
      </c>
      <c r="E9" s="781" t="s">
        <v>659</v>
      </c>
      <c r="F9" s="781" t="s">
        <v>660</v>
      </c>
      <c r="G9" s="782" t="s">
        <v>661</v>
      </c>
    </row>
    <row r="10" spans="2:53" ht="36">
      <c r="B10" s="738" t="s">
        <v>662</v>
      </c>
      <c r="C10" s="739">
        <v>17</v>
      </c>
      <c r="D10" s="739">
        <v>16</v>
      </c>
      <c r="E10" s="739">
        <v>9</v>
      </c>
      <c r="F10" s="740">
        <f t="shared" ref="F10:F27" si="0">+$C$5*E10*$C$7</f>
        <v>24942716.780669998</v>
      </c>
      <c r="G10" s="741">
        <f>+IF(E10&lt;=2,ROUND(F10/$C$7+$C$6,0),ROUND(F10/$C$7,0))</f>
        <v>15758145</v>
      </c>
      <c r="I10" s="788"/>
    </row>
    <row r="11" spans="2:53" ht="36">
      <c r="B11" s="745" t="s">
        <v>663</v>
      </c>
      <c r="C11" s="742">
        <v>15</v>
      </c>
      <c r="D11" s="742">
        <v>14</v>
      </c>
      <c r="E11" s="742">
        <v>8.5</v>
      </c>
      <c r="F11" s="542">
        <f t="shared" si="0"/>
        <v>23557010.292854998</v>
      </c>
      <c r="G11" s="746">
        <f t="shared" ref="G11:G24" si="1">+IF(E11&lt;=2,ROUND(F11/$C$7+$C$6,0),ROUND(F11/$C$7,0))</f>
        <v>14882693</v>
      </c>
    </row>
    <row r="12" spans="2:53" ht="36">
      <c r="B12" s="745" t="s">
        <v>664</v>
      </c>
      <c r="C12" s="742">
        <v>12</v>
      </c>
      <c r="D12" s="742">
        <v>11</v>
      </c>
      <c r="E12" s="742">
        <v>7.5</v>
      </c>
      <c r="F12" s="542">
        <f t="shared" si="0"/>
        <v>20785597.317224998</v>
      </c>
      <c r="G12" s="746">
        <f t="shared" si="1"/>
        <v>13131788</v>
      </c>
    </row>
    <row r="13" spans="2:53" ht="36">
      <c r="B13" s="745" t="s">
        <v>665</v>
      </c>
      <c r="C13" s="742">
        <v>11</v>
      </c>
      <c r="D13" s="742">
        <v>10</v>
      </c>
      <c r="E13" s="742">
        <v>6</v>
      </c>
      <c r="F13" s="542">
        <f t="shared" si="0"/>
        <v>16628477.85378</v>
      </c>
      <c r="G13" s="746">
        <f t="shared" si="1"/>
        <v>10505430</v>
      </c>
    </row>
    <row r="14" spans="2:53" ht="36">
      <c r="B14" s="745" t="s">
        <v>666</v>
      </c>
      <c r="C14" s="742">
        <v>10</v>
      </c>
      <c r="D14" s="742">
        <v>8</v>
      </c>
      <c r="E14" s="742">
        <v>5.5</v>
      </c>
      <c r="F14" s="542">
        <f t="shared" si="0"/>
        <v>15242771.365964999</v>
      </c>
      <c r="G14" s="746">
        <f t="shared" si="1"/>
        <v>9629978</v>
      </c>
    </row>
    <row r="15" spans="2:53" ht="36">
      <c r="B15" s="745" t="s">
        <v>667</v>
      </c>
      <c r="C15" s="742">
        <v>8</v>
      </c>
      <c r="D15" s="742">
        <v>6</v>
      </c>
      <c r="E15" s="742">
        <v>5</v>
      </c>
      <c r="F15" s="542">
        <f t="shared" si="0"/>
        <v>13857064.878149999</v>
      </c>
      <c r="G15" s="746">
        <f t="shared" si="1"/>
        <v>8754525</v>
      </c>
    </row>
    <row r="16" spans="2:53" ht="36.75" thickBot="1">
      <c r="B16" s="747" t="s">
        <v>668</v>
      </c>
      <c r="C16" s="743">
        <v>5</v>
      </c>
      <c r="D16" s="743">
        <v>4</v>
      </c>
      <c r="E16" s="743">
        <v>4.5</v>
      </c>
      <c r="F16" s="744">
        <f t="shared" si="0"/>
        <v>12471358.390334999</v>
      </c>
      <c r="G16" s="749">
        <f t="shared" si="1"/>
        <v>7879073</v>
      </c>
    </row>
    <row r="17" spans="2:53" ht="36">
      <c r="B17" s="738" t="s">
        <v>669</v>
      </c>
      <c r="C17" s="739">
        <v>4</v>
      </c>
      <c r="D17" s="739">
        <v>3</v>
      </c>
      <c r="E17" s="739">
        <v>4</v>
      </c>
      <c r="F17" s="740">
        <f t="shared" si="0"/>
        <v>11085651.902519999</v>
      </c>
      <c r="G17" s="741">
        <f t="shared" si="1"/>
        <v>7003620</v>
      </c>
    </row>
    <row r="18" spans="2:53" ht="36">
      <c r="B18" s="745" t="s">
        <v>670</v>
      </c>
      <c r="C18" s="742">
        <v>3</v>
      </c>
      <c r="D18" s="742">
        <v>1</v>
      </c>
      <c r="E18" s="742">
        <v>3.5</v>
      </c>
      <c r="F18" s="542">
        <f t="shared" si="0"/>
        <v>9699945.414704999</v>
      </c>
      <c r="G18" s="746">
        <f t="shared" si="1"/>
        <v>6128168</v>
      </c>
    </row>
    <row r="19" spans="2:53" ht="36">
      <c r="B19" s="745" t="s">
        <v>671</v>
      </c>
      <c r="C19" s="742">
        <v>2</v>
      </c>
      <c r="D19" s="742" t="s">
        <v>672</v>
      </c>
      <c r="E19" s="742">
        <v>3</v>
      </c>
      <c r="F19" s="542">
        <f t="shared" si="0"/>
        <v>8314238.9268899998</v>
      </c>
      <c r="G19" s="746">
        <f t="shared" si="1"/>
        <v>5252715</v>
      </c>
    </row>
    <row r="20" spans="2:53" ht="36">
      <c r="B20" s="745" t="s">
        <v>673</v>
      </c>
      <c r="C20" s="742" t="s">
        <v>674</v>
      </c>
      <c r="D20" s="742" t="s">
        <v>672</v>
      </c>
      <c r="E20" s="742">
        <v>2.5</v>
      </c>
      <c r="F20" s="542">
        <f t="shared" si="0"/>
        <v>6928532.4390749997</v>
      </c>
      <c r="G20" s="746">
        <f t="shared" si="1"/>
        <v>4377263</v>
      </c>
    </row>
    <row r="21" spans="2:53" ht="36.75" thickBot="1">
      <c r="B21" s="747" t="s">
        <v>675</v>
      </c>
      <c r="C21" s="743" t="s">
        <v>672</v>
      </c>
      <c r="D21" s="743" t="s">
        <v>672</v>
      </c>
      <c r="E21" s="743">
        <v>1.75</v>
      </c>
      <c r="F21" s="748">
        <f t="shared" si="0"/>
        <v>4849972.7073524995</v>
      </c>
      <c r="G21" s="749">
        <f t="shared" si="1"/>
        <v>3313179</v>
      </c>
    </row>
    <row r="22" spans="2:53" ht="31.5" customHeight="1">
      <c r="B22" s="738" t="s">
        <v>676</v>
      </c>
      <c r="C22" s="739" t="s">
        <v>672</v>
      </c>
      <c r="D22" s="739" t="s">
        <v>672</v>
      </c>
      <c r="E22" s="739">
        <v>1.75</v>
      </c>
      <c r="F22" s="740">
        <f t="shared" si="0"/>
        <v>4849972.7073524995</v>
      </c>
      <c r="G22" s="741">
        <f t="shared" si="1"/>
        <v>3313179</v>
      </c>
    </row>
    <row r="23" spans="2:53" ht="31.5" customHeight="1">
      <c r="B23" s="745" t="s">
        <v>677</v>
      </c>
      <c r="C23" s="742" t="s">
        <v>672</v>
      </c>
      <c r="D23" s="742" t="s">
        <v>672</v>
      </c>
      <c r="E23" s="742">
        <v>1.75</v>
      </c>
      <c r="F23" s="542">
        <f t="shared" si="0"/>
        <v>4849972.7073524995</v>
      </c>
      <c r="G23" s="746">
        <f t="shared" si="1"/>
        <v>3313179</v>
      </c>
    </row>
    <row r="24" spans="2:53" ht="31.5" customHeight="1">
      <c r="B24" s="745" t="s">
        <v>678</v>
      </c>
      <c r="C24" s="742" t="s">
        <v>672</v>
      </c>
      <c r="D24" s="742" t="s">
        <v>672</v>
      </c>
      <c r="E24" s="742">
        <v>2.5</v>
      </c>
      <c r="F24" s="542">
        <f t="shared" si="0"/>
        <v>6928532.4390749997</v>
      </c>
      <c r="G24" s="746">
        <f t="shared" si="1"/>
        <v>4377263</v>
      </c>
    </row>
    <row r="25" spans="2:53" ht="31.5" customHeight="1">
      <c r="B25" s="745" t="s">
        <v>679</v>
      </c>
      <c r="C25" s="742" t="s">
        <v>672</v>
      </c>
      <c r="D25" s="742" t="s">
        <v>672</v>
      </c>
      <c r="E25" s="742">
        <v>1.5</v>
      </c>
      <c r="F25" s="542">
        <f t="shared" si="0"/>
        <v>4157119.4634449999</v>
      </c>
      <c r="G25" s="746">
        <f>+IF(E25&lt;=2,ROUND(F25/$C$7+$C$6,0),ROUND(F25/$C$7,0))</f>
        <v>2875453</v>
      </c>
    </row>
    <row r="26" spans="2:53" ht="31.5" customHeight="1">
      <c r="B26" s="745" t="s">
        <v>680</v>
      </c>
      <c r="C26" s="742" t="s">
        <v>672</v>
      </c>
      <c r="D26" s="742" t="s">
        <v>672</v>
      </c>
      <c r="E26" s="742">
        <v>1</v>
      </c>
      <c r="F26" s="542">
        <f t="shared" si="0"/>
        <v>2771412.9756299998</v>
      </c>
      <c r="G26" s="746">
        <f>+IF(E26&lt;=2,ROUND(F26/$C$7+$C$6,0),ROUND(F26/$C$7,0))</f>
        <v>2000000</v>
      </c>
      <c r="H26" s="789"/>
    </row>
    <row r="27" spans="2:53" ht="31.5" customHeight="1" thickBot="1">
      <c r="B27" s="747" t="s">
        <v>681</v>
      </c>
      <c r="C27" s="743" t="s">
        <v>672</v>
      </c>
      <c r="D27" s="743" t="s">
        <v>672</v>
      </c>
      <c r="E27" s="743">
        <v>1.5</v>
      </c>
      <c r="F27" s="748">
        <f t="shared" si="0"/>
        <v>4157119.4634449999</v>
      </c>
      <c r="G27" s="749">
        <f>+IF(E27&lt;=2,ROUND(F27/$C$7+$C$6,0),ROUND(F27/$C$7,0))</f>
        <v>2875453</v>
      </c>
    </row>
    <row r="28" spans="2:53" ht="26.25" customHeight="1" thickBot="1">
      <c r="B28" s="538"/>
      <c r="C28" s="538"/>
      <c r="D28" s="538"/>
      <c r="E28" s="538"/>
      <c r="F28" s="538"/>
      <c r="G28" s="538"/>
    </row>
    <row r="29" spans="2:53" ht="29.25" customHeight="1" thickBot="1">
      <c r="B29" s="1155" t="s">
        <v>682</v>
      </c>
      <c r="C29" s="1156"/>
      <c r="D29" s="1156"/>
      <c r="E29" s="1156"/>
      <c r="F29" s="1157"/>
      <c r="G29" s="538"/>
    </row>
    <row r="30" spans="2:53" ht="18.75" thickBot="1">
      <c r="B30" s="750"/>
      <c r="C30" s="751"/>
      <c r="D30" s="751"/>
      <c r="E30" s="751"/>
      <c r="F30" s="751"/>
      <c r="G30" s="538"/>
    </row>
    <row r="31" spans="2:53" ht="24" customHeight="1" thickBot="1">
      <c r="B31" s="1158" t="s">
        <v>683</v>
      </c>
      <c r="C31" s="1159"/>
      <c r="D31" s="752" t="s">
        <v>684</v>
      </c>
      <c r="E31" s="752" t="s">
        <v>685</v>
      </c>
      <c r="F31" s="753" t="s">
        <v>686</v>
      </c>
      <c r="G31" s="538"/>
    </row>
    <row r="32" spans="2:53" s="269" customFormat="1" ht="24" customHeight="1">
      <c r="B32" s="754" t="s">
        <v>687</v>
      </c>
      <c r="C32" s="755"/>
      <c r="D32" s="756">
        <f>+E32+F32</f>
        <v>0.125</v>
      </c>
      <c r="E32" s="756">
        <v>8.5000000000000006E-2</v>
      </c>
      <c r="F32" s="757">
        <v>0.04</v>
      </c>
      <c r="G32" s="758"/>
      <c r="H32" s="759"/>
      <c r="I32" s="760"/>
      <c r="J32" s="760"/>
      <c r="K32" s="760"/>
      <c r="L32" s="760"/>
      <c r="M32" s="760"/>
      <c r="N32" s="760"/>
      <c r="O32" s="760"/>
      <c r="P32" s="760"/>
      <c r="Q32" s="760"/>
      <c r="R32" s="760"/>
      <c r="S32" s="760"/>
      <c r="T32" s="760"/>
      <c r="U32" s="760"/>
      <c r="V32" s="760"/>
      <c r="W32" s="760"/>
      <c r="X32" s="760"/>
      <c r="Y32" s="760"/>
      <c r="Z32" s="760"/>
      <c r="AA32" s="760"/>
      <c r="AB32" s="760"/>
      <c r="AC32" s="760"/>
      <c r="AD32" s="760"/>
      <c r="AE32" s="760"/>
      <c r="AF32" s="760"/>
      <c r="AG32" s="760"/>
      <c r="AH32" s="760"/>
      <c r="AI32" s="760"/>
      <c r="AJ32" s="760"/>
      <c r="AK32" s="760"/>
      <c r="AL32" s="760"/>
      <c r="AM32" s="760"/>
      <c r="AN32" s="760"/>
      <c r="AO32" s="760"/>
      <c r="AP32" s="760"/>
      <c r="AQ32" s="760"/>
      <c r="AR32" s="760"/>
      <c r="AS32" s="760"/>
      <c r="AT32" s="760"/>
      <c r="AU32" s="760"/>
      <c r="AV32" s="760"/>
      <c r="AW32" s="760"/>
      <c r="AX32" s="760"/>
      <c r="AY32" s="760"/>
      <c r="AZ32" s="760"/>
      <c r="BA32" s="760"/>
    </row>
    <row r="33" spans="2:53" s="269" customFormat="1" ht="24" customHeight="1">
      <c r="B33" s="761" t="s">
        <v>688</v>
      </c>
      <c r="C33" s="762"/>
      <c r="D33" s="763">
        <f t="shared" ref="D33:D34" si="2">+E33+F33</f>
        <v>0.16</v>
      </c>
      <c r="E33" s="763">
        <v>0.12</v>
      </c>
      <c r="F33" s="764">
        <v>0.04</v>
      </c>
      <c r="G33" s="758"/>
      <c r="H33" s="759"/>
      <c r="I33" s="760"/>
      <c r="J33" s="760"/>
      <c r="K33" s="760"/>
      <c r="L33" s="760"/>
      <c r="M33" s="760"/>
      <c r="N33" s="760"/>
      <c r="O33" s="760"/>
      <c r="P33" s="760"/>
      <c r="Q33" s="760"/>
      <c r="R33" s="760"/>
      <c r="S33" s="760"/>
      <c r="T33" s="760"/>
      <c r="U33" s="760"/>
      <c r="V33" s="760"/>
      <c r="W33" s="760"/>
      <c r="X33" s="760"/>
      <c r="Y33" s="760"/>
      <c r="Z33" s="760"/>
      <c r="AA33" s="760"/>
      <c r="AB33" s="760"/>
      <c r="AC33" s="760"/>
      <c r="AD33" s="760"/>
      <c r="AE33" s="760"/>
      <c r="AF33" s="760"/>
      <c r="AG33" s="760"/>
      <c r="AH33" s="760"/>
      <c r="AI33" s="760"/>
      <c r="AJ33" s="760"/>
      <c r="AK33" s="760"/>
      <c r="AL33" s="760"/>
      <c r="AM33" s="760"/>
      <c r="AN33" s="760"/>
      <c r="AO33" s="760"/>
      <c r="AP33" s="760"/>
      <c r="AQ33" s="760"/>
      <c r="AR33" s="760"/>
      <c r="AS33" s="760"/>
      <c r="AT33" s="760"/>
      <c r="AU33" s="760"/>
      <c r="AV33" s="760"/>
      <c r="AW33" s="760"/>
      <c r="AX33" s="760"/>
      <c r="AY33" s="760"/>
      <c r="AZ33" s="760"/>
      <c r="BA33" s="760"/>
    </row>
    <row r="34" spans="2:53" s="269" customFormat="1" ht="24" customHeight="1" thickBot="1">
      <c r="B34" s="765" t="s">
        <v>689</v>
      </c>
      <c r="C34" s="766"/>
      <c r="D34" s="767">
        <f t="shared" si="2"/>
        <v>6.9599999999999995E-2</v>
      </c>
      <c r="E34" s="767">
        <v>6.9599999999999995E-2</v>
      </c>
      <c r="F34" s="768">
        <v>0</v>
      </c>
      <c r="G34" s="758"/>
      <c r="H34" s="759"/>
      <c r="I34" s="760"/>
      <c r="J34" s="760"/>
      <c r="K34" s="760"/>
      <c r="L34" s="760"/>
      <c r="M34" s="760"/>
      <c r="N34" s="760"/>
      <c r="O34" s="760"/>
      <c r="P34" s="760"/>
      <c r="Q34" s="760"/>
      <c r="R34" s="760"/>
      <c r="S34" s="760"/>
      <c r="T34" s="760"/>
      <c r="U34" s="760"/>
      <c r="V34" s="760"/>
      <c r="W34" s="760"/>
      <c r="X34" s="760"/>
      <c r="Y34" s="760"/>
      <c r="Z34" s="760"/>
      <c r="AA34" s="760"/>
      <c r="AB34" s="760"/>
      <c r="AC34" s="760"/>
      <c r="AD34" s="760"/>
      <c r="AE34" s="760"/>
      <c r="AF34" s="760"/>
      <c r="AG34" s="760"/>
      <c r="AH34" s="760"/>
      <c r="AI34" s="760"/>
      <c r="AJ34" s="760"/>
      <c r="AK34" s="760"/>
      <c r="AL34" s="760"/>
      <c r="AM34" s="760"/>
      <c r="AN34" s="760"/>
      <c r="AO34" s="760"/>
      <c r="AP34" s="760"/>
      <c r="AQ34" s="760"/>
      <c r="AR34" s="760"/>
      <c r="AS34" s="760"/>
      <c r="AT34" s="760"/>
      <c r="AU34" s="760"/>
      <c r="AV34" s="760"/>
      <c r="AW34" s="760"/>
      <c r="AX34" s="760"/>
      <c r="AY34" s="760"/>
      <c r="AZ34" s="760"/>
      <c r="BA34" s="760"/>
    </row>
    <row r="35" spans="2:53" s="269" customFormat="1" ht="24" customHeight="1" thickBot="1">
      <c r="B35" s="769" t="s">
        <v>690</v>
      </c>
      <c r="C35" s="770"/>
      <c r="D35" s="771">
        <f>+SUM(D32:D34)</f>
        <v>0.35460000000000003</v>
      </c>
      <c r="E35" s="771">
        <f t="shared" ref="E35:F35" si="3">+SUM(E32:E34)</f>
        <v>0.27460000000000001</v>
      </c>
      <c r="F35" s="772">
        <f t="shared" si="3"/>
        <v>0.08</v>
      </c>
      <c r="G35" s="758"/>
      <c r="H35" s="759"/>
      <c r="I35" s="760"/>
      <c r="J35" s="760"/>
      <c r="K35" s="760"/>
      <c r="L35" s="760"/>
      <c r="M35" s="760"/>
      <c r="N35" s="760"/>
      <c r="O35" s="760"/>
      <c r="P35" s="760"/>
      <c r="Q35" s="760"/>
      <c r="R35" s="760"/>
      <c r="S35" s="760"/>
      <c r="T35" s="760"/>
      <c r="U35" s="760"/>
      <c r="V35" s="760"/>
      <c r="W35" s="760"/>
      <c r="X35" s="760"/>
      <c r="Y35" s="760"/>
      <c r="Z35" s="760"/>
      <c r="AA35" s="760"/>
      <c r="AB35" s="760"/>
      <c r="AC35" s="760"/>
      <c r="AD35" s="760"/>
      <c r="AE35" s="760"/>
      <c r="AF35" s="760"/>
      <c r="AG35" s="760"/>
      <c r="AH35" s="760"/>
      <c r="AI35" s="760"/>
      <c r="AJ35" s="760"/>
      <c r="AK35" s="760"/>
      <c r="AL35" s="760"/>
      <c r="AM35" s="760"/>
      <c r="AN35" s="760"/>
      <c r="AO35" s="760"/>
      <c r="AP35" s="760"/>
      <c r="AQ35" s="760"/>
      <c r="AR35" s="760"/>
      <c r="AS35" s="760"/>
      <c r="AT35" s="760"/>
      <c r="AU35" s="760"/>
      <c r="AV35" s="760"/>
      <c r="AW35" s="760"/>
      <c r="AX35" s="760"/>
      <c r="AY35" s="760"/>
      <c r="AZ35" s="760"/>
      <c r="BA35" s="760"/>
    </row>
    <row r="36" spans="2:53" s="269" customFormat="1" ht="18.75" thickBot="1">
      <c r="B36" s="773"/>
      <c r="C36" s="758"/>
      <c r="D36" s="774"/>
      <c r="E36" s="774"/>
      <c r="F36" s="774"/>
      <c r="G36" s="758"/>
      <c r="H36" s="759"/>
      <c r="I36" s="760"/>
      <c r="J36" s="760"/>
      <c r="K36" s="760"/>
      <c r="L36" s="760"/>
      <c r="M36" s="760"/>
      <c r="N36" s="760"/>
      <c r="O36" s="760"/>
      <c r="P36" s="760"/>
      <c r="Q36" s="760"/>
      <c r="R36" s="760"/>
      <c r="S36" s="760"/>
      <c r="T36" s="760"/>
      <c r="U36" s="760"/>
      <c r="V36" s="760"/>
      <c r="W36" s="760"/>
      <c r="X36" s="760"/>
      <c r="Y36" s="760"/>
      <c r="Z36" s="760"/>
      <c r="AA36" s="760"/>
      <c r="AB36" s="760"/>
      <c r="AC36" s="760"/>
      <c r="AD36" s="760"/>
      <c r="AE36" s="760"/>
      <c r="AF36" s="760"/>
      <c r="AG36" s="760"/>
      <c r="AH36" s="760"/>
      <c r="AI36" s="760"/>
      <c r="AJ36" s="760"/>
      <c r="AK36" s="760"/>
      <c r="AL36" s="760"/>
      <c r="AM36" s="760"/>
      <c r="AN36" s="760"/>
      <c r="AO36" s="760"/>
      <c r="AP36" s="760"/>
      <c r="AQ36" s="760"/>
      <c r="AR36" s="760"/>
      <c r="AS36" s="760"/>
      <c r="AT36" s="760"/>
      <c r="AU36" s="760"/>
      <c r="AV36" s="760"/>
      <c r="AW36" s="760"/>
      <c r="AX36" s="760"/>
      <c r="AY36" s="760"/>
      <c r="AZ36" s="760"/>
      <c r="BA36" s="760"/>
    </row>
    <row r="37" spans="2:53" s="269" customFormat="1" ht="24" customHeight="1" thickBot="1">
      <c r="B37" s="1158" t="s">
        <v>691</v>
      </c>
      <c r="C37" s="1159"/>
      <c r="D37" s="775" t="s">
        <v>684</v>
      </c>
      <c r="E37" s="775" t="s">
        <v>685</v>
      </c>
      <c r="F37" s="776" t="s">
        <v>686</v>
      </c>
      <c r="G37" s="758"/>
      <c r="H37" s="759"/>
      <c r="I37" s="760"/>
      <c r="J37" s="760"/>
      <c r="K37" s="760"/>
      <c r="L37" s="760"/>
      <c r="M37" s="760"/>
      <c r="N37" s="760"/>
      <c r="O37" s="760"/>
      <c r="P37" s="760"/>
      <c r="Q37" s="760"/>
      <c r="R37" s="760"/>
      <c r="S37" s="760"/>
      <c r="T37" s="760"/>
      <c r="U37" s="760"/>
      <c r="V37" s="760"/>
      <c r="W37" s="760"/>
      <c r="X37" s="760"/>
      <c r="Y37" s="760"/>
      <c r="Z37" s="760"/>
      <c r="AA37" s="760"/>
      <c r="AB37" s="760"/>
      <c r="AC37" s="760"/>
      <c r="AD37" s="760"/>
      <c r="AE37" s="760"/>
      <c r="AF37" s="760"/>
      <c r="AG37" s="760"/>
      <c r="AH37" s="760"/>
      <c r="AI37" s="760"/>
      <c r="AJ37" s="760"/>
      <c r="AK37" s="760"/>
      <c r="AL37" s="760"/>
      <c r="AM37" s="760"/>
      <c r="AN37" s="760"/>
      <c r="AO37" s="760"/>
      <c r="AP37" s="760"/>
      <c r="AQ37" s="760"/>
      <c r="AR37" s="760"/>
      <c r="AS37" s="760"/>
      <c r="AT37" s="760"/>
      <c r="AU37" s="760"/>
      <c r="AV37" s="760"/>
      <c r="AW37" s="760"/>
      <c r="AX37" s="760"/>
      <c r="AY37" s="760"/>
      <c r="AZ37" s="760"/>
      <c r="BA37" s="760"/>
    </row>
    <row r="38" spans="2:53" s="269" customFormat="1" ht="24" customHeight="1">
      <c r="B38" s="754" t="s">
        <v>692</v>
      </c>
      <c r="C38" s="755"/>
      <c r="D38" s="756">
        <f>+E38+F38</f>
        <v>0.02</v>
      </c>
      <c r="E38" s="756">
        <v>0.02</v>
      </c>
      <c r="F38" s="757">
        <v>0</v>
      </c>
      <c r="G38" s="758"/>
      <c r="H38" s="759"/>
      <c r="I38" s="760"/>
      <c r="J38" s="760"/>
      <c r="K38" s="760"/>
      <c r="L38" s="760"/>
      <c r="M38" s="760"/>
      <c r="N38" s="760"/>
      <c r="O38" s="760"/>
      <c r="P38" s="760"/>
      <c r="Q38" s="760"/>
      <c r="R38" s="760"/>
      <c r="S38" s="760"/>
      <c r="T38" s="760"/>
      <c r="U38" s="760"/>
      <c r="V38" s="760"/>
      <c r="W38" s="760"/>
      <c r="X38" s="760"/>
      <c r="Y38" s="760"/>
      <c r="Z38" s="760"/>
      <c r="AA38" s="760"/>
      <c r="AB38" s="760"/>
      <c r="AC38" s="760"/>
      <c r="AD38" s="760"/>
      <c r="AE38" s="760"/>
      <c r="AF38" s="760"/>
      <c r="AG38" s="760"/>
      <c r="AH38" s="760"/>
      <c r="AI38" s="760"/>
      <c r="AJ38" s="760"/>
      <c r="AK38" s="760"/>
      <c r="AL38" s="760"/>
      <c r="AM38" s="760"/>
      <c r="AN38" s="760"/>
      <c r="AO38" s="760"/>
      <c r="AP38" s="760"/>
      <c r="AQ38" s="760"/>
      <c r="AR38" s="760"/>
      <c r="AS38" s="760"/>
      <c r="AT38" s="760"/>
      <c r="AU38" s="760"/>
      <c r="AV38" s="760"/>
      <c r="AW38" s="760"/>
      <c r="AX38" s="760"/>
      <c r="AY38" s="760"/>
      <c r="AZ38" s="760"/>
      <c r="BA38" s="760"/>
    </row>
    <row r="39" spans="2:53" s="269" customFormat="1" ht="24" customHeight="1">
      <c r="B39" s="761" t="s">
        <v>693</v>
      </c>
      <c r="C39" s="762"/>
      <c r="D39" s="763">
        <f t="shared" ref="D39:D40" si="4">+E39+F39</f>
        <v>0.03</v>
      </c>
      <c r="E39" s="763">
        <v>0.03</v>
      </c>
      <c r="F39" s="764">
        <v>0</v>
      </c>
      <c r="G39" s="758"/>
      <c r="H39" s="759"/>
      <c r="I39" s="760"/>
      <c r="J39" s="760"/>
      <c r="K39" s="760"/>
      <c r="L39" s="760"/>
      <c r="M39" s="760"/>
      <c r="N39" s="760"/>
      <c r="O39" s="760"/>
      <c r="P39" s="760"/>
      <c r="Q39" s="760"/>
      <c r="R39" s="760"/>
      <c r="S39" s="760"/>
      <c r="T39" s="760"/>
      <c r="U39" s="760"/>
      <c r="V39" s="760"/>
      <c r="W39" s="760"/>
      <c r="X39" s="760"/>
      <c r="Y39" s="760"/>
      <c r="Z39" s="760"/>
      <c r="AA39" s="760"/>
      <c r="AB39" s="760"/>
      <c r="AC39" s="760"/>
      <c r="AD39" s="760"/>
      <c r="AE39" s="760"/>
      <c r="AF39" s="760"/>
      <c r="AG39" s="760"/>
      <c r="AH39" s="760"/>
      <c r="AI39" s="760"/>
      <c r="AJ39" s="760"/>
      <c r="AK39" s="760"/>
      <c r="AL39" s="760"/>
      <c r="AM39" s="760"/>
      <c r="AN39" s="760"/>
      <c r="AO39" s="760"/>
      <c r="AP39" s="760"/>
      <c r="AQ39" s="760"/>
      <c r="AR39" s="760"/>
      <c r="AS39" s="760"/>
      <c r="AT39" s="760"/>
      <c r="AU39" s="760"/>
      <c r="AV39" s="760"/>
      <c r="AW39" s="760"/>
      <c r="AX39" s="760"/>
      <c r="AY39" s="760"/>
      <c r="AZ39" s="760"/>
      <c r="BA39" s="760"/>
    </row>
    <row r="40" spans="2:53" s="269" customFormat="1" ht="24" customHeight="1" thickBot="1">
      <c r="B40" s="765" t="s">
        <v>694</v>
      </c>
      <c r="C40" s="766"/>
      <c r="D40" s="767">
        <f t="shared" si="4"/>
        <v>0.04</v>
      </c>
      <c r="E40" s="767">
        <v>0.04</v>
      </c>
      <c r="F40" s="768">
        <v>0</v>
      </c>
      <c r="G40" s="758"/>
      <c r="H40" s="759"/>
      <c r="I40" s="760"/>
      <c r="J40" s="760"/>
      <c r="K40" s="760"/>
      <c r="L40" s="760"/>
      <c r="M40" s="760"/>
      <c r="N40" s="760"/>
      <c r="O40" s="760"/>
      <c r="P40" s="760"/>
      <c r="Q40" s="760"/>
      <c r="R40" s="760"/>
      <c r="S40" s="760"/>
      <c r="T40" s="760"/>
      <c r="U40" s="760"/>
      <c r="V40" s="760"/>
      <c r="W40" s="760"/>
      <c r="X40" s="760"/>
      <c r="Y40" s="760"/>
      <c r="Z40" s="760"/>
      <c r="AA40" s="760"/>
      <c r="AB40" s="760"/>
      <c r="AC40" s="760"/>
      <c r="AD40" s="760"/>
      <c r="AE40" s="760"/>
      <c r="AF40" s="760"/>
      <c r="AG40" s="760"/>
      <c r="AH40" s="760"/>
      <c r="AI40" s="760"/>
      <c r="AJ40" s="760"/>
      <c r="AK40" s="760"/>
      <c r="AL40" s="760"/>
      <c r="AM40" s="760"/>
      <c r="AN40" s="760"/>
      <c r="AO40" s="760"/>
      <c r="AP40" s="760"/>
      <c r="AQ40" s="760"/>
      <c r="AR40" s="760"/>
      <c r="AS40" s="760"/>
      <c r="AT40" s="760"/>
      <c r="AU40" s="760"/>
      <c r="AV40" s="760"/>
      <c r="AW40" s="760"/>
      <c r="AX40" s="760"/>
      <c r="AY40" s="760"/>
      <c r="AZ40" s="760"/>
      <c r="BA40" s="760"/>
    </row>
    <row r="41" spans="2:53" s="269" customFormat="1" ht="24" customHeight="1" thickBot="1">
      <c r="B41" s="769" t="s">
        <v>690</v>
      </c>
      <c r="C41" s="770"/>
      <c r="D41" s="771">
        <f>+SUM(D38:D40)</f>
        <v>0.09</v>
      </c>
      <c r="E41" s="771">
        <f t="shared" ref="E41:F41" si="5">+SUM(E38:E40)</f>
        <v>0.09</v>
      </c>
      <c r="F41" s="772">
        <f t="shared" si="5"/>
        <v>0</v>
      </c>
      <c r="G41" s="758"/>
      <c r="H41" s="759"/>
      <c r="I41" s="760"/>
      <c r="J41" s="760"/>
      <c r="K41" s="760"/>
      <c r="L41" s="760"/>
      <c r="M41" s="760"/>
      <c r="N41" s="760"/>
      <c r="O41" s="760"/>
      <c r="P41" s="760"/>
      <c r="Q41" s="760"/>
      <c r="R41" s="760"/>
      <c r="S41" s="760"/>
      <c r="T41" s="760"/>
      <c r="U41" s="760"/>
      <c r="V41" s="760"/>
      <c r="W41" s="760"/>
      <c r="X41" s="760"/>
      <c r="Y41" s="760"/>
      <c r="Z41" s="760"/>
      <c r="AA41" s="760"/>
      <c r="AB41" s="760"/>
      <c r="AC41" s="760"/>
      <c r="AD41" s="760"/>
      <c r="AE41" s="760"/>
      <c r="AF41" s="760"/>
      <c r="AG41" s="760"/>
      <c r="AH41" s="760"/>
      <c r="AI41" s="760"/>
      <c r="AJ41" s="760"/>
      <c r="AK41" s="760"/>
      <c r="AL41" s="760"/>
      <c r="AM41" s="760"/>
      <c r="AN41" s="760"/>
      <c r="AO41" s="760"/>
      <c r="AP41" s="760"/>
      <c r="AQ41" s="760"/>
      <c r="AR41" s="760"/>
      <c r="AS41" s="760"/>
      <c r="AT41" s="760"/>
      <c r="AU41" s="760"/>
      <c r="AV41" s="760"/>
      <c r="AW41" s="760"/>
      <c r="AX41" s="760"/>
      <c r="AY41" s="760"/>
      <c r="AZ41" s="760"/>
      <c r="BA41" s="760"/>
    </row>
    <row r="42" spans="2:53" s="269" customFormat="1" ht="18.75" thickBot="1">
      <c r="B42" s="773"/>
      <c r="C42" s="758"/>
      <c r="D42" s="774"/>
      <c r="E42" s="774"/>
      <c r="F42" s="774"/>
      <c r="G42" s="758"/>
      <c r="H42" s="759"/>
      <c r="I42" s="760"/>
      <c r="J42" s="760"/>
      <c r="K42" s="760"/>
      <c r="L42" s="760"/>
      <c r="M42" s="760"/>
      <c r="N42" s="760"/>
      <c r="O42" s="760"/>
      <c r="P42" s="760"/>
      <c r="Q42" s="760"/>
      <c r="R42" s="760"/>
      <c r="S42" s="760"/>
      <c r="T42" s="760"/>
      <c r="U42" s="760"/>
      <c r="V42" s="760"/>
      <c r="W42" s="760"/>
      <c r="X42" s="760"/>
      <c r="Y42" s="760"/>
      <c r="Z42" s="760"/>
      <c r="AA42" s="760"/>
      <c r="AB42" s="760"/>
      <c r="AC42" s="760"/>
      <c r="AD42" s="760"/>
      <c r="AE42" s="760"/>
      <c r="AF42" s="760"/>
      <c r="AG42" s="760"/>
      <c r="AH42" s="760"/>
      <c r="AI42" s="760"/>
      <c r="AJ42" s="760"/>
      <c r="AK42" s="760"/>
      <c r="AL42" s="760"/>
      <c r="AM42" s="760"/>
      <c r="AN42" s="760"/>
      <c r="AO42" s="760"/>
      <c r="AP42" s="760"/>
      <c r="AQ42" s="760"/>
      <c r="AR42" s="760"/>
      <c r="AS42" s="760"/>
      <c r="AT42" s="760"/>
      <c r="AU42" s="760"/>
      <c r="AV42" s="760"/>
      <c r="AW42" s="760"/>
      <c r="AX42" s="760"/>
      <c r="AY42" s="760"/>
      <c r="AZ42" s="760"/>
      <c r="BA42" s="760"/>
    </row>
    <row r="43" spans="2:53" s="269" customFormat="1" ht="24" customHeight="1" thickBot="1">
      <c r="B43" s="1158" t="s">
        <v>695</v>
      </c>
      <c r="C43" s="1159"/>
      <c r="D43" s="775" t="s">
        <v>684</v>
      </c>
      <c r="E43" s="775" t="s">
        <v>685</v>
      </c>
      <c r="F43" s="776" t="s">
        <v>686</v>
      </c>
      <c r="G43" s="758"/>
      <c r="H43" s="759"/>
      <c r="I43" s="760"/>
      <c r="J43" s="760"/>
      <c r="K43" s="760"/>
      <c r="L43" s="760"/>
      <c r="M43" s="760"/>
      <c r="N43" s="760"/>
      <c r="O43" s="760"/>
      <c r="P43" s="760"/>
      <c r="Q43" s="760"/>
      <c r="R43" s="760"/>
      <c r="S43" s="760"/>
      <c r="T43" s="760"/>
      <c r="U43" s="760"/>
      <c r="V43" s="760"/>
      <c r="W43" s="760"/>
      <c r="X43" s="760"/>
      <c r="Y43" s="760"/>
      <c r="Z43" s="760"/>
      <c r="AA43" s="760"/>
      <c r="AB43" s="760"/>
      <c r="AC43" s="760"/>
      <c r="AD43" s="760"/>
      <c r="AE43" s="760"/>
      <c r="AF43" s="760"/>
      <c r="AG43" s="760"/>
      <c r="AH43" s="760"/>
      <c r="AI43" s="760"/>
      <c r="AJ43" s="760"/>
      <c r="AK43" s="760"/>
      <c r="AL43" s="760"/>
      <c r="AM43" s="760"/>
      <c r="AN43" s="760"/>
      <c r="AO43" s="760"/>
      <c r="AP43" s="760"/>
      <c r="AQ43" s="760"/>
      <c r="AR43" s="760"/>
      <c r="AS43" s="760"/>
      <c r="AT43" s="760"/>
      <c r="AU43" s="760"/>
      <c r="AV43" s="760"/>
      <c r="AW43" s="760"/>
      <c r="AX43" s="760"/>
      <c r="AY43" s="760"/>
      <c r="AZ43" s="760"/>
      <c r="BA43" s="760"/>
    </row>
    <row r="44" spans="2:53" s="269" customFormat="1" ht="24" customHeight="1">
      <c r="B44" s="754" t="s">
        <v>696</v>
      </c>
      <c r="C44" s="755"/>
      <c r="D44" s="756">
        <f>+E44+F44</f>
        <v>8.3299999999999999E-2</v>
      </c>
      <c r="E44" s="756">
        <v>8.3299999999999999E-2</v>
      </c>
      <c r="F44" s="757">
        <v>0</v>
      </c>
      <c r="G44" s="758"/>
      <c r="H44" s="759"/>
      <c r="I44" s="760"/>
      <c r="J44" s="760"/>
      <c r="K44" s="760"/>
      <c r="L44" s="760"/>
      <c r="M44" s="760"/>
      <c r="N44" s="760"/>
      <c r="O44" s="760"/>
      <c r="P44" s="760"/>
      <c r="Q44" s="760"/>
      <c r="R44" s="760"/>
      <c r="S44" s="760"/>
      <c r="T44" s="760"/>
      <c r="U44" s="760"/>
      <c r="V44" s="760"/>
      <c r="W44" s="760"/>
      <c r="X44" s="760"/>
      <c r="Y44" s="760"/>
      <c r="Z44" s="760"/>
      <c r="AA44" s="760"/>
      <c r="AB44" s="760"/>
      <c r="AC44" s="760"/>
      <c r="AD44" s="760"/>
      <c r="AE44" s="760"/>
      <c r="AF44" s="760"/>
      <c r="AG44" s="760"/>
      <c r="AH44" s="760"/>
      <c r="AI44" s="760"/>
      <c r="AJ44" s="760"/>
      <c r="AK44" s="760"/>
      <c r="AL44" s="760"/>
      <c r="AM44" s="760"/>
      <c r="AN44" s="760"/>
      <c r="AO44" s="760"/>
      <c r="AP44" s="760"/>
      <c r="AQ44" s="760"/>
      <c r="AR44" s="760"/>
      <c r="AS44" s="760"/>
      <c r="AT44" s="760"/>
      <c r="AU44" s="760"/>
      <c r="AV44" s="760"/>
      <c r="AW44" s="760"/>
      <c r="AX44" s="760"/>
      <c r="AY44" s="760"/>
      <c r="AZ44" s="760"/>
      <c r="BA44" s="760"/>
    </row>
    <row r="45" spans="2:53" s="269" customFormat="1" ht="24" customHeight="1">
      <c r="B45" s="761" t="s">
        <v>697</v>
      </c>
      <c r="C45" s="762"/>
      <c r="D45" s="763">
        <f t="shared" ref="D45:D47" si="6">+E45+F45</f>
        <v>9.9959999999999997E-3</v>
      </c>
      <c r="E45" s="763">
        <f>+E44*0.12</f>
        <v>9.9959999999999997E-3</v>
      </c>
      <c r="F45" s="764">
        <v>0</v>
      </c>
      <c r="G45" s="758"/>
      <c r="H45" s="759"/>
      <c r="I45" s="760"/>
      <c r="J45" s="760"/>
      <c r="K45" s="760"/>
      <c r="L45" s="760"/>
      <c r="M45" s="760"/>
      <c r="N45" s="760"/>
      <c r="O45" s="760"/>
      <c r="P45" s="760"/>
      <c r="Q45" s="760"/>
      <c r="R45" s="760"/>
      <c r="S45" s="760"/>
      <c r="T45" s="760"/>
      <c r="U45" s="760"/>
      <c r="V45" s="760"/>
      <c r="W45" s="760"/>
      <c r="X45" s="760"/>
      <c r="Y45" s="760"/>
      <c r="Z45" s="760"/>
      <c r="AA45" s="760"/>
      <c r="AB45" s="760"/>
      <c r="AC45" s="760"/>
      <c r="AD45" s="760"/>
      <c r="AE45" s="760"/>
      <c r="AF45" s="760"/>
      <c r="AG45" s="760"/>
      <c r="AH45" s="760"/>
      <c r="AI45" s="760"/>
      <c r="AJ45" s="760"/>
      <c r="AK45" s="760"/>
      <c r="AL45" s="760"/>
      <c r="AM45" s="760"/>
      <c r="AN45" s="760"/>
      <c r="AO45" s="760"/>
      <c r="AP45" s="760"/>
      <c r="AQ45" s="760"/>
      <c r="AR45" s="760"/>
      <c r="AS45" s="760"/>
      <c r="AT45" s="760"/>
      <c r="AU45" s="760"/>
      <c r="AV45" s="760"/>
      <c r="AW45" s="760"/>
      <c r="AX45" s="760"/>
      <c r="AY45" s="760"/>
      <c r="AZ45" s="760"/>
      <c r="BA45" s="760"/>
    </row>
    <row r="46" spans="2:53" s="269" customFormat="1" ht="24" customHeight="1">
      <c r="B46" s="761" t="s">
        <v>698</v>
      </c>
      <c r="C46" s="762"/>
      <c r="D46" s="763">
        <f t="shared" si="6"/>
        <v>4.165E-2</v>
      </c>
      <c r="E46" s="763">
        <v>4.165E-2</v>
      </c>
      <c r="F46" s="764">
        <v>0</v>
      </c>
      <c r="G46" s="758"/>
      <c r="H46" s="759"/>
      <c r="I46" s="760"/>
      <c r="J46" s="760"/>
      <c r="K46" s="760"/>
      <c r="L46" s="760"/>
      <c r="M46" s="760"/>
      <c r="N46" s="760"/>
      <c r="O46" s="760"/>
      <c r="P46" s="760"/>
      <c r="Q46" s="760"/>
      <c r="R46" s="760"/>
      <c r="S46" s="760"/>
      <c r="T46" s="760"/>
      <c r="U46" s="760"/>
      <c r="V46" s="760"/>
      <c r="W46" s="760"/>
      <c r="X46" s="760"/>
      <c r="Y46" s="760"/>
      <c r="Z46" s="760"/>
      <c r="AA46" s="760"/>
      <c r="AB46" s="760"/>
      <c r="AC46" s="760"/>
      <c r="AD46" s="760"/>
      <c r="AE46" s="760"/>
      <c r="AF46" s="760"/>
      <c r="AG46" s="760"/>
      <c r="AH46" s="760"/>
      <c r="AI46" s="760"/>
      <c r="AJ46" s="760"/>
      <c r="AK46" s="760"/>
      <c r="AL46" s="760"/>
      <c r="AM46" s="760"/>
      <c r="AN46" s="760"/>
      <c r="AO46" s="760"/>
      <c r="AP46" s="760"/>
      <c r="AQ46" s="760"/>
      <c r="AR46" s="760"/>
      <c r="AS46" s="760"/>
      <c r="AT46" s="760"/>
      <c r="AU46" s="760"/>
      <c r="AV46" s="760"/>
      <c r="AW46" s="760"/>
      <c r="AX46" s="760"/>
      <c r="AY46" s="760"/>
      <c r="AZ46" s="760"/>
      <c r="BA46" s="760"/>
    </row>
    <row r="47" spans="2:53" s="269" customFormat="1" ht="24" customHeight="1" thickBot="1">
      <c r="B47" s="765" t="s">
        <v>699</v>
      </c>
      <c r="C47" s="766"/>
      <c r="D47" s="767">
        <f t="shared" si="6"/>
        <v>8.3299999999999999E-2</v>
      </c>
      <c r="E47" s="767">
        <v>8.3299999999999999E-2</v>
      </c>
      <c r="F47" s="768">
        <v>0</v>
      </c>
      <c r="G47" s="758"/>
      <c r="H47" s="759"/>
      <c r="I47" s="760"/>
      <c r="J47" s="760"/>
      <c r="K47" s="760"/>
      <c r="L47" s="760"/>
      <c r="M47" s="760"/>
      <c r="N47" s="760"/>
      <c r="O47" s="760"/>
      <c r="P47" s="760"/>
      <c r="Q47" s="760"/>
      <c r="R47" s="760"/>
      <c r="S47" s="760"/>
      <c r="T47" s="760"/>
      <c r="U47" s="760"/>
      <c r="V47" s="760"/>
      <c r="W47" s="760"/>
      <c r="X47" s="760"/>
      <c r="Y47" s="760"/>
      <c r="Z47" s="760"/>
      <c r="AA47" s="760"/>
      <c r="AB47" s="760"/>
      <c r="AC47" s="760"/>
      <c r="AD47" s="760"/>
      <c r="AE47" s="760"/>
      <c r="AF47" s="760"/>
      <c r="AG47" s="760"/>
      <c r="AH47" s="760"/>
      <c r="AI47" s="760"/>
      <c r="AJ47" s="760"/>
      <c r="AK47" s="760"/>
      <c r="AL47" s="760"/>
      <c r="AM47" s="760"/>
      <c r="AN47" s="760"/>
      <c r="AO47" s="760"/>
      <c r="AP47" s="760"/>
      <c r="AQ47" s="760"/>
      <c r="AR47" s="760"/>
      <c r="AS47" s="760"/>
      <c r="AT47" s="760"/>
      <c r="AU47" s="760"/>
      <c r="AV47" s="760"/>
      <c r="AW47" s="760"/>
      <c r="AX47" s="760"/>
      <c r="AY47" s="760"/>
      <c r="AZ47" s="760"/>
      <c r="BA47" s="760"/>
    </row>
    <row r="48" spans="2:53" s="269" customFormat="1" ht="24" customHeight="1" thickBot="1">
      <c r="B48" s="769" t="s">
        <v>690</v>
      </c>
      <c r="C48" s="770"/>
      <c r="D48" s="771">
        <f>+SUM(D44:D47)</f>
        <v>0.218246</v>
      </c>
      <c r="E48" s="771">
        <f>+SUM(E44:E47)</f>
        <v>0.218246</v>
      </c>
      <c r="F48" s="772">
        <f>+SUM(F44:F47)</f>
        <v>0</v>
      </c>
      <c r="G48" s="758"/>
      <c r="H48" s="759"/>
      <c r="I48" s="760"/>
      <c r="J48" s="760"/>
      <c r="K48" s="760"/>
      <c r="L48" s="760"/>
      <c r="M48" s="760"/>
      <c r="N48" s="760"/>
      <c r="O48" s="760"/>
      <c r="P48" s="760"/>
      <c r="Q48" s="760"/>
      <c r="R48" s="760"/>
      <c r="S48" s="760"/>
      <c r="T48" s="760"/>
      <c r="U48" s="760"/>
      <c r="V48" s="760"/>
      <c r="W48" s="760"/>
      <c r="X48" s="760"/>
      <c r="Y48" s="760"/>
      <c r="Z48" s="760"/>
      <c r="AA48" s="760"/>
      <c r="AB48" s="760"/>
      <c r="AC48" s="760"/>
      <c r="AD48" s="760"/>
      <c r="AE48" s="760"/>
      <c r="AF48" s="760"/>
      <c r="AG48" s="760"/>
      <c r="AH48" s="760"/>
      <c r="AI48" s="760"/>
      <c r="AJ48" s="760"/>
      <c r="AK48" s="760"/>
      <c r="AL48" s="760"/>
      <c r="AM48" s="760"/>
      <c r="AN48" s="760"/>
      <c r="AO48" s="760"/>
      <c r="AP48" s="760"/>
      <c r="AQ48" s="760"/>
      <c r="AR48" s="760"/>
      <c r="AS48" s="760"/>
      <c r="AT48" s="760"/>
      <c r="AU48" s="760"/>
      <c r="AV48" s="760"/>
      <c r="AW48" s="760"/>
      <c r="AX48" s="760"/>
      <c r="AY48" s="760"/>
      <c r="AZ48" s="760"/>
      <c r="BA48" s="760"/>
    </row>
    <row r="49" spans="2:53" s="269" customFormat="1" ht="18.75" thickBot="1">
      <c r="B49" s="773"/>
      <c r="C49" s="758"/>
      <c r="D49" s="758"/>
      <c r="E49" s="758"/>
      <c r="F49" s="758"/>
      <c r="G49" s="758"/>
      <c r="H49" s="759"/>
      <c r="I49" s="760"/>
      <c r="J49" s="760"/>
      <c r="K49" s="760"/>
      <c r="L49" s="760"/>
      <c r="M49" s="760"/>
      <c r="N49" s="760"/>
      <c r="O49" s="760"/>
      <c r="P49" s="760"/>
      <c r="Q49" s="760"/>
      <c r="R49" s="760"/>
      <c r="S49" s="760"/>
      <c r="T49" s="760"/>
      <c r="U49" s="760"/>
      <c r="V49" s="760"/>
      <c r="W49" s="760"/>
      <c r="X49" s="760"/>
      <c r="Y49" s="760"/>
      <c r="Z49" s="760"/>
      <c r="AA49" s="760"/>
      <c r="AB49" s="760"/>
      <c r="AC49" s="760"/>
      <c r="AD49" s="760"/>
      <c r="AE49" s="760"/>
      <c r="AF49" s="760"/>
      <c r="AG49" s="760"/>
      <c r="AH49" s="760"/>
      <c r="AI49" s="760"/>
      <c r="AJ49" s="760"/>
      <c r="AK49" s="760"/>
      <c r="AL49" s="760"/>
      <c r="AM49" s="760"/>
      <c r="AN49" s="760"/>
      <c r="AO49" s="760"/>
      <c r="AP49" s="760"/>
      <c r="AQ49" s="760"/>
      <c r="AR49" s="760"/>
      <c r="AS49" s="760"/>
      <c r="AT49" s="760"/>
      <c r="AU49" s="760"/>
      <c r="AV49" s="760"/>
      <c r="AW49" s="760"/>
      <c r="AX49" s="760"/>
      <c r="AY49" s="760"/>
      <c r="AZ49" s="760"/>
      <c r="BA49" s="760"/>
    </row>
    <row r="50" spans="2:53" s="269" customFormat="1" ht="39.75" customHeight="1" thickBot="1">
      <c r="B50" s="1146" t="s">
        <v>700</v>
      </c>
      <c r="C50" s="1147"/>
      <c r="D50" s="777">
        <f>+D35+D41+D48</f>
        <v>0.66284600000000005</v>
      </c>
      <c r="E50" s="777">
        <f t="shared" ref="E50:F50" si="7">+E35+E41+E48</f>
        <v>0.58284599999999998</v>
      </c>
      <c r="F50" s="778">
        <f t="shared" si="7"/>
        <v>0.08</v>
      </c>
      <c r="G50" s="758"/>
      <c r="H50" s="759"/>
      <c r="I50" s="760"/>
      <c r="J50" s="760"/>
      <c r="K50" s="760"/>
      <c r="L50" s="760"/>
      <c r="M50" s="760"/>
      <c r="N50" s="760"/>
      <c r="O50" s="760"/>
      <c r="P50" s="760"/>
      <c r="Q50" s="760"/>
      <c r="R50" s="760"/>
      <c r="S50" s="760"/>
      <c r="T50" s="760"/>
      <c r="U50" s="760"/>
      <c r="V50" s="760"/>
      <c r="W50" s="760"/>
      <c r="X50" s="760"/>
      <c r="Y50" s="760"/>
      <c r="Z50" s="760"/>
      <c r="AA50" s="760"/>
      <c r="AB50" s="760"/>
      <c r="AC50" s="760"/>
      <c r="AD50" s="760"/>
      <c r="AE50" s="760"/>
      <c r="AF50" s="760"/>
      <c r="AG50" s="760"/>
      <c r="AH50" s="760"/>
      <c r="AI50" s="760"/>
      <c r="AJ50" s="760"/>
      <c r="AK50" s="760"/>
      <c r="AL50" s="760"/>
      <c r="AM50" s="760"/>
      <c r="AN50" s="760"/>
      <c r="AO50" s="760"/>
      <c r="AP50" s="760"/>
      <c r="AQ50" s="760"/>
      <c r="AR50" s="760"/>
      <c r="AS50" s="760"/>
      <c r="AT50" s="760"/>
      <c r="AU50" s="760"/>
      <c r="AV50" s="760"/>
      <c r="AW50" s="760"/>
      <c r="AX50" s="760"/>
      <c r="AY50" s="760"/>
      <c r="AZ50" s="760"/>
      <c r="BA50" s="760"/>
    </row>
    <row r="51" spans="2:53">
      <c r="B51" s="779"/>
      <c r="C51" s="779"/>
      <c r="D51" s="538"/>
      <c r="E51" s="538"/>
      <c r="F51" s="538"/>
      <c r="G51" s="538"/>
    </row>
    <row r="52" spans="2:53">
      <c r="B52" s="538"/>
      <c r="C52" s="538"/>
      <c r="D52" s="538"/>
      <c r="E52" s="538"/>
      <c r="F52" s="538"/>
      <c r="G52" s="538"/>
    </row>
    <row r="53" spans="2:53">
      <c r="B53" s="538"/>
      <c r="C53" s="538"/>
      <c r="D53" s="538"/>
      <c r="E53" s="538"/>
      <c r="F53" s="538"/>
      <c r="G53" s="538"/>
    </row>
    <row r="54" spans="2:53">
      <c r="B54" s="538"/>
      <c r="C54" s="538"/>
      <c r="D54" s="538"/>
      <c r="E54" s="538"/>
      <c r="F54" s="538"/>
      <c r="G54" s="538"/>
    </row>
    <row r="55" spans="2:53">
      <c r="B55" s="538"/>
      <c r="C55" s="538"/>
      <c r="D55" s="538"/>
      <c r="E55" s="538"/>
      <c r="F55" s="538"/>
      <c r="G55" s="538"/>
    </row>
    <row r="56" spans="2:53">
      <c r="B56" s="538"/>
      <c r="C56" s="538"/>
      <c r="D56" s="538"/>
      <c r="E56" s="538"/>
      <c r="F56" s="538"/>
      <c r="G56" s="538"/>
    </row>
    <row r="57" spans="2:53">
      <c r="B57" s="538"/>
      <c r="C57" s="538"/>
      <c r="D57" s="538"/>
      <c r="E57" s="538"/>
      <c r="F57" s="538"/>
      <c r="G57" s="538"/>
    </row>
    <row r="58" spans="2:53">
      <c r="B58" s="538"/>
      <c r="C58" s="538"/>
      <c r="D58" s="538"/>
      <c r="E58" s="538"/>
      <c r="F58" s="538"/>
      <c r="G58" s="538"/>
    </row>
    <row r="59" spans="2:53">
      <c r="B59" s="538"/>
      <c r="C59" s="538"/>
      <c r="D59" s="538"/>
      <c r="E59" s="538"/>
      <c r="F59" s="538"/>
      <c r="G59" s="538"/>
    </row>
    <row r="60" spans="2:53">
      <c r="B60" s="538"/>
      <c r="C60" s="538"/>
      <c r="D60" s="538"/>
      <c r="E60" s="538"/>
      <c r="F60" s="538"/>
      <c r="G60" s="538"/>
    </row>
    <row r="61" spans="2:53">
      <c r="B61" s="538"/>
      <c r="C61" s="538"/>
      <c r="D61" s="538"/>
      <c r="E61" s="538"/>
      <c r="F61" s="538"/>
      <c r="G61" s="538"/>
    </row>
    <row r="62" spans="2:53">
      <c r="B62" s="538"/>
      <c r="C62" s="538"/>
      <c r="D62" s="538"/>
      <c r="E62" s="538"/>
      <c r="F62" s="538"/>
      <c r="G62" s="538"/>
    </row>
    <row r="63" spans="2:53">
      <c r="B63" s="538"/>
      <c r="C63" s="538"/>
      <c r="D63" s="538"/>
      <c r="E63" s="538"/>
      <c r="F63" s="538"/>
      <c r="G63" s="538"/>
    </row>
    <row r="64" spans="2:53">
      <c r="B64" s="538"/>
      <c r="C64" s="538"/>
      <c r="D64" s="538"/>
      <c r="E64" s="538"/>
      <c r="F64" s="538"/>
      <c r="G64" s="538"/>
    </row>
    <row r="65" spans="2:7">
      <c r="B65" s="538"/>
      <c r="C65" s="538"/>
      <c r="D65" s="538"/>
      <c r="E65" s="538"/>
      <c r="F65" s="538"/>
      <c r="G65" s="538"/>
    </row>
    <row r="66" spans="2:7">
      <c r="B66" s="538"/>
      <c r="C66" s="538"/>
      <c r="D66" s="538"/>
      <c r="E66" s="538"/>
      <c r="F66" s="538"/>
      <c r="G66" s="538"/>
    </row>
    <row r="67" spans="2:7">
      <c r="B67" s="538"/>
      <c r="C67" s="538"/>
      <c r="D67" s="538"/>
      <c r="E67" s="538"/>
      <c r="F67" s="538"/>
      <c r="G67" s="538"/>
    </row>
    <row r="68" spans="2:7">
      <c r="B68" s="538"/>
      <c r="C68" s="538"/>
      <c r="D68" s="538"/>
      <c r="E68" s="538"/>
      <c r="F68" s="538"/>
      <c r="G68" s="538"/>
    </row>
    <row r="69" spans="2:7">
      <c r="B69" s="538"/>
      <c r="C69" s="538"/>
      <c r="D69" s="538"/>
      <c r="E69" s="538"/>
      <c r="F69" s="538"/>
      <c r="G69" s="538"/>
    </row>
    <row r="70" spans="2:7">
      <c r="B70" s="538"/>
      <c r="C70" s="538"/>
      <c r="D70" s="538"/>
      <c r="E70" s="538"/>
      <c r="F70" s="538"/>
      <c r="G70" s="538"/>
    </row>
    <row r="71" spans="2:7">
      <c r="B71" s="538"/>
      <c r="C71" s="538"/>
      <c r="D71" s="538"/>
      <c r="E71" s="538"/>
      <c r="F71" s="538"/>
      <c r="G71" s="538"/>
    </row>
    <row r="72" spans="2:7">
      <c r="B72" s="538"/>
      <c r="C72" s="538"/>
      <c r="D72" s="538"/>
      <c r="E72" s="538"/>
      <c r="F72" s="538"/>
      <c r="G72" s="538"/>
    </row>
    <row r="73" spans="2:7">
      <c r="B73" s="538"/>
      <c r="C73" s="538"/>
      <c r="D73" s="538"/>
      <c r="E73" s="538"/>
      <c r="F73" s="538"/>
      <c r="G73" s="538"/>
    </row>
    <row r="74" spans="2:7">
      <c r="B74" s="538"/>
      <c r="C74" s="538"/>
      <c r="D74" s="538"/>
      <c r="E74" s="538"/>
      <c r="F74" s="538"/>
      <c r="G74" s="538"/>
    </row>
    <row r="75" spans="2:7">
      <c r="B75" s="538"/>
      <c r="C75" s="538"/>
      <c r="D75" s="538"/>
      <c r="E75" s="538"/>
      <c r="F75" s="538"/>
      <c r="G75" s="538"/>
    </row>
    <row r="76" spans="2:7">
      <c r="B76" s="538"/>
      <c r="C76" s="538"/>
      <c r="D76" s="538"/>
      <c r="E76" s="538"/>
      <c r="F76" s="538"/>
      <c r="G76" s="538"/>
    </row>
    <row r="77" spans="2:7">
      <c r="B77" s="538"/>
      <c r="C77" s="538"/>
      <c r="D77" s="538"/>
      <c r="E77" s="538"/>
      <c r="F77" s="538"/>
      <c r="G77" s="538"/>
    </row>
    <row r="78" spans="2:7">
      <c r="B78" s="538"/>
      <c r="C78" s="538"/>
      <c r="D78" s="538"/>
      <c r="E78" s="538"/>
      <c r="F78" s="538"/>
      <c r="G78" s="538"/>
    </row>
    <row r="79" spans="2:7">
      <c r="B79" s="538"/>
      <c r="C79" s="538"/>
      <c r="D79" s="538"/>
      <c r="E79" s="538"/>
      <c r="F79" s="538"/>
      <c r="G79" s="538"/>
    </row>
    <row r="80" spans="2:7">
      <c r="B80" s="538"/>
      <c r="C80" s="538"/>
      <c r="D80" s="538"/>
      <c r="E80" s="538"/>
      <c r="F80" s="538"/>
      <c r="G80" s="538"/>
    </row>
    <row r="81" spans="2:7">
      <c r="B81" s="538"/>
      <c r="C81" s="538"/>
      <c r="D81" s="538"/>
      <c r="E81" s="538"/>
      <c r="F81" s="538"/>
      <c r="G81" s="538"/>
    </row>
    <row r="82" spans="2:7">
      <c r="B82" s="538"/>
      <c r="C82" s="538"/>
      <c r="D82" s="538"/>
      <c r="E82" s="538"/>
      <c r="F82" s="538"/>
      <c r="G82" s="538"/>
    </row>
    <row r="83" spans="2:7">
      <c r="B83" s="538"/>
      <c r="C83" s="538"/>
      <c r="D83" s="538"/>
      <c r="E83" s="538"/>
      <c r="F83" s="538"/>
      <c r="G83" s="538"/>
    </row>
    <row r="84" spans="2:7">
      <c r="B84" s="538"/>
      <c r="C84" s="538"/>
      <c r="D84" s="538"/>
      <c r="E84" s="538"/>
      <c r="F84" s="538"/>
      <c r="G84" s="538"/>
    </row>
    <row r="85" spans="2:7">
      <c r="B85" s="538"/>
      <c r="C85" s="538"/>
      <c r="D85" s="538"/>
      <c r="E85" s="538"/>
      <c r="F85" s="538"/>
      <c r="G85" s="538"/>
    </row>
    <row r="86" spans="2:7">
      <c r="B86" s="538"/>
      <c r="C86" s="538"/>
      <c r="D86" s="538"/>
      <c r="E86" s="538"/>
      <c r="F86" s="538"/>
      <c r="G86" s="538"/>
    </row>
    <row r="87" spans="2:7">
      <c r="B87" s="538"/>
      <c r="C87" s="538"/>
      <c r="D87" s="538"/>
      <c r="E87" s="538"/>
      <c r="F87" s="538"/>
      <c r="G87" s="538"/>
    </row>
    <row r="88" spans="2:7">
      <c r="B88" s="538"/>
      <c r="C88" s="538"/>
      <c r="D88" s="538"/>
      <c r="E88" s="538"/>
      <c r="F88" s="538"/>
      <c r="G88" s="538"/>
    </row>
    <row r="89" spans="2:7">
      <c r="B89" s="538"/>
      <c r="C89" s="538"/>
      <c r="D89" s="538"/>
      <c r="E89" s="538"/>
      <c r="F89" s="538"/>
      <c r="G89" s="538"/>
    </row>
    <row r="90" spans="2:7">
      <c r="B90" s="538"/>
      <c r="C90" s="538"/>
      <c r="D90" s="538"/>
      <c r="E90" s="538"/>
      <c r="F90" s="538"/>
      <c r="G90" s="538"/>
    </row>
    <row r="91" spans="2:7">
      <c r="B91" s="538"/>
      <c r="C91" s="538"/>
      <c r="D91" s="538"/>
      <c r="E91" s="538"/>
      <c r="F91" s="538"/>
      <c r="G91" s="538"/>
    </row>
    <row r="92" spans="2:7">
      <c r="B92" s="538"/>
      <c r="C92" s="538"/>
      <c r="D92" s="538"/>
      <c r="E92" s="538"/>
      <c r="F92" s="538"/>
      <c r="G92" s="538"/>
    </row>
    <row r="93" spans="2:7">
      <c r="B93" s="538"/>
      <c r="C93" s="538"/>
      <c r="D93" s="538"/>
      <c r="E93" s="538"/>
      <c r="F93" s="538"/>
      <c r="G93" s="538"/>
    </row>
    <row r="94" spans="2:7">
      <c r="B94" s="538"/>
      <c r="C94" s="538"/>
      <c r="D94" s="538"/>
      <c r="E94" s="538"/>
      <c r="F94" s="538"/>
      <c r="G94" s="538"/>
    </row>
    <row r="95" spans="2:7">
      <c r="B95" s="538"/>
      <c r="C95" s="538"/>
      <c r="D95" s="538"/>
      <c r="E95" s="538"/>
      <c r="F95" s="538"/>
      <c r="G95" s="538"/>
    </row>
    <row r="96" spans="2:7">
      <c r="B96" s="538"/>
      <c r="C96" s="538"/>
      <c r="D96" s="538"/>
      <c r="E96" s="538"/>
      <c r="F96" s="538"/>
      <c r="G96" s="538"/>
    </row>
    <row r="97" spans="2:7">
      <c r="B97" s="538"/>
      <c r="C97" s="538"/>
      <c r="D97" s="538"/>
      <c r="E97" s="538"/>
      <c r="F97" s="538"/>
      <c r="G97" s="538"/>
    </row>
    <row r="98" spans="2:7">
      <c r="B98" s="538"/>
      <c r="C98" s="538"/>
      <c r="D98" s="538"/>
      <c r="E98" s="538"/>
      <c r="F98" s="538"/>
      <c r="G98" s="538"/>
    </row>
    <row r="99" spans="2:7">
      <c r="B99" s="538"/>
      <c r="C99" s="538"/>
      <c r="D99" s="538"/>
      <c r="E99" s="538"/>
      <c r="F99" s="538"/>
      <c r="G99" s="538"/>
    </row>
    <row r="100" spans="2:7">
      <c r="B100" s="538"/>
      <c r="C100" s="538"/>
      <c r="D100" s="538"/>
      <c r="E100" s="538"/>
      <c r="F100" s="538"/>
      <c r="G100" s="538"/>
    </row>
    <row r="101" spans="2:7">
      <c r="B101" s="538"/>
      <c r="C101" s="538"/>
      <c r="D101" s="538"/>
      <c r="E101" s="538"/>
      <c r="F101" s="538"/>
      <c r="G101" s="538"/>
    </row>
    <row r="102" spans="2:7">
      <c r="B102" s="538"/>
      <c r="C102" s="538"/>
      <c r="D102" s="538"/>
      <c r="E102" s="538"/>
      <c r="F102" s="538"/>
      <c r="G102" s="538"/>
    </row>
    <row r="103" spans="2:7">
      <c r="B103" s="538"/>
      <c r="C103" s="538"/>
      <c r="D103" s="538"/>
      <c r="E103" s="538"/>
      <c r="F103" s="538"/>
      <c r="G103" s="538"/>
    </row>
    <row r="104" spans="2:7">
      <c r="B104" s="538"/>
      <c r="C104" s="538"/>
      <c r="D104" s="538"/>
      <c r="E104" s="538"/>
      <c r="F104" s="538"/>
      <c r="G104" s="538"/>
    </row>
    <row r="105" spans="2:7">
      <c r="B105" s="538"/>
      <c r="C105" s="538"/>
      <c r="D105" s="538"/>
      <c r="E105" s="538"/>
      <c r="F105" s="538"/>
      <c r="G105" s="538"/>
    </row>
    <row r="106" spans="2:7">
      <c r="B106" s="538"/>
      <c r="C106" s="538"/>
      <c r="D106" s="538"/>
      <c r="E106" s="538"/>
      <c r="F106" s="538"/>
      <c r="G106" s="538"/>
    </row>
    <row r="107" spans="2:7">
      <c r="B107" s="538"/>
      <c r="C107" s="538"/>
      <c r="D107" s="538"/>
      <c r="E107" s="538"/>
      <c r="F107" s="538"/>
      <c r="G107" s="538"/>
    </row>
    <row r="108" spans="2:7">
      <c r="B108" s="538"/>
      <c r="C108" s="538"/>
      <c r="D108" s="538"/>
      <c r="E108" s="538"/>
      <c r="F108" s="538"/>
      <c r="G108" s="538"/>
    </row>
    <row r="109" spans="2:7">
      <c r="B109" s="538"/>
      <c r="C109" s="538"/>
      <c r="D109" s="538"/>
      <c r="E109" s="538"/>
      <c r="F109" s="538"/>
      <c r="G109" s="538"/>
    </row>
    <row r="110" spans="2:7">
      <c r="B110" s="538"/>
      <c r="C110" s="538"/>
      <c r="D110" s="538"/>
      <c r="E110" s="538"/>
      <c r="F110" s="538"/>
      <c r="G110" s="538"/>
    </row>
    <row r="111" spans="2:7">
      <c r="B111" s="538"/>
      <c r="C111" s="538"/>
      <c r="D111" s="538"/>
      <c r="E111" s="538"/>
      <c r="F111" s="538"/>
      <c r="G111" s="538"/>
    </row>
    <row r="112" spans="2:7">
      <c r="B112" s="538"/>
      <c r="C112" s="538"/>
      <c r="D112" s="538"/>
      <c r="E112" s="538"/>
      <c r="F112" s="538"/>
      <c r="G112" s="538"/>
    </row>
    <row r="113" spans="2:7">
      <c r="B113" s="538"/>
      <c r="C113" s="538"/>
      <c r="D113" s="538"/>
      <c r="E113" s="538"/>
      <c r="F113" s="538"/>
      <c r="G113" s="538"/>
    </row>
    <row r="114" spans="2:7">
      <c r="B114" s="538"/>
      <c r="C114" s="538"/>
      <c r="D114" s="538"/>
      <c r="E114" s="538"/>
      <c r="F114" s="538"/>
      <c r="G114" s="538"/>
    </row>
    <row r="115" spans="2:7">
      <c r="B115" s="538"/>
      <c r="C115" s="538"/>
      <c r="D115" s="538"/>
      <c r="E115" s="538"/>
      <c r="F115" s="538"/>
      <c r="G115" s="538"/>
    </row>
    <row r="116" spans="2:7">
      <c r="B116" s="538"/>
      <c r="C116" s="538"/>
      <c r="D116" s="538"/>
      <c r="E116" s="538"/>
      <c r="F116" s="538"/>
      <c r="G116" s="538"/>
    </row>
    <row r="117" spans="2:7">
      <c r="B117" s="538"/>
      <c r="C117" s="538"/>
      <c r="D117" s="538"/>
      <c r="E117" s="538"/>
      <c r="F117" s="538"/>
      <c r="G117" s="538"/>
    </row>
    <row r="118" spans="2:7">
      <c r="B118" s="538"/>
      <c r="C118" s="538"/>
      <c r="D118" s="538"/>
      <c r="E118" s="538"/>
      <c r="F118" s="538"/>
      <c r="G118" s="538"/>
    </row>
    <row r="119" spans="2:7">
      <c r="B119" s="538"/>
      <c r="C119" s="538"/>
      <c r="D119" s="538"/>
      <c r="E119" s="538"/>
      <c r="F119" s="538"/>
      <c r="G119" s="538"/>
    </row>
    <row r="120" spans="2:7">
      <c r="B120" s="538"/>
      <c r="C120" s="538"/>
      <c r="D120" s="538"/>
      <c r="E120" s="538"/>
      <c r="F120" s="538"/>
      <c r="G120" s="538"/>
    </row>
    <row r="121" spans="2:7">
      <c r="B121" s="538"/>
      <c r="C121" s="538"/>
      <c r="D121" s="538"/>
      <c r="E121" s="538"/>
      <c r="F121" s="538"/>
      <c r="G121" s="538"/>
    </row>
    <row r="122" spans="2:7">
      <c r="B122" s="538"/>
      <c r="C122" s="538"/>
      <c r="D122" s="538"/>
      <c r="E122" s="538"/>
      <c r="F122" s="538"/>
      <c r="G122" s="538"/>
    </row>
    <row r="123" spans="2:7">
      <c r="B123" s="538"/>
      <c r="C123" s="538"/>
      <c r="D123" s="538"/>
      <c r="E123" s="538"/>
      <c r="F123" s="538"/>
      <c r="G123" s="538"/>
    </row>
    <row r="124" spans="2:7">
      <c r="B124" s="538"/>
      <c r="C124" s="538"/>
      <c r="D124" s="538"/>
      <c r="E124" s="538"/>
      <c r="F124" s="538"/>
      <c r="G124" s="538"/>
    </row>
    <row r="125" spans="2:7">
      <c r="B125" s="538"/>
      <c r="C125" s="538"/>
      <c r="D125" s="538"/>
      <c r="E125" s="538"/>
      <c r="F125" s="538"/>
      <c r="G125" s="538"/>
    </row>
    <row r="126" spans="2:7">
      <c r="B126" s="538"/>
      <c r="C126" s="538"/>
      <c r="D126" s="538"/>
      <c r="E126" s="538"/>
      <c r="F126" s="538"/>
      <c r="G126" s="538"/>
    </row>
    <row r="127" spans="2:7">
      <c r="B127" s="538"/>
      <c r="C127" s="538"/>
      <c r="D127" s="538"/>
      <c r="E127" s="538"/>
      <c r="F127" s="538"/>
      <c r="G127" s="538"/>
    </row>
    <row r="128" spans="2:7">
      <c r="B128" s="538"/>
      <c r="C128" s="538"/>
      <c r="D128" s="538"/>
      <c r="E128" s="538"/>
      <c r="F128" s="538"/>
      <c r="G128" s="538"/>
    </row>
    <row r="129" spans="2:7">
      <c r="B129" s="538"/>
      <c r="C129" s="538"/>
      <c r="D129" s="538"/>
      <c r="E129" s="538"/>
      <c r="F129" s="538"/>
      <c r="G129" s="538"/>
    </row>
    <row r="130" spans="2:7">
      <c r="B130" s="538"/>
      <c r="C130" s="538"/>
      <c r="D130" s="538"/>
      <c r="E130" s="538"/>
      <c r="F130" s="538"/>
      <c r="G130" s="538"/>
    </row>
    <row r="131" spans="2:7">
      <c r="B131" s="538"/>
      <c r="C131" s="538"/>
      <c r="D131" s="538"/>
      <c r="E131" s="538"/>
      <c r="F131" s="538"/>
      <c r="G131" s="538"/>
    </row>
    <row r="132" spans="2:7">
      <c r="B132" s="538"/>
      <c r="C132" s="538"/>
      <c r="D132" s="538"/>
      <c r="E132" s="538"/>
      <c r="F132" s="538"/>
      <c r="G132" s="538"/>
    </row>
    <row r="133" spans="2:7">
      <c r="B133" s="538"/>
      <c r="C133" s="538"/>
      <c r="D133" s="538"/>
      <c r="E133" s="538"/>
      <c r="F133" s="538"/>
      <c r="G133" s="538"/>
    </row>
    <row r="134" spans="2:7">
      <c r="B134" s="538"/>
      <c r="C134" s="538"/>
      <c r="D134" s="538"/>
      <c r="E134" s="538"/>
      <c r="F134" s="538"/>
      <c r="G134" s="538"/>
    </row>
    <row r="135" spans="2:7">
      <c r="B135" s="538"/>
      <c r="C135" s="538"/>
      <c r="D135" s="538"/>
      <c r="E135" s="538"/>
      <c r="F135" s="538"/>
      <c r="G135" s="538"/>
    </row>
    <row r="136" spans="2:7">
      <c r="B136" s="538"/>
      <c r="C136" s="538"/>
      <c r="D136" s="538"/>
      <c r="E136" s="538"/>
      <c r="F136" s="538"/>
      <c r="G136" s="538"/>
    </row>
    <row r="137" spans="2:7">
      <c r="B137" s="538"/>
      <c r="C137" s="538"/>
      <c r="D137" s="538"/>
      <c r="E137" s="538"/>
      <c r="F137" s="538"/>
      <c r="G137" s="538"/>
    </row>
    <row r="138" spans="2:7">
      <c r="B138" s="538"/>
      <c r="C138" s="538"/>
      <c r="D138" s="538"/>
      <c r="E138" s="538"/>
      <c r="F138" s="538"/>
      <c r="G138" s="538"/>
    </row>
    <row r="139" spans="2:7">
      <c r="B139" s="538"/>
      <c r="C139" s="538"/>
      <c r="D139" s="538"/>
      <c r="E139" s="538"/>
      <c r="F139" s="538"/>
      <c r="G139" s="538"/>
    </row>
    <row r="140" spans="2:7">
      <c r="B140" s="538"/>
      <c r="C140" s="538"/>
      <c r="D140" s="538"/>
      <c r="E140" s="538"/>
      <c r="F140" s="538"/>
      <c r="G140" s="538"/>
    </row>
    <row r="141" spans="2:7">
      <c r="B141" s="538"/>
      <c r="C141" s="538"/>
      <c r="D141" s="538"/>
      <c r="E141" s="538"/>
      <c r="F141" s="538"/>
      <c r="G141" s="538"/>
    </row>
    <row r="142" spans="2:7">
      <c r="B142" s="538"/>
      <c r="C142" s="538"/>
      <c r="D142" s="538"/>
      <c r="E142" s="538"/>
      <c r="F142" s="538"/>
      <c r="G142" s="538"/>
    </row>
    <row r="143" spans="2:7">
      <c r="B143" s="538"/>
      <c r="C143" s="538"/>
      <c r="D143" s="538"/>
      <c r="E143" s="538"/>
      <c r="F143" s="538"/>
      <c r="G143" s="538"/>
    </row>
    <row r="144" spans="2:7">
      <c r="B144" s="538"/>
      <c r="C144" s="538"/>
      <c r="D144" s="538"/>
      <c r="E144" s="538"/>
      <c r="F144" s="538"/>
      <c r="G144" s="538"/>
    </row>
    <row r="145" spans="2:7">
      <c r="B145" s="538"/>
      <c r="C145" s="538"/>
      <c r="D145" s="538"/>
      <c r="E145" s="538"/>
      <c r="F145" s="538"/>
      <c r="G145" s="538"/>
    </row>
    <row r="146" spans="2:7">
      <c r="B146" s="538"/>
      <c r="C146" s="538"/>
      <c r="D146" s="538"/>
      <c r="E146" s="538"/>
      <c r="F146" s="538"/>
      <c r="G146" s="538"/>
    </row>
    <row r="147" spans="2:7">
      <c r="B147" s="538"/>
      <c r="C147" s="538"/>
      <c r="D147" s="538"/>
      <c r="E147" s="538"/>
      <c r="F147" s="538"/>
      <c r="G147" s="538"/>
    </row>
    <row r="148" spans="2:7">
      <c r="B148" s="538"/>
      <c r="C148" s="538"/>
      <c r="D148" s="538"/>
      <c r="E148" s="538"/>
      <c r="F148" s="538"/>
      <c r="G148" s="538"/>
    </row>
    <row r="149" spans="2:7">
      <c r="B149" s="538"/>
      <c r="C149" s="538"/>
      <c r="D149" s="538"/>
      <c r="E149" s="538"/>
      <c r="F149" s="538"/>
      <c r="G149" s="538"/>
    </row>
    <row r="150" spans="2:7">
      <c r="B150" s="538"/>
      <c r="C150" s="538"/>
      <c r="D150" s="538"/>
      <c r="E150" s="538"/>
      <c r="F150" s="538"/>
      <c r="G150" s="538"/>
    </row>
    <row r="151" spans="2:7">
      <c r="B151" s="538"/>
      <c r="C151" s="538"/>
      <c r="D151" s="538"/>
      <c r="E151" s="538"/>
      <c r="F151" s="538"/>
      <c r="G151" s="538"/>
    </row>
    <row r="152" spans="2:7">
      <c r="B152" s="538"/>
      <c r="C152" s="538"/>
      <c r="D152" s="538"/>
      <c r="E152" s="538"/>
      <c r="F152" s="538"/>
      <c r="G152" s="538"/>
    </row>
    <row r="153" spans="2:7">
      <c r="B153" s="538"/>
      <c r="C153" s="538"/>
      <c r="D153" s="538"/>
      <c r="E153" s="538"/>
      <c r="F153" s="538"/>
      <c r="G153" s="538"/>
    </row>
    <row r="154" spans="2:7">
      <c r="B154" s="538"/>
      <c r="C154" s="538"/>
      <c r="D154" s="538"/>
      <c r="E154" s="538"/>
      <c r="F154" s="538"/>
      <c r="G154" s="538"/>
    </row>
    <row r="155" spans="2:7">
      <c r="B155" s="538"/>
      <c r="C155" s="538"/>
      <c r="D155" s="538"/>
      <c r="E155" s="538"/>
      <c r="F155" s="538"/>
      <c r="G155" s="538"/>
    </row>
    <row r="156" spans="2:7">
      <c r="B156" s="538"/>
      <c r="C156" s="538"/>
      <c r="D156" s="538"/>
      <c r="E156" s="538"/>
      <c r="F156" s="538"/>
      <c r="G156" s="538"/>
    </row>
    <row r="157" spans="2:7">
      <c r="B157" s="538"/>
      <c r="C157" s="538"/>
      <c r="D157" s="538"/>
      <c r="E157" s="538"/>
      <c r="F157" s="538"/>
      <c r="G157" s="538"/>
    </row>
    <row r="158" spans="2:7">
      <c r="B158" s="538"/>
      <c r="C158" s="538"/>
      <c r="D158" s="538"/>
      <c r="E158" s="538"/>
      <c r="F158" s="538"/>
      <c r="G158" s="538"/>
    </row>
    <row r="159" spans="2:7">
      <c r="B159" s="538"/>
      <c r="C159" s="538"/>
      <c r="D159" s="538"/>
      <c r="E159" s="538"/>
      <c r="F159" s="538"/>
      <c r="G159" s="538"/>
    </row>
    <row r="160" spans="2:7">
      <c r="B160" s="538"/>
      <c r="C160" s="538"/>
      <c r="D160" s="538"/>
      <c r="E160" s="538"/>
      <c r="F160" s="538"/>
      <c r="G160" s="538"/>
    </row>
    <row r="161" spans="2:7">
      <c r="B161" s="538"/>
      <c r="C161" s="538"/>
      <c r="D161" s="538"/>
      <c r="E161" s="538"/>
      <c r="F161" s="538"/>
      <c r="G161" s="538"/>
    </row>
    <row r="162" spans="2:7">
      <c r="B162" s="538"/>
      <c r="C162" s="538"/>
      <c r="D162" s="538"/>
      <c r="E162" s="538"/>
      <c r="F162" s="538"/>
      <c r="G162" s="538"/>
    </row>
    <row r="163" spans="2:7">
      <c r="B163" s="538"/>
      <c r="C163" s="538"/>
      <c r="D163" s="538"/>
      <c r="E163" s="538"/>
      <c r="F163" s="538"/>
      <c r="G163" s="538"/>
    </row>
    <row r="164" spans="2:7">
      <c r="B164" s="538"/>
      <c r="C164" s="538"/>
      <c r="D164" s="538"/>
      <c r="E164" s="538"/>
      <c r="F164" s="538"/>
      <c r="G164" s="538"/>
    </row>
    <row r="165" spans="2:7">
      <c r="B165" s="538"/>
      <c r="C165" s="538"/>
      <c r="D165" s="538"/>
      <c r="E165" s="538"/>
      <c r="F165" s="538"/>
      <c r="G165" s="538"/>
    </row>
    <row r="166" spans="2:7">
      <c r="B166" s="538"/>
      <c r="C166" s="538"/>
      <c r="D166" s="538"/>
      <c r="E166" s="538"/>
      <c r="F166" s="538"/>
      <c r="G166" s="538"/>
    </row>
    <row r="167" spans="2:7">
      <c r="B167" s="538"/>
      <c r="C167" s="538"/>
      <c r="D167" s="538"/>
      <c r="E167" s="538"/>
      <c r="F167" s="538"/>
      <c r="G167" s="538"/>
    </row>
    <row r="168" spans="2:7">
      <c r="B168" s="538"/>
      <c r="C168" s="538"/>
      <c r="D168" s="538"/>
      <c r="E168" s="538"/>
      <c r="F168" s="538"/>
      <c r="G168" s="538"/>
    </row>
    <row r="169" spans="2:7">
      <c r="B169" s="538"/>
      <c r="C169" s="538"/>
      <c r="D169" s="538"/>
      <c r="E169" s="538"/>
      <c r="F169" s="538"/>
      <c r="G169" s="538"/>
    </row>
    <row r="170" spans="2:7">
      <c r="B170" s="538"/>
      <c r="C170" s="538"/>
      <c r="D170" s="538"/>
      <c r="E170" s="538"/>
      <c r="F170" s="538"/>
      <c r="G170" s="538"/>
    </row>
    <row r="171" spans="2:7">
      <c r="B171" s="538"/>
      <c r="C171" s="538"/>
      <c r="D171" s="538"/>
      <c r="E171" s="538"/>
      <c r="F171" s="538"/>
      <c r="G171" s="538"/>
    </row>
    <row r="172" spans="2:7">
      <c r="B172" s="538"/>
      <c r="C172" s="538"/>
      <c r="D172" s="538"/>
      <c r="E172" s="538"/>
      <c r="F172" s="538"/>
      <c r="G172" s="538"/>
    </row>
    <row r="173" spans="2:7">
      <c r="B173" s="538"/>
      <c r="C173" s="538"/>
      <c r="D173" s="538"/>
      <c r="E173" s="538"/>
      <c r="F173" s="538"/>
      <c r="G173" s="538"/>
    </row>
    <row r="174" spans="2:7">
      <c r="B174" s="538"/>
      <c r="C174" s="538"/>
      <c r="D174" s="538"/>
      <c r="E174" s="538"/>
      <c r="F174" s="538"/>
      <c r="G174" s="538"/>
    </row>
    <row r="175" spans="2:7">
      <c r="B175" s="538"/>
      <c r="C175" s="538"/>
      <c r="D175" s="538"/>
      <c r="E175" s="538"/>
      <c r="F175" s="538"/>
      <c r="G175" s="538"/>
    </row>
    <row r="176" spans="2:7">
      <c r="B176" s="538"/>
      <c r="C176" s="538"/>
      <c r="D176" s="538"/>
      <c r="E176" s="538"/>
      <c r="F176" s="538"/>
      <c r="G176" s="538"/>
    </row>
    <row r="177" spans="2:7">
      <c r="B177" s="538"/>
      <c r="C177" s="538"/>
      <c r="D177" s="538"/>
      <c r="E177" s="538"/>
      <c r="F177" s="538"/>
      <c r="G177" s="538"/>
    </row>
    <row r="178" spans="2:7">
      <c r="B178" s="538"/>
      <c r="C178" s="538"/>
      <c r="D178" s="538"/>
      <c r="E178" s="538"/>
      <c r="F178" s="538"/>
      <c r="G178" s="538"/>
    </row>
    <row r="179" spans="2:7">
      <c r="B179" s="538"/>
      <c r="C179" s="538"/>
      <c r="D179" s="538"/>
      <c r="E179" s="538"/>
      <c r="F179" s="538"/>
      <c r="G179" s="538"/>
    </row>
    <row r="180" spans="2:7">
      <c r="B180" s="538"/>
      <c r="C180" s="538"/>
      <c r="D180" s="538"/>
      <c r="E180" s="538"/>
      <c r="F180" s="538"/>
      <c r="G180" s="538"/>
    </row>
    <row r="181" spans="2:7">
      <c r="B181" s="538"/>
      <c r="C181" s="538"/>
      <c r="D181" s="538"/>
      <c r="E181" s="538"/>
      <c r="F181" s="538"/>
      <c r="G181" s="538"/>
    </row>
    <row r="182" spans="2:7">
      <c r="B182" s="538"/>
      <c r="C182" s="538"/>
      <c r="D182" s="538"/>
      <c r="E182" s="538"/>
      <c r="F182" s="538"/>
      <c r="G182" s="538"/>
    </row>
    <row r="183" spans="2:7">
      <c r="B183" s="538"/>
      <c r="C183" s="538"/>
      <c r="D183" s="538"/>
      <c r="E183" s="538"/>
      <c r="F183" s="538"/>
      <c r="G183" s="538"/>
    </row>
    <row r="184" spans="2:7">
      <c r="B184" s="538"/>
      <c r="C184" s="538"/>
      <c r="D184" s="538"/>
      <c r="E184" s="538"/>
      <c r="F184" s="538"/>
      <c r="G184" s="538"/>
    </row>
    <row r="185" spans="2:7">
      <c r="B185" s="538"/>
      <c r="C185" s="538"/>
      <c r="D185" s="538"/>
      <c r="E185" s="538"/>
      <c r="F185" s="538"/>
      <c r="G185" s="538"/>
    </row>
    <row r="186" spans="2:7">
      <c r="B186" s="538"/>
      <c r="C186" s="538"/>
      <c r="D186" s="538"/>
      <c r="E186" s="538"/>
      <c r="F186" s="538"/>
      <c r="G186" s="538"/>
    </row>
    <row r="187" spans="2:7">
      <c r="B187" s="538"/>
      <c r="C187" s="538"/>
      <c r="D187" s="538"/>
      <c r="E187" s="538"/>
      <c r="F187" s="538"/>
      <c r="G187" s="538"/>
    </row>
    <row r="188" spans="2:7">
      <c r="B188" s="538"/>
      <c r="C188" s="538"/>
      <c r="D188" s="538"/>
      <c r="E188" s="538"/>
      <c r="F188" s="538"/>
      <c r="G188" s="538"/>
    </row>
    <row r="189" spans="2:7">
      <c r="B189" s="538"/>
      <c r="C189" s="538"/>
      <c r="D189" s="538"/>
      <c r="E189" s="538"/>
      <c r="F189" s="538"/>
      <c r="G189" s="538"/>
    </row>
    <row r="190" spans="2:7">
      <c r="B190" s="538"/>
      <c r="C190" s="538"/>
      <c r="D190" s="538"/>
      <c r="E190" s="538"/>
      <c r="F190" s="538"/>
      <c r="G190" s="538"/>
    </row>
    <row r="191" spans="2:7">
      <c r="B191" s="538"/>
      <c r="C191" s="538"/>
      <c r="D191" s="538"/>
      <c r="E191" s="538"/>
      <c r="F191" s="538"/>
      <c r="G191" s="538"/>
    </row>
    <row r="192" spans="2:7">
      <c r="B192" s="538"/>
      <c r="C192" s="538"/>
      <c r="D192" s="538"/>
      <c r="E192" s="538"/>
      <c r="F192" s="538"/>
      <c r="G192" s="538"/>
    </row>
    <row r="193" spans="2:7">
      <c r="B193" s="538"/>
      <c r="C193" s="538"/>
      <c r="D193" s="538"/>
      <c r="E193" s="538"/>
      <c r="F193" s="538"/>
      <c r="G193" s="538"/>
    </row>
    <row r="194" spans="2:7">
      <c r="B194" s="538"/>
      <c r="C194" s="538"/>
      <c r="D194" s="538"/>
      <c r="E194" s="538"/>
      <c r="F194" s="538"/>
      <c r="G194" s="538"/>
    </row>
    <row r="195" spans="2:7">
      <c r="B195" s="538"/>
      <c r="C195" s="538"/>
      <c r="D195" s="538"/>
      <c r="E195" s="538"/>
      <c r="F195" s="538"/>
      <c r="G195" s="538"/>
    </row>
    <row r="196" spans="2:7">
      <c r="B196" s="538"/>
      <c r="C196" s="538"/>
      <c r="D196" s="538"/>
      <c r="E196" s="538"/>
      <c r="F196" s="538"/>
      <c r="G196" s="538"/>
    </row>
    <row r="197" spans="2:7">
      <c r="B197" s="538"/>
      <c r="C197" s="538"/>
      <c r="D197" s="538"/>
      <c r="E197" s="538"/>
      <c r="F197" s="538"/>
      <c r="G197" s="538"/>
    </row>
    <row r="198" spans="2:7">
      <c r="B198" s="538"/>
      <c r="C198" s="538"/>
      <c r="D198" s="538"/>
      <c r="E198" s="538"/>
      <c r="F198" s="538"/>
      <c r="G198" s="538"/>
    </row>
    <row r="199" spans="2:7">
      <c r="B199" s="538"/>
      <c r="C199" s="538"/>
      <c r="D199" s="538"/>
      <c r="E199" s="538"/>
      <c r="F199" s="538"/>
      <c r="G199" s="538"/>
    </row>
    <row r="200" spans="2:7">
      <c r="B200" s="538"/>
      <c r="C200" s="538"/>
      <c r="D200" s="538"/>
      <c r="E200" s="538"/>
      <c r="F200" s="538"/>
      <c r="G200" s="538"/>
    </row>
    <row r="201" spans="2:7">
      <c r="B201" s="538"/>
      <c r="C201" s="538"/>
      <c r="D201" s="538"/>
      <c r="E201" s="538"/>
      <c r="F201" s="538"/>
      <c r="G201" s="538"/>
    </row>
    <row r="202" spans="2:7">
      <c r="B202" s="538"/>
      <c r="C202" s="538"/>
      <c r="D202" s="538"/>
      <c r="E202" s="538"/>
      <c r="F202" s="538"/>
      <c r="G202" s="538"/>
    </row>
    <row r="203" spans="2:7">
      <c r="B203" s="538"/>
      <c r="C203" s="538"/>
      <c r="D203" s="538"/>
      <c r="E203" s="538"/>
      <c r="F203" s="538"/>
      <c r="G203" s="538"/>
    </row>
    <row r="204" spans="2:7">
      <c r="B204" s="538"/>
      <c r="C204" s="538"/>
      <c r="D204" s="538"/>
      <c r="E204" s="538"/>
      <c r="F204" s="538"/>
      <c r="G204" s="538"/>
    </row>
    <row r="205" spans="2:7">
      <c r="B205" s="538"/>
      <c r="C205" s="538"/>
      <c r="D205" s="538"/>
      <c r="E205" s="538"/>
      <c r="F205" s="538"/>
      <c r="G205" s="538"/>
    </row>
    <row r="206" spans="2:7">
      <c r="B206" s="538"/>
      <c r="C206" s="538"/>
      <c r="D206" s="538"/>
      <c r="E206" s="538"/>
      <c r="F206" s="538"/>
      <c r="G206" s="538"/>
    </row>
    <row r="207" spans="2:7">
      <c r="B207" s="538"/>
      <c r="C207" s="538"/>
      <c r="D207" s="538"/>
      <c r="E207" s="538"/>
      <c r="F207" s="538"/>
      <c r="G207" s="538"/>
    </row>
    <row r="208" spans="2:7">
      <c r="B208" s="538"/>
      <c r="C208" s="538"/>
      <c r="D208" s="538"/>
      <c r="E208" s="538"/>
      <c r="F208" s="538"/>
      <c r="G208" s="538"/>
    </row>
    <row r="209" spans="2:7">
      <c r="B209" s="538"/>
      <c r="C209" s="538"/>
      <c r="D209" s="538"/>
      <c r="E209" s="538"/>
      <c r="F209" s="538"/>
      <c r="G209" s="538"/>
    </row>
    <row r="210" spans="2:7">
      <c r="B210" s="538"/>
      <c r="C210" s="538"/>
      <c r="D210" s="538"/>
      <c r="E210" s="538"/>
      <c r="F210" s="538"/>
      <c r="G210" s="538"/>
    </row>
    <row r="211" spans="2:7">
      <c r="B211" s="538"/>
      <c r="C211" s="538"/>
      <c r="D211" s="538"/>
      <c r="E211" s="538"/>
      <c r="F211" s="538"/>
      <c r="G211" s="538"/>
    </row>
    <row r="212" spans="2:7">
      <c r="B212" s="538"/>
      <c r="C212" s="538"/>
      <c r="D212" s="538"/>
      <c r="E212" s="538"/>
      <c r="F212" s="538"/>
      <c r="G212" s="538"/>
    </row>
    <row r="213" spans="2:7">
      <c r="B213" s="538"/>
      <c r="C213" s="538"/>
      <c r="D213" s="538"/>
      <c r="E213" s="538"/>
      <c r="F213" s="538"/>
      <c r="G213" s="538"/>
    </row>
    <row r="214" spans="2:7">
      <c r="B214" s="538"/>
      <c r="C214" s="538"/>
      <c r="D214" s="538"/>
      <c r="E214" s="538"/>
      <c r="F214" s="538"/>
      <c r="G214" s="538"/>
    </row>
    <row r="215" spans="2:7">
      <c r="B215" s="538"/>
      <c r="C215" s="538"/>
      <c r="D215" s="538"/>
      <c r="E215" s="538"/>
      <c r="F215" s="538"/>
      <c r="G215" s="538"/>
    </row>
    <row r="216" spans="2:7">
      <c r="B216" s="538"/>
      <c r="C216" s="538"/>
      <c r="D216" s="538"/>
      <c r="E216" s="538"/>
      <c r="F216" s="538"/>
      <c r="G216" s="538"/>
    </row>
    <row r="217" spans="2:7">
      <c r="B217" s="538"/>
      <c r="C217" s="538"/>
      <c r="D217" s="538"/>
      <c r="E217" s="538"/>
      <c r="F217" s="538"/>
      <c r="G217" s="538"/>
    </row>
    <row r="218" spans="2:7">
      <c r="B218" s="538"/>
      <c r="C218" s="538"/>
      <c r="D218" s="538"/>
      <c r="E218" s="538"/>
      <c r="F218" s="538"/>
      <c r="G218" s="538"/>
    </row>
    <row r="219" spans="2:7">
      <c r="B219" s="538"/>
      <c r="C219" s="538"/>
      <c r="D219" s="538"/>
      <c r="E219" s="538"/>
      <c r="F219" s="538"/>
      <c r="G219" s="538"/>
    </row>
    <row r="220" spans="2:7">
      <c r="B220" s="538"/>
      <c r="C220" s="538"/>
      <c r="D220" s="538"/>
      <c r="E220" s="538"/>
      <c r="F220" s="538"/>
      <c r="G220" s="538"/>
    </row>
    <row r="221" spans="2:7">
      <c r="B221" s="538"/>
      <c r="C221" s="538"/>
      <c r="D221" s="538"/>
      <c r="E221" s="538"/>
      <c r="F221" s="538"/>
      <c r="G221" s="538"/>
    </row>
    <row r="222" spans="2:7">
      <c r="B222" s="538"/>
      <c r="C222" s="538"/>
      <c r="D222" s="538"/>
      <c r="E222" s="538"/>
      <c r="F222" s="538"/>
      <c r="G222" s="538"/>
    </row>
    <row r="223" spans="2:7">
      <c r="B223" s="538"/>
      <c r="C223" s="538"/>
      <c r="D223" s="538"/>
      <c r="E223" s="538"/>
      <c r="F223" s="538"/>
      <c r="G223" s="538"/>
    </row>
    <row r="224" spans="2:7">
      <c r="B224" s="538"/>
      <c r="C224" s="538"/>
      <c r="D224" s="538"/>
      <c r="E224" s="538"/>
      <c r="F224" s="538"/>
      <c r="G224" s="538"/>
    </row>
    <row r="225" spans="2:7">
      <c r="B225" s="538"/>
      <c r="C225" s="538"/>
      <c r="D225" s="538"/>
      <c r="E225" s="538"/>
      <c r="F225" s="538"/>
      <c r="G225" s="538"/>
    </row>
    <row r="226" spans="2:7">
      <c r="B226" s="538"/>
      <c r="C226" s="538"/>
      <c r="D226" s="538"/>
      <c r="E226" s="538"/>
      <c r="F226" s="538"/>
      <c r="G226" s="538"/>
    </row>
    <row r="227" spans="2:7">
      <c r="B227" s="538"/>
      <c r="C227" s="538"/>
      <c r="D227" s="538"/>
      <c r="E227" s="538"/>
      <c r="F227" s="538"/>
      <c r="G227" s="538"/>
    </row>
    <row r="228" spans="2:7">
      <c r="G228" s="538"/>
    </row>
    <row r="229" spans="2:7">
      <c r="G229" s="538"/>
    </row>
    <row r="230" spans="2:7">
      <c r="G230" s="538"/>
    </row>
    <row r="231" spans="2:7">
      <c r="G231" s="538"/>
    </row>
    <row r="232" spans="2:7">
      <c r="G232" s="538"/>
    </row>
    <row r="233" spans="2:7">
      <c r="G233" s="538"/>
    </row>
  </sheetData>
  <mergeCells count="8">
    <mergeCell ref="B50:C50"/>
    <mergeCell ref="B1:G1"/>
    <mergeCell ref="C2:F2"/>
    <mergeCell ref="B3:G3"/>
    <mergeCell ref="B29:F29"/>
    <mergeCell ref="B31:C31"/>
    <mergeCell ref="B37:C37"/>
    <mergeCell ref="B43:C43"/>
  </mergeCells>
  <pageMargins left="0.7" right="0.7" top="0.75" bottom="0.75" header="0.3" footer="0.3"/>
  <pageSetup paperSize="9" scale="44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30E14-5630-4724-A6B5-0422EB83DFB7}">
  <sheetPr>
    <pageSetUpPr fitToPage="1"/>
  </sheetPr>
  <dimension ref="A1:AR141"/>
  <sheetViews>
    <sheetView view="pageBreakPreview" zoomScale="85" zoomScaleNormal="70" zoomScaleSheetLayoutView="85" workbookViewId="0">
      <selection activeCell="D7" sqref="D7"/>
    </sheetView>
  </sheetViews>
  <sheetFormatPr baseColWidth="10" defaultColWidth="11.42578125" defaultRowHeight="15"/>
  <cols>
    <col min="1" max="1" width="11.5703125" style="39"/>
    <col min="2" max="2" width="28.85546875" customWidth="1"/>
    <col min="3" max="3" width="36.5703125" customWidth="1"/>
    <col min="4" max="4" width="28.5703125" customWidth="1"/>
    <col min="5" max="5" width="30.42578125" customWidth="1"/>
    <col min="6" max="6" width="21" customWidth="1"/>
    <col min="7" max="7" width="25" bestFit="1" customWidth="1"/>
    <col min="8" max="8" width="31.42578125" bestFit="1" customWidth="1"/>
    <col min="9" max="10" width="11.5703125" style="39"/>
    <col min="11" max="11" width="25.42578125" style="39" customWidth="1"/>
    <col min="12" max="44" width="11.5703125" style="39"/>
  </cols>
  <sheetData>
    <row r="1" spans="2:14" ht="63.75" customHeight="1">
      <c r="B1" s="1172" t="s">
        <v>648</v>
      </c>
      <c r="C1" s="1172"/>
      <c r="D1" s="1172"/>
      <c r="E1" s="1172"/>
      <c r="F1" s="1172"/>
      <c r="G1" s="1172"/>
      <c r="H1" s="1172"/>
    </row>
    <row r="2" spans="2:14" ht="18">
      <c r="B2" s="497" t="s">
        <v>701</v>
      </c>
      <c r="C2" s="1173" t="s">
        <v>702</v>
      </c>
      <c r="D2" s="1173"/>
      <c r="E2" s="1173"/>
      <c r="F2" s="1173"/>
      <c r="G2" s="1173"/>
      <c r="H2" s="498" t="s">
        <v>651</v>
      </c>
    </row>
    <row r="3" spans="2:14" ht="23.25">
      <c r="B3" s="1174" t="s">
        <v>703</v>
      </c>
      <c r="C3" s="1174"/>
      <c r="D3" s="1174"/>
      <c r="E3" s="1174"/>
      <c r="F3" s="1174"/>
      <c r="G3" s="1174"/>
      <c r="H3" s="1174"/>
    </row>
    <row r="4" spans="2:14" s="39" customFormat="1" ht="18" customHeight="1">
      <c r="B4" s="499"/>
      <c r="C4" s="499"/>
      <c r="D4" s="499"/>
      <c r="E4" s="499"/>
      <c r="F4" s="499"/>
      <c r="G4" s="500"/>
    </row>
    <row r="5" spans="2:14" ht="23.25" customHeight="1">
      <c r="B5" s="1162" t="s">
        <v>704</v>
      </c>
      <c r="C5" s="1162"/>
      <c r="D5" s="501">
        <f>+'Tabla Salarial '!C5</f>
        <v>1750905</v>
      </c>
      <c r="E5" s="502"/>
      <c r="F5" s="502"/>
      <c r="G5" s="503"/>
      <c r="H5" s="502"/>
    </row>
    <row r="6" spans="2:14" ht="23.25" customHeight="1">
      <c r="B6" s="1162" t="s">
        <v>705</v>
      </c>
      <c r="C6" s="1162"/>
      <c r="D6" s="501">
        <v>849397759</v>
      </c>
      <c r="E6" s="502"/>
      <c r="F6" s="502"/>
      <c r="G6" s="503"/>
      <c r="H6" s="502"/>
    </row>
    <row r="7" spans="2:14" ht="23.25" customHeight="1">
      <c r="B7" s="1162" t="s">
        <v>706</v>
      </c>
      <c r="C7" s="1162"/>
      <c r="D7" s="504">
        <f>+'AU '!F5*30</f>
        <v>90</v>
      </c>
      <c r="E7" s="505"/>
      <c r="F7" s="505"/>
      <c r="G7" s="506"/>
      <c r="H7" s="505"/>
    </row>
    <row r="8" spans="2:14" ht="23.25" customHeight="1">
      <c r="B8" s="1164" t="s">
        <v>707</v>
      </c>
      <c r="C8" s="1164"/>
      <c r="D8" s="507">
        <v>0</v>
      </c>
      <c r="F8" s="508"/>
      <c r="G8" s="508"/>
      <c r="H8" s="508"/>
    </row>
    <row r="9" spans="2:14" ht="23.25" customHeight="1">
      <c r="B9" s="1164" t="s">
        <v>708</v>
      </c>
      <c r="C9" s="1164"/>
      <c r="D9" s="509">
        <f>+D6*D8</f>
        <v>0</v>
      </c>
      <c r="E9" s="510"/>
      <c r="F9" s="508"/>
      <c r="G9" s="508"/>
      <c r="H9" s="508"/>
    </row>
    <row r="10" spans="2:14" s="39" customFormat="1" ht="23.25" customHeight="1">
      <c r="B10" s="511"/>
      <c r="C10" s="511"/>
      <c r="D10" s="512"/>
      <c r="E10" s="508"/>
      <c r="F10" s="508"/>
      <c r="G10" s="508"/>
      <c r="H10" s="508"/>
    </row>
    <row r="11" spans="2:14" s="39" customFormat="1" ht="18" customHeight="1">
      <c r="B11" s="508"/>
      <c r="C11" s="508"/>
      <c r="D11" s="508"/>
      <c r="E11" s="508"/>
      <c r="F11" s="508"/>
      <c r="G11" s="513"/>
      <c r="H11" s="508"/>
      <c r="K11" s="514"/>
    </row>
    <row r="12" spans="2:14" ht="18" customHeight="1">
      <c r="B12" s="1170" t="s">
        <v>709</v>
      </c>
      <c r="C12" s="1170"/>
      <c r="D12" s="1170" t="s">
        <v>710</v>
      </c>
      <c r="E12" s="1170"/>
      <c r="F12" s="1170" t="s">
        <v>711</v>
      </c>
      <c r="G12" s="1171" t="s">
        <v>712</v>
      </c>
      <c r="H12" s="1165" t="s">
        <v>713</v>
      </c>
    </row>
    <row r="13" spans="2:14" ht="23.25" customHeight="1">
      <c r="B13" s="1170"/>
      <c r="C13" s="1170"/>
      <c r="D13" s="515" t="s">
        <v>714</v>
      </c>
      <c r="E13" s="516" t="s">
        <v>715</v>
      </c>
      <c r="F13" s="1170"/>
      <c r="G13" s="1171"/>
      <c r="H13" s="1165"/>
      <c r="K13" s="517"/>
      <c r="N13" s="518"/>
    </row>
    <row r="14" spans="2:14" ht="25.5" customHeight="1">
      <c r="B14" s="1166" t="s">
        <v>716</v>
      </c>
      <c r="C14" s="1166"/>
      <c r="D14" s="519">
        <v>0.1</v>
      </c>
      <c r="E14" s="520">
        <f>$D$6*D14</f>
        <v>84939775.900000006</v>
      </c>
      <c r="F14" s="521">
        <f>+D7+(30*6)</f>
        <v>270</v>
      </c>
      <c r="G14" s="522">
        <v>3.0000000000000001E-3</v>
      </c>
      <c r="H14" s="520">
        <f t="shared" ref="H14:H20" si="0">(E14*G14)/365*F14</f>
        <v>188496.48898356166</v>
      </c>
      <c r="K14" s="523"/>
    </row>
    <row r="15" spans="2:14" ht="25.5" customHeight="1">
      <c r="B15" s="1166" t="s">
        <v>717</v>
      </c>
      <c r="C15" s="1166"/>
      <c r="D15" s="524">
        <v>0.2</v>
      </c>
      <c r="E15" s="520">
        <f>$D$6*D15</f>
        <v>169879551.80000001</v>
      </c>
      <c r="F15" s="525">
        <f>+(5*365)</f>
        <v>1825</v>
      </c>
      <c r="G15" s="522">
        <v>3.0000000000000001E-3</v>
      </c>
      <c r="H15" s="520">
        <f t="shared" si="0"/>
        <v>2548193.2770000002</v>
      </c>
    </row>
    <row r="16" spans="2:14" ht="25.5" customHeight="1">
      <c r="B16" s="1167" t="s">
        <v>718</v>
      </c>
      <c r="C16" s="1168"/>
      <c r="D16" s="524">
        <v>0</v>
      </c>
      <c r="E16" s="520">
        <f t="shared" ref="E16:E17" si="1">$D$6*D16</f>
        <v>0</v>
      </c>
      <c r="F16" s="525">
        <f>+D7+(30*6)</f>
        <v>270</v>
      </c>
      <c r="G16" s="522">
        <v>3.0000000000000001E-3</v>
      </c>
      <c r="H16" s="520">
        <f t="shared" si="0"/>
        <v>0</v>
      </c>
    </row>
    <row r="17" spans="2:11" ht="25.5" customHeight="1">
      <c r="B17" s="1169" t="s">
        <v>719</v>
      </c>
      <c r="C17" s="1169"/>
      <c r="D17" s="526">
        <v>0.2</v>
      </c>
      <c r="E17" s="527">
        <f t="shared" si="1"/>
        <v>169879551.80000001</v>
      </c>
      <c r="F17" s="525">
        <f>+D7+(3*365)</f>
        <v>1185</v>
      </c>
      <c r="G17" s="522">
        <v>3.0000000000000001E-3</v>
      </c>
      <c r="H17" s="520">
        <f t="shared" si="0"/>
        <v>1654580.2921890414</v>
      </c>
      <c r="K17" s="514"/>
    </row>
    <row r="18" spans="2:11" ht="25.5" customHeight="1">
      <c r="B18" s="1169" t="s">
        <v>720</v>
      </c>
      <c r="C18" s="1169"/>
      <c r="D18" s="526" t="str">
        <f>+B31</f>
        <v>200 SMMLV</v>
      </c>
      <c r="E18" s="527">
        <f>200*D5</f>
        <v>350181000</v>
      </c>
      <c r="F18" s="528">
        <f>+D7</f>
        <v>90</v>
      </c>
      <c r="G18" s="529">
        <v>3.0000000000000001E-3</v>
      </c>
      <c r="H18" s="520">
        <f t="shared" si="0"/>
        <v>259037.99999999997</v>
      </c>
    </row>
    <row r="19" spans="2:11" ht="25.5" customHeight="1">
      <c r="B19" s="1166" t="s">
        <v>721</v>
      </c>
      <c r="C19" s="1166"/>
      <c r="D19" s="524">
        <v>0</v>
      </c>
      <c r="E19" s="520">
        <f>$D$6*D19</f>
        <v>0</v>
      </c>
      <c r="F19" s="530">
        <f>+D7+(6*30)</f>
        <v>270</v>
      </c>
      <c r="G19" s="522">
        <v>3.0000000000000001E-3</v>
      </c>
      <c r="H19" s="520">
        <f t="shared" si="0"/>
        <v>0</v>
      </c>
    </row>
    <row r="20" spans="2:11" ht="25.5" customHeight="1">
      <c r="B20" s="1169" t="s">
        <v>722</v>
      </c>
      <c r="C20" s="1169"/>
      <c r="D20" s="526">
        <v>0</v>
      </c>
      <c r="E20" s="520">
        <f>+D9</f>
        <v>0</v>
      </c>
      <c r="F20" s="528">
        <f>+D7+(6*30)</f>
        <v>270</v>
      </c>
      <c r="G20" s="529">
        <v>3.0000000000000001E-3</v>
      </c>
      <c r="H20" s="527">
        <f t="shared" si="0"/>
        <v>0</v>
      </c>
    </row>
    <row r="21" spans="2:11" ht="18" customHeight="1">
      <c r="B21" s="1162" t="s">
        <v>723</v>
      </c>
      <c r="C21" s="1162"/>
      <c r="D21" s="1162"/>
      <c r="E21" s="1162"/>
      <c r="F21" s="1162"/>
      <c r="G21" s="1162"/>
      <c r="H21" s="531">
        <f>SUM(H14:H20)</f>
        <v>4650308.0581726031</v>
      </c>
    </row>
    <row r="22" spans="2:11" ht="18">
      <c r="B22" s="1163" t="s">
        <v>724</v>
      </c>
      <c r="C22" s="1163"/>
      <c r="D22" s="1163"/>
      <c r="E22" s="1163"/>
      <c r="F22" s="1163"/>
      <c r="G22" s="1163"/>
      <c r="H22" s="532">
        <v>15000</v>
      </c>
    </row>
    <row r="23" spans="2:11" ht="18">
      <c r="B23" s="1163" t="s">
        <v>725</v>
      </c>
      <c r="C23" s="1163"/>
      <c r="D23" s="1163"/>
      <c r="E23" s="1163"/>
      <c r="F23" s="1163"/>
      <c r="G23" s="1163"/>
      <c r="H23" s="533">
        <f>ROUND((H21+H22)*19%,0)</f>
        <v>886409</v>
      </c>
    </row>
    <row r="24" spans="2:11" ht="18">
      <c r="B24" s="1162" t="s">
        <v>726</v>
      </c>
      <c r="C24" s="1162"/>
      <c r="D24" s="1162"/>
      <c r="E24" s="1162"/>
      <c r="F24" s="1162"/>
      <c r="G24" s="1162"/>
      <c r="H24" s="531">
        <f>ROUND(SUM(H21:H23),0)</f>
        <v>5551717</v>
      </c>
      <c r="J24" s="518"/>
    </row>
    <row r="25" spans="2:11" ht="18">
      <c r="B25" s="508"/>
      <c r="C25" s="508"/>
      <c r="D25" s="508"/>
      <c r="E25" s="508"/>
      <c r="F25" s="508"/>
      <c r="G25" s="506"/>
      <c r="H25" s="505"/>
    </row>
    <row r="26" spans="2:11" ht="18">
      <c r="B26" s="1164" t="s">
        <v>727</v>
      </c>
      <c r="C26" s="1164"/>
      <c r="D26" s="534">
        <f>H24/D6</f>
        <v>6.5360626881522067E-3</v>
      </c>
      <c r="E26" s="508"/>
      <c r="F26" s="508"/>
      <c r="G26" s="508"/>
      <c r="H26" s="508"/>
    </row>
    <row r="27" spans="2:11" s="39" customFormat="1" ht="18">
      <c r="B27" s="535"/>
      <c r="C27" s="535"/>
      <c r="D27" s="536"/>
      <c r="E27" s="505" t="s">
        <v>728</v>
      </c>
      <c r="F27" s="505"/>
      <c r="G27" s="506"/>
      <c r="H27" s="505"/>
    </row>
    <row r="28" spans="2:11" s="39" customFormat="1" ht="18">
      <c r="B28" s="535"/>
      <c r="C28" s="535"/>
      <c r="D28" s="537"/>
      <c r="E28" s="505"/>
      <c r="F28" s="505"/>
      <c r="G28" s="506"/>
      <c r="H28" s="505"/>
    </row>
    <row r="29" spans="2:11" s="39" customFormat="1" ht="24" customHeight="1">
      <c r="B29" s="1160" t="s">
        <v>729</v>
      </c>
      <c r="C29" s="1160"/>
      <c r="D29" s="1160"/>
      <c r="E29" s="1160"/>
      <c r="F29" s="1160"/>
      <c r="G29" s="1160"/>
      <c r="H29" s="538"/>
    </row>
    <row r="30" spans="2:11" s="39" customFormat="1" ht="24" customHeight="1">
      <c r="B30" s="539"/>
      <c r="C30" s="540" t="s">
        <v>730</v>
      </c>
      <c r="D30" s="540" t="s">
        <v>731</v>
      </c>
      <c r="E30" s="1161" t="s">
        <v>732</v>
      </c>
      <c r="F30" s="1161"/>
      <c r="G30" s="1161"/>
      <c r="H30" s="538"/>
    </row>
    <row r="31" spans="2:11" s="39" customFormat="1" ht="26.25" customHeight="1">
      <c r="B31" s="541" t="s">
        <v>733</v>
      </c>
      <c r="C31" s="541" t="s">
        <v>734</v>
      </c>
      <c r="D31" s="542">
        <v>1750905</v>
      </c>
      <c r="E31" s="543">
        <v>1</v>
      </c>
      <c r="F31" s="544" t="s">
        <v>735</v>
      </c>
      <c r="G31" s="543">
        <f>1500*D31</f>
        <v>2626357500</v>
      </c>
      <c r="H31" s="538"/>
    </row>
    <row r="32" spans="2:11" s="39" customFormat="1" ht="26.25" customHeight="1">
      <c r="B32" s="541" t="s">
        <v>736</v>
      </c>
      <c r="C32" s="541" t="s">
        <v>737</v>
      </c>
      <c r="D32" s="542">
        <v>1750905</v>
      </c>
      <c r="E32" s="543">
        <f>+G31</f>
        <v>2626357500</v>
      </c>
      <c r="F32" s="544" t="s">
        <v>738</v>
      </c>
      <c r="G32" s="543">
        <f>+D32*2500</f>
        <v>4377262500</v>
      </c>
      <c r="H32" s="538"/>
    </row>
    <row r="33" spans="2:8" s="39" customFormat="1" ht="26.25" customHeight="1">
      <c r="B33" s="541" t="s">
        <v>739</v>
      </c>
      <c r="C33" s="541" t="s">
        <v>740</v>
      </c>
      <c r="D33" s="542">
        <v>1750905</v>
      </c>
      <c r="E33" s="543">
        <f>+G32</f>
        <v>4377262500</v>
      </c>
      <c r="F33" s="544" t="s">
        <v>738</v>
      </c>
      <c r="G33" s="543">
        <f>+D33*5000</f>
        <v>8754525000</v>
      </c>
      <c r="H33" s="538"/>
    </row>
    <row r="34" spans="2:8" s="39" customFormat="1" ht="26.25" customHeight="1">
      <c r="B34" s="541" t="s">
        <v>741</v>
      </c>
      <c r="C34" s="541" t="s">
        <v>742</v>
      </c>
      <c r="D34" s="542">
        <v>1750905</v>
      </c>
      <c r="E34" s="543">
        <f>+G33</f>
        <v>8754525000</v>
      </c>
      <c r="F34" s="544" t="s">
        <v>738</v>
      </c>
      <c r="G34" s="543">
        <f>+D34*10000</f>
        <v>17509050000</v>
      </c>
      <c r="H34" s="538"/>
    </row>
    <row r="35" spans="2:8" s="39" customFormat="1" ht="37.5" customHeight="1">
      <c r="B35" s="545" t="s">
        <v>743</v>
      </c>
      <c r="C35" s="541" t="s">
        <v>744</v>
      </c>
      <c r="D35" s="542">
        <v>1750905</v>
      </c>
      <c r="E35" s="543">
        <v>0</v>
      </c>
      <c r="F35" s="544" t="s">
        <v>745</v>
      </c>
      <c r="G35" s="543">
        <f>+G34</f>
        <v>17509050000</v>
      </c>
      <c r="H35" s="538"/>
    </row>
    <row r="36" spans="2:8" s="39" customFormat="1"/>
    <row r="37" spans="2:8" s="39" customFormat="1"/>
    <row r="38" spans="2:8" s="39" customFormat="1"/>
    <row r="39" spans="2:8" s="39" customFormat="1"/>
    <row r="40" spans="2:8" s="39" customFormat="1">
      <c r="B40" s="546"/>
    </row>
    <row r="41" spans="2:8" s="39" customFormat="1"/>
    <row r="42" spans="2:8" s="39" customFormat="1"/>
    <row r="43" spans="2:8" s="39" customFormat="1"/>
    <row r="44" spans="2:8" s="39" customFormat="1"/>
    <row r="45" spans="2:8" s="39" customFormat="1"/>
    <row r="46" spans="2:8" s="39" customFormat="1"/>
    <row r="47" spans="2:8" s="39" customFormat="1"/>
    <row r="48" spans="2:8" s="39" customFormat="1"/>
    <row r="49" s="39" customFormat="1"/>
    <row r="50" s="39" customFormat="1"/>
    <row r="51" s="39" customFormat="1"/>
    <row r="52" s="39" customFormat="1"/>
    <row r="53" s="39" customFormat="1"/>
    <row r="54" s="39" customFormat="1"/>
    <row r="55" s="39" customFormat="1"/>
    <row r="56" s="39" customFormat="1"/>
    <row r="57" s="39" customFormat="1"/>
    <row r="58" s="39" customFormat="1"/>
    <row r="59" s="39" customFormat="1"/>
    <row r="60" s="39" customFormat="1"/>
    <row r="61" s="39" customFormat="1"/>
    <row r="62" s="39" customFormat="1"/>
    <row r="63" s="39" customFormat="1"/>
    <row r="64" s="39" customFormat="1"/>
    <row r="65" s="39" customFormat="1"/>
    <row r="66" s="39" customFormat="1"/>
    <row r="67" s="39" customFormat="1"/>
    <row r="68" s="39" customFormat="1"/>
    <row r="69" s="39" customFormat="1"/>
    <row r="70" s="39" customFormat="1"/>
    <row r="71" s="39" customFormat="1"/>
    <row r="72" s="39" customFormat="1"/>
    <row r="73" s="39" customFormat="1"/>
    <row r="74" s="39" customFormat="1"/>
    <row r="75" s="39" customFormat="1"/>
    <row r="76" s="39" customFormat="1"/>
    <row r="77" s="39" customFormat="1"/>
    <row r="78" s="39" customFormat="1"/>
    <row r="79" s="39" customFormat="1"/>
    <row r="80" s="39" customFormat="1"/>
    <row r="81" s="39" customFormat="1"/>
    <row r="82" s="39" customFormat="1"/>
    <row r="83" s="39" customFormat="1"/>
    <row r="84" s="39" customFormat="1"/>
    <row r="85" s="39" customFormat="1"/>
    <row r="86" s="39" customFormat="1"/>
    <row r="87" s="39" customFormat="1"/>
    <row r="88" s="39" customFormat="1"/>
    <row r="89" s="39" customFormat="1"/>
    <row r="90" s="39" customFormat="1"/>
    <row r="91" s="39" customFormat="1"/>
    <row r="92" s="39" customFormat="1"/>
    <row r="93" s="39" customFormat="1"/>
    <row r="94" s="39" customFormat="1"/>
    <row r="95" s="39" customFormat="1"/>
    <row r="96" s="39" customFormat="1"/>
    <row r="97" s="39" customFormat="1"/>
    <row r="98" s="39" customFormat="1"/>
    <row r="99" s="39" customFormat="1"/>
    <row r="100" s="39" customFormat="1"/>
    <row r="101" s="39" customFormat="1"/>
    <row r="102" s="39" customFormat="1"/>
    <row r="103" s="39" customFormat="1"/>
    <row r="104" s="39" customFormat="1"/>
    <row r="105" s="39" customFormat="1"/>
    <row r="106" s="39" customFormat="1"/>
    <row r="107" s="39" customFormat="1"/>
    <row r="108" s="39" customFormat="1"/>
    <row r="109" s="39" customFormat="1"/>
    <row r="110" s="39" customFormat="1"/>
    <row r="111" s="39" customFormat="1"/>
    <row r="112" s="39" customFormat="1"/>
    <row r="113" s="39" customFormat="1"/>
    <row r="114" s="39" customFormat="1"/>
    <row r="115" s="39" customFormat="1"/>
    <row r="116" s="39" customFormat="1"/>
    <row r="117" s="39" customFormat="1"/>
    <row r="118" s="39" customFormat="1"/>
    <row r="119" s="39" customFormat="1"/>
    <row r="120" s="39" customFormat="1"/>
    <row r="121" s="39" customFormat="1"/>
    <row r="122" s="39" customFormat="1"/>
    <row r="123" s="39" customFormat="1"/>
    <row r="124" s="39" customFormat="1"/>
    <row r="125" s="39" customFormat="1"/>
    <row r="126" s="39" customFormat="1"/>
    <row r="127" s="39" customFormat="1"/>
    <row r="128" s="39" customFormat="1"/>
    <row r="129" s="39" customFormat="1"/>
    <row r="130" s="39" customFormat="1"/>
    <row r="131" s="39" customFormat="1"/>
    <row r="132" s="39" customFormat="1"/>
    <row r="133" s="39" customFormat="1"/>
    <row r="134" s="39" customFormat="1"/>
    <row r="135" s="39" customFormat="1"/>
    <row r="136" s="39" customFormat="1"/>
    <row r="137" s="39" customFormat="1"/>
    <row r="138" s="39" customFormat="1"/>
    <row r="139" s="39" customFormat="1"/>
    <row r="140" s="39" customFormat="1"/>
    <row r="141" s="39" customFormat="1"/>
  </sheetData>
  <mergeCells count="27">
    <mergeCell ref="B18:C18"/>
    <mergeCell ref="B19:C19"/>
    <mergeCell ref="B20:C20"/>
    <mergeCell ref="B7:C7"/>
    <mergeCell ref="B8:C8"/>
    <mergeCell ref="B9:C9"/>
    <mergeCell ref="B1:H1"/>
    <mergeCell ref="C2:G2"/>
    <mergeCell ref="B3:H3"/>
    <mergeCell ref="B5:C5"/>
    <mergeCell ref="B6:C6"/>
    <mergeCell ref="H12:H13"/>
    <mergeCell ref="B14:C14"/>
    <mergeCell ref="B15:C15"/>
    <mergeCell ref="B16:C16"/>
    <mergeCell ref="B17:C17"/>
    <mergeCell ref="B12:C13"/>
    <mergeCell ref="D12:E12"/>
    <mergeCell ref="F12:F13"/>
    <mergeCell ref="G12:G13"/>
    <mergeCell ref="B29:G29"/>
    <mergeCell ref="E30:G30"/>
    <mergeCell ref="B21:G21"/>
    <mergeCell ref="B22:G22"/>
    <mergeCell ref="B23:G23"/>
    <mergeCell ref="B24:G24"/>
    <mergeCell ref="B26:C26"/>
  </mergeCells>
  <pageMargins left="0.7" right="0.7" top="0.75" bottom="0.75" header="0.3" footer="0.3"/>
  <pageSetup paperSize="9" scale="43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FC5C8-4658-4FA4-9FF7-1D56A83DB84B}">
  <dimension ref="A1:AP112"/>
  <sheetViews>
    <sheetView zoomScale="85" zoomScaleNormal="85" workbookViewId="0">
      <selection activeCell="D21" sqref="D21:W21"/>
    </sheetView>
  </sheetViews>
  <sheetFormatPr baseColWidth="10" defaultColWidth="11.42578125" defaultRowHeight="15"/>
  <cols>
    <col min="2" max="2" width="40.140625" customWidth="1"/>
    <col min="4" max="18" width="17.85546875" style="611" customWidth="1"/>
    <col min="19" max="19" width="18.28515625" style="611" customWidth="1"/>
    <col min="20" max="24" width="18.28515625" style="612" customWidth="1"/>
    <col min="25" max="42" width="11.5703125" style="39"/>
  </cols>
  <sheetData>
    <row r="1" spans="1:42" s="547" customFormat="1" ht="65.25" customHeight="1">
      <c r="A1" s="1172" t="s">
        <v>648</v>
      </c>
      <c r="B1" s="1172"/>
      <c r="C1" s="1172"/>
      <c r="D1" s="1172"/>
      <c r="E1" s="1172"/>
      <c r="F1" s="1172"/>
      <c r="G1" s="1172"/>
      <c r="H1" s="1172"/>
      <c r="I1" s="1172"/>
      <c r="J1" s="1172"/>
      <c r="K1" s="1172"/>
      <c r="L1" s="1172"/>
      <c r="M1" s="1172"/>
      <c r="N1" s="1172"/>
      <c r="O1" s="1172"/>
      <c r="P1" s="1172"/>
      <c r="Q1" s="1172"/>
      <c r="R1" s="1172"/>
      <c r="S1" s="1172"/>
      <c r="T1" s="1172"/>
      <c r="U1" s="1172"/>
      <c r="V1" s="1172"/>
      <c r="W1" s="1172"/>
      <c r="X1" s="1172"/>
    </row>
    <row r="2" spans="1:42" s="549" customFormat="1" ht="18.75">
      <c r="A2" s="1178" t="s">
        <v>746</v>
      </c>
      <c r="B2" s="1178"/>
      <c r="C2" s="1178"/>
      <c r="D2" s="1173" t="s">
        <v>702</v>
      </c>
      <c r="E2" s="1173"/>
      <c r="F2" s="1173"/>
      <c r="G2" s="1173"/>
      <c r="H2" s="1173"/>
      <c r="I2" s="1173"/>
      <c r="J2" s="1173"/>
      <c r="K2" s="1173"/>
      <c r="L2" s="1173"/>
      <c r="M2" s="1173"/>
      <c r="N2" s="1173"/>
      <c r="O2" s="1173"/>
      <c r="P2" s="1173"/>
      <c r="Q2" s="1173"/>
      <c r="R2" s="1173"/>
      <c r="S2" s="1173"/>
      <c r="T2" s="1173"/>
      <c r="U2" s="1173"/>
      <c r="V2" s="1173"/>
      <c r="W2" s="1173"/>
      <c r="X2" s="548" t="s">
        <v>651</v>
      </c>
    </row>
    <row r="3" spans="1:42" s="547" customFormat="1" ht="26.25" customHeight="1">
      <c r="A3" s="1175" t="s">
        <v>747</v>
      </c>
      <c r="B3" s="1175"/>
      <c r="C3" s="1175"/>
      <c r="D3" s="1175"/>
      <c r="E3" s="1175"/>
      <c r="F3" s="1175"/>
      <c r="G3" s="1175"/>
      <c r="H3" s="1175"/>
      <c r="I3" s="1175"/>
      <c r="J3" s="1175"/>
      <c r="K3" s="1175"/>
      <c r="L3" s="1175"/>
      <c r="M3" s="1175"/>
      <c r="N3" s="1175"/>
      <c r="O3" s="1175"/>
      <c r="P3" s="1175"/>
      <c r="Q3" s="1175"/>
      <c r="R3" s="1175"/>
      <c r="S3" s="1175"/>
      <c r="T3" s="1175"/>
      <c r="U3" s="1175"/>
      <c r="V3" s="1175"/>
      <c r="W3" s="1175"/>
      <c r="X3" s="1175"/>
      <c r="Y3" s="550"/>
      <c r="Z3" s="550"/>
      <c r="AA3" s="550"/>
      <c r="AB3" s="550"/>
      <c r="AC3" s="550"/>
      <c r="AD3" s="550"/>
      <c r="AE3" s="550"/>
    </row>
    <row r="4" spans="1:42" s="377" customFormat="1" ht="49.5" customHeight="1">
      <c r="A4" s="1176" t="s">
        <v>748</v>
      </c>
      <c r="B4" s="1177"/>
      <c r="C4" s="551" t="s">
        <v>749</v>
      </c>
      <c r="D4" s="552" t="s">
        <v>750</v>
      </c>
      <c r="E4" s="552" t="s">
        <v>751</v>
      </c>
      <c r="F4" s="552" t="s">
        <v>752</v>
      </c>
      <c r="G4" s="552" t="s">
        <v>753</v>
      </c>
      <c r="H4" s="552" t="s">
        <v>754</v>
      </c>
      <c r="I4" s="552" t="s">
        <v>755</v>
      </c>
      <c r="J4" s="553" t="s">
        <v>756</v>
      </c>
      <c r="K4" s="553" t="s">
        <v>757</v>
      </c>
      <c r="L4" s="553" t="s">
        <v>758</v>
      </c>
      <c r="M4" s="553" t="s">
        <v>759</v>
      </c>
      <c r="N4" s="553" t="s">
        <v>760</v>
      </c>
      <c r="O4" s="553" t="s">
        <v>761</v>
      </c>
      <c r="P4" s="553" t="s">
        <v>762</v>
      </c>
      <c r="Q4" s="553" t="s">
        <v>763</v>
      </c>
      <c r="R4" s="553" t="s">
        <v>764</v>
      </c>
      <c r="S4" s="553" t="s">
        <v>765</v>
      </c>
      <c r="T4" s="553" t="s">
        <v>766</v>
      </c>
      <c r="U4" s="553" t="s">
        <v>767</v>
      </c>
      <c r="V4" s="553" t="s">
        <v>768</v>
      </c>
      <c r="W4" s="553" t="s">
        <v>769</v>
      </c>
      <c r="X4" s="553" t="s">
        <v>770</v>
      </c>
      <c r="Y4" s="538"/>
      <c r="Z4" s="538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</row>
    <row r="5" spans="1:42" s="377" customFormat="1" ht="18">
      <c r="A5" s="554" t="s">
        <v>771</v>
      </c>
      <c r="B5" s="555"/>
      <c r="C5" s="556" t="s">
        <v>772</v>
      </c>
      <c r="D5" s="557" t="s">
        <v>773</v>
      </c>
      <c r="E5" s="557">
        <v>7.68</v>
      </c>
      <c r="F5" s="557">
        <v>7.46</v>
      </c>
      <c r="G5" s="558">
        <v>7.8</v>
      </c>
      <c r="H5" s="557">
        <v>6.66</v>
      </c>
      <c r="I5" s="557">
        <v>3.11</v>
      </c>
      <c r="J5" s="557">
        <v>3.82</v>
      </c>
      <c r="K5" s="557">
        <v>6.81</v>
      </c>
      <c r="L5" s="557">
        <v>2.06</v>
      </c>
      <c r="M5" s="558">
        <v>1.8</v>
      </c>
      <c r="N5" s="557">
        <v>3.06</v>
      </c>
      <c r="O5" s="557">
        <v>7.52</v>
      </c>
      <c r="P5" s="557">
        <v>4.87</v>
      </c>
      <c r="Q5" s="559">
        <v>4.8499999999999996</v>
      </c>
      <c r="R5" s="559">
        <v>3.29</v>
      </c>
      <c r="S5" s="560">
        <v>3.6</v>
      </c>
      <c r="T5" s="561">
        <v>2.5299999999999998</v>
      </c>
      <c r="U5" s="560">
        <v>9.93</v>
      </c>
      <c r="V5" s="560">
        <v>14.94</v>
      </c>
      <c r="W5" s="560">
        <v>7.49</v>
      </c>
      <c r="X5" s="560"/>
      <c r="Y5" s="538"/>
      <c r="Z5" s="538"/>
      <c r="AA5" s="538"/>
      <c r="AB5" s="538"/>
      <c r="AC5" s="538"/>
      <c r="AD5" s="538"/>
      <c r="AE5" s="538"/>
      <c r="AF5" s="538"/>
      <c r="AG5" s="538"/>
      <c r="AH5" s="538"/>
      <c r="AI5" s="538"/>
      <c r="AJ5" s="538"/>
      <c r="AK5" s="538"/>
      <c r="AL5" s="538"/>
      <c r="AM5" s="538"/>
      <c r="AN5" s="538"/>
      <c r="AO5" s="538"/>
      <c r="AP5" s="538"/>
    </row>
    <row r="6" spans="1:42" s="538" customFormat="1" ht="18">
      <c r="A6" s="562" t="s">
        <v>774</v>
      </c>
      <c r="B6" s="563"/>
      <c r="C6" s="564" t="s">
        <v>775</v>
      </c>
      <c r="D6" s="565">
        <v>-33.78</v>
      </c>
      <c r="E6" s="565">
        <v>60.16</v>
      </c>
      <c r="F6" s="565">
        <v>6.83</v>
      </c>
      <c r="G6" s="565">
        <v>12.38</v>
      </c>
      <c r="H6" s="566">
        <v>13.4</v>
      </c>
      <c r="I6" s="565">
        <v>0.01</v>
      </c>
      <c r="J6" s="565">
        <v>9.7799999999999994</v>
      </c>
      <c r="K6" s="565">
        <v>11.21</v>
      </c>
      <c r="L6" s="565">
        <v>0.42</v>
      </c>
      <c r="M6" s="566">
        <v>2.02</v>
      </c>
      <c r="N6" s="565">
        <v>3.96</v>
      </c>
      <c r="O6" s="565">
        <v>-8.9499999999999993</v>
      </c>
      <c r="P6" s="565">
        <v>-5.15</v>
      </c>
      <c r="Q6" s="565">
        <v>4.7699999999999996</v>
      </c>
      <c r="R6" s="565">
        <v>14.85</v>
      </c>
      <c r="S6" s="567">
        <v>4.9000000000000004</v>
      </c>
      <c r="T6" s="568">
        <v>2.06</v>
      </c>
      <c r="U6" s="569">
        <v>9.14</v>
      </c>
      <c r="V6" s="570">
        <v>17.48</v>
      </c>
      <c r="W6" s="564">
        <v>6.13</v>
      </c>
      <c r="X6" s="571"/>
    </row>
    <row r="7" spans="1:42" s="538" customFormat="1" ht="18">
      <c r="A7" s="572" t="s">
        <v>776</v>
      </c>
      <c r="B7" s="573"/>
      <c r="C7" s="569" t="s">
        <v>777</v>
      </c>
      <c r="D7" s="574">
        <v>0</v>
      </c>
      <c r="E7" s="574">
        <v>0</v>
      </c>
      <c r="F7" s="574">
        <v>0</v>
      </c>
      <c r="G7" s="574">
        <v>0</v>
      </c>
      <c r="H7" s="574">
        <v>0</v>
      </c>
      <c r="I7" s="575">
        <v>0.95</v>
      </c>
      <c r="J7" s="574">
        <v>2</v>
      </c>
      <c r="K7" s="574">
        <v>15.9</v>
      </c>
      <c r="L7" s="574">
        <v>3</v>
      </c>
      <c r="M7" s="574">
        <v>3</v>
      </c>
      <c r="N7" s="575">
        <v>9.5</v>
      </c>
      <c r="O7" s="575">
        <v>10</v>
      </c>
      <c r="P7" s="575">
        <v>9.6</v>
      </c>
      <c r="Q7" s="575">
        <v>0</v>
      </c>
      <c r="R7" s="575">
        <v>9.18</v>
      </c>
      <c r="S7" s="567">
        <v>11.29</v>
      </c>
      <c r="T7" s="568">
        <v>-0.39</v>
      </c>
      <c r="U7" s="569">
        <v>6.96</v>
      </c>
      <c r="V7" s="570">
        <v>10.67</v>
      </c>
      <c r="W7" s="569">
        <v>3.17</v>
      </c>
      <c r="X7" s="571"/>
    </row>
    <row r="8" spans="1:42" s="538" customFormat="1" ht="18">
      <c r="A8" s="572" t="s">
        <v>778</v>
      </c>
      <c r="B8" s="573"/>
      <c r="C8" s="569" t="s">
        <v>779</v>
      </c>
      <c r="D8" s="575">
        <v>1.1399999999999999</v>
      </c>
      <c r="E8" s="575">
        <v>9.39</v>
      </c>
      <c r="F8" s="575">
        <v>16.89</v>
      </c>
      <c r="G8" s="575">
        <v>15.58</v>
      </c>
      <c r="H8" s="575">
        <v>0.69</v>
      </c>
      <c r="I8" s="575">
        <v>4.0199999999999996</v>
      </c>
      <c r="J8" s="574">
        <v>3</v>
      </c>
      <c r="K8" s="574">
        <v>7.95</v>
      </c>
      <c r="L8" s="574">
        <v>-3.84</v>
      </c>
      <c r="M8" s="574">
        <v>21.42</v>
      </c>
      <c r="N8" s="575">
        <v>0</v>
      </c>
      <c r="O8" s="575">
        <v>11.18</v>
      </c>
      <c r="P8" s="575">
        <v>3.3</v>
      </c>
      <c r="Q8" s="575">
        <v>-1.95</v>
      </c>
      <c r="R8" s="575">
        <v>-2.8</v>
      </c>
      <c r="S8" s="567">
        <v>9.0399999999999991</v>
      </c>
      <c r="T8" s="568">
        <v>0.75</v>
      </c>
      <c r="U8" s="569">
        <v>10.49</v>
      </c>
      <c r="V8" s="570">
        <v>0.54</v>
      </c>
      <c r="W8" s="569">
        <v>4.72</v>
      </c>
      <c r="X8" s="571"/>
    </row>
    <row r="9" spans="1:42" s="538" customFormat="1" ht="18">
      <c r="A9" s="572" t="s">
        <v>780</v>
      </c>
      <c r="B9" s="573"/>
      <c r="C9" s="569" t="s">
        <v>781</v>
      </c>
      <c r="D9" s="575">
        <v>4.8899999999999997</v>
      </c>
      <c r="E9" s="575">
        <v>12.61</v>
      </c>
      <c r="F9" s="575">
        <v>13.92</v>
      </c>
      <c r="G9" s="575">
        <v>4.96</v>
      </c>
      <c r="H9" s="575">
        <v>2.02</v>
      </c>
      <c r="I9" s="574">
        <v>5.3</v>
      </c>
      <c r="J9" s="575">
        <v>10.57</v>
      </c>
      <c r="K9" s="575">
        <v>2.94</v>
      </c>
      <c r="L9" s="575">
        <v>4.38</v>
      </c>
      <c r="M9" s="574">
        <v>3.09</v>
      </c>
      <c r="N9" s="575">
        <v>6</v>
      </c>
      <c r="O9" s="575">
        <v>-8.0399999999999991</v>
      </c>
      <c r="P9" s="575">
        <v>14.86</v>
      </c>
      <c r="Q9" s="575">
        <v>3.07</v>
      </c>
      <c r="R9" s="575">
        <v>5.14</v>
      </c>
      <c r="S9" s="567">
        <v>2.38</v>
      </c>
      <c r="T9" s="568">
        <v>1.84</v>
      </c>
      <c r="U9" s="569">
        <v>4.5999999999999996</v>
      </c>
      <c r="V9" s="570">
        <v>3.59</v>
      </c>
      <c r="W9" s="569">
        <v>-0.12</v>
      </c>
      <c r="X9" s="571"/>
    </row>
    <row r="10" spans="1:42" s="538" customFormat="1" ht="18">
      <c r="A10" s="572" t="s">
        <v>782</v>
      </c>
      <c r="B10" s="573"/>
      <c r="C10" s="569" t="s">
        <v>783</v>
      </c>
      <c r="D10" s="575">
        <v>-6.82</v>
      </c>
      <c r="E10" s="575">
        <v>24.12</v>
      </c>
      <c r="F10" s="575">
        <v>2.66</v>
      </c>
      <c r="G10" s="575">
        <v>4.45</v>
      </c>
      <c r="H10" s="575">
        <v>-13.12</v>
      </c>
      <c r="I10" s="575">
        <v>-5.92</v>
      </c>
      <c r="J10" s="575">
        <v>39.159999999999997</v>
      </c>
      <c r="K10" s="575">
        <v>-10.53</v>
      </c>
      <c r="L10" s="575">
        <v>1.82</v>
      </c>
      <c r="M10" s="574">
        <v>2.78</v>
      </c>
      <c r="N10" s="575">
        <v>8.99</v>
      </c>
      <c r="O10" s="575">
        <v>-3.11</v>
      </c>
      <c r="P10" s="575">
        <v>13.82</v>
      </c>
      <c r="Q10" s="575">
        <v>18.510000000000002</v>
      </c>
      <c r="R10" s="575">
        <v>1.4</v>
      </c>
      <c r="S10" s="567">
        <v>18.579999999999998</v>
      </c>
      <c r="T10" s="568">
        <v>38.630000000000003</v>
      </c>
      <c r="U10" s="569">
        <v>11.91</v>
      </c>
      <c r="V10" s="570">
        <v>-1.06</v>
      </c>
      <c r="W10" s="569">
        <v>-2.78</v>
      </c>
      <c r="X10" s="571"/>
    </row>
    <row r="11" spans="1:42" s="538" customFormat="1" ht="18">
      <c r="A11" s="572" t="s">
        <v>784</v>
      </c>
      <c r="B11" s="573"/>
      <c r="C11" s="569" t="s">
        <v>785</v>
      </c>
      <c r="D11" s="575">
        <v>15.29</v>
      </c>
      <c r="E11" s="575">
        <v>14.87</v>
      </c>
      <c r="F11" s="575">
        <v>1.63</v>
      </c>
      <c r="G11" s="574">
        <v>0</v>
      </c>
      <c r="H11" s="574">
        <v>0</v>
      </c>
      <c r="I11" s="575">
        <v>9.82</v>
      </c>
      <c r="J11" s="575">
        <v>3.48</v>
      </c>
      <c r="K11" s="575">
        <v>27.86</v>
      </c>
      <c r="L11" s="575">
        <v>7.53</v>
      </c>
      <c r="M11" s="574">
        <v>0</v>
      </c>
      <c r="N11" s="575">
        <v>-0.21</v>
      </c>
      <c r="O11" s="575">
        <v>-1.34</v>
      </c>
      <c r="P11" s="575">
        <v>86.26</v>
      </c>
      <c r="Q11" s="575">
        <v>8.08</v>
      </c>
      <c r="R11" s="575">
        <v>2.04</v>
      </c>
      <c r="S11" s="567">
        <v>10.15</v>
      </c>
      <c r="T11" s="568">
        <v>14.12</v>
      </c>
      <c r="U11" s="569">
        <v>10.45</v>
      </c>
      <c r="V11" s="570">
        <v>-1.74</v>
      </c>
      <c r="W11" s="569">
        <v>9.08</v>
      </c>
      <c r="X11" s="571"/>
    </row>
    <row r="12" spans="1:42" s="538" customFormat="1" ht="18">
      <c r="A12" s="572" t="s">
        <v>786</v>
      </c>
      <c r="B12" s="573"/>
      <c r="C12" s="569" t="s">
        <v>787</v>
      </c>
      <c r="D12" s="575">
        <v>8.2200000000000006</v>
      </c>
      <c r="E12" s="575">
        <v>13.23</v>
      </c>
      <c r="F12" s="575">
        <v>4.68</v>
      </c>
      <c r="G12" s="575">
        <v>8.19</v>
      </c>
      <c r="H12" s="575">
        <v>2.19</v>
      </c>
      <c r="I12" s="575">
        <v>1.85</v>
      </c>
      <c r="J12" s="575">
        <v>1.1299999999999999</v>
      </c>
      <c r="K12" s="574">
        <v>2.8</v>
      </c>
      <c r="L12" s="574">
        <v>2.4500000000000002</v>
      </c>
      <c r="M12" s="574">
        <v>5.55</v>
      </c>
      <c r="N12" s="575">
        <v>15.13</v>
      </c>
      <c r="O12" s="575">
        <v>8.59</v>
      </c>
      <c r="P12" s="575">
        <v>6.43</v>
      </c>
      <c r="Q12" s="575">
        <v>2.4</v>
      </c>
      <c r="R12" s="575">
        <v>3.2</v>
      </c>
      <c r="S12" s="567">
        <v>5.08</v>
      </c>
      <c r="T12" s="568">
        <v>0.31</v>
      </c>
      <c r="U12" s="569">
        <v>23.24</v>
      </c>
      <c r="V12" s="570">
        <v>12.38</v>
      </c>
      <c r="W12" s="569">
        <v>5.01</v>
      </c>
      <c r="X12" s="571"/>
    </row>
    <row r="13" spans="1:42" s="538" customFormat="1" ht="18">
      <c r="A13" s="572" t="s">
        <v>788</v>
      </c>
      <c r="B13" s="573"/>
      <c r="C13" s="569" t="s">
        <v>789</v>
      </c>
      <c r="D13" s="575">
        <v>19.690000000000001</v>
      </c>
      <c r="E13" s="575">
        <v>3.22</v>
      </c>
      <c r="F13" s="575">
        <v>-10.69</v>
      </c>
      <c r="G13" s="575">
        <v>19.61</v>
      </c>
      <c r="H13" s="575">
        <v>15.01</v>
      </c>
      <c r="I13" s="575">
        <v>7.58</v>
      </c>
      <c r="J13" s="575">
        <v>9.56</v>
      </c>
      <c r="K13" s="575">
        <v>1.97</v>
      </c>
      <c r="L13" s="575">
        <v>9.1300000000000008</v>
      </c>
      <c r="M13" s="574">
        <v>8.93</v>
      </c>
      <c r="N13" s="575">
        <v>14.63</v>
      </c>
      <c r="O13" s="575">
        <v>6.51</v>
      </c>
      <c r="P13" s="575">
        <v>13.85</v>
      </c>
      <c r="Q13" s="575">
        <v>-3.1</v>
      </c>
      <c r="R13" s="575">
        <v>6.15</v>
      </c>
      <c r="S13" s="567">
        <v>12.52</v>
      </c>
      <c r="T13" s="568">
        <v>32.74</v>
      </c>
      <c r="U13" s="569">
        <v>8.14</v>
      </c>
      <c r="V13" s="570">
        <v>-4.21</v>
      </c>
      <c r="W13" s="569">
        <v>5.61</v>
      </c>
      <c r="X13" s="571"/>
    </row>
    <row r="14" spans="1:42" s="538" customFormat="1" ht="18">
      <c r="A14" s="572" t="s">
        <v>790</v>
      </c>
      <c r="B14" s="573"/>
      <c r="C14" s="569" t="s">
        <v>791</v>
      </c>
      <c r="D14" s="574">
        <v>33.79</v>
      </c>
      <c r="E14" s="575">
        <v>22.16</v>
      </c>
      <c r="F14" s="575">
        <v>5.81</v>
      </c>
      <c r="G14" s="575">
        <v>25.13</v>
      </c>
      <c r="H14" s="575">
        <v>0.61</v>
      </c>
      <c r="I14" s="575">
        <v>-1.93</v>
      </c>
      <c r="J14" s="575">
        <v>8.64</v>
      </c>
      <c r="K14" s="575">
        <v>-6.48</v>
      </c>
      <c r="L14" s="575">
        <v>-0.27</v>
      </c>
      <c r="M14" s="574">
        <v>5.18</v>
      </c>
      <c r="N14" s="575">
        <v>14.27</v>
      </c>
      <c r="O14" s="575">
        <v>3.13</v>
      </c>
      <c r="P14" s="575">
        <v>14.89</v>
      </c>
      <c r="Q14" s="575">
        <v>-2.21</v>
      </c>
      <c r="R14" s="575">
        <v>5.21</v>
      </c>
      <c r="S14" s="567">
        <v>16.579999999999998</v>
      </c>
      <c r="T14" s="568">
        <v>22.8</v>
      </c>
      <c r="U14" s="569">
        <v>13.11</v>
      </c>
      <c r="V14" s="570">
        <v>-1.53</v>
      </c>
      <c r="W14" s="569">
        <v>5.59</v>
      </c>
      <c r="X14" s="571"/>
    </row>
    <row r="15" spans="1:42" s="377" customFormat="1" ht="18">
      <c r="A15" s="572" t="s">
        <v>792</v>
      </c>
      <c r="B15" s="573"/>
      <c r="C15" s="576" t="s">
        <v>793</v>
      </c>
      <c r="D15" s="577">
        <v>28.5</v>
      </c>
      <c r="E15" s="578">
        <v>9.08</v>
      </c>
      <c r="F15" s="578">
        <v>13.54</v>
      </c>
      <c r="G15" s="578">
        <v>20.98</v>
      </c>
      <c r="H15" s="578">
        <v>-1.47</v>
      </c>
      <c r="I15" s="578">
        <v>4.01</v>
      </c>
      <c r="J15" s="578">
        <v>2.73</v>
      </c>
      <c r="K15" s="578">
        <v>5.64</v>
      </c>
      <c r="L15" s="578">
        <v>1.08</v>
      </c>
      <c r="M15" s="577">
        <v>-0.89</v>
      </c>
      <c r="N15" s="578">
        <v>-1.22</v>
      </c>
      <c r="O15" s="578">
        <v>11.16</v>
      </c>
      <c r="P15" s="578">
        <v>2.85</v>
      </c>
      <c r="Q15" s="578">
        <v>0.65</v>
      </c>
      <c r="R15" s="578">
        <v>0.72</v>
      </c>
      <c r="S15" s="579">
        <v>4.38</v>
      </c>
      <c r="T15" s="568">
        <v>-1.77</v>
      </c>
      <c r="U15" s="569">
        <v>11.01</v>
      </c>
      <c r="V15" s="570">
        <v>2.6</v>
      </c>
      <c r="W15" s="569">
        <v>-3.74</v>
      </c>
      <c r="X15" s="571"/>
      <c r="Y15" s="538"/>
      <c r="Z15" s="538"/>
      <c r="AA15" s="538"/>
      <c r="AB15" s="538"/>
      <c r="AC15" s="538"/>
      <c r="AD15" s="538"/>
      <c r="AE15" s="538"/>
      <c r="AF15" s="538"/>
      <c r="AG15" s="538"/>
      <c r="AH15" s="538"/>
      <c r="AI15" s="538"/>
      <c r="AJ15" s="538"/>
      <c r="AK15" s="538"/>
      <c r="AL15" s="538"/>
      <c r="AM15" s="538"/>
      <c r="AN15" s="538"/>
      <c r="AO15" s="538"/>
      <c r="AP15" s="538"/>
    </row>
    <row r="16" spans="1:42" s="377" customFormat="1" ht="15" customHeight="1">
      <c r="A16" s="554" t="s">
        <v>794</v>
      </c>
      <c r="B16" s="555"/>
      <c r="C16" s="580" t="s">
        <v>795</v>
      </c>
      <c r="D16" s="558">
        <v>6</v>
      </c>
      <c r="E16" s="558">
        <v>14.6</v>
      </c>
      <c r="F16" s="557">
        <v>3.47</v>
      </c>
      <c r="G16" s="557">
        <v>10.77</v>
      </c>
      <c r="H16" s="557">
        <v>0.05</v>
      </c>
      <c r="I16" s="557">
        <v>2.0099999999999998</v>
      </c>
      <c r="J16" s="557">
        <v>10.11</v>
      </c>
      <c r="K16" s="557">
        <v>1.42</v>
      </c>
      <c r="L16" s="557">
        <v>3.42</v>
      </c>
      <c r="M16" s="558">
        <v>4.0999999999999996</v>
      </c>
      <c r="N16" s="557">
        <v>9.64</v>
      </c>
      <c r="O16" s="557">
        <v>3.57</v>
      </c>
      <c r="P16" s="557">
        <v>13.47</v>
      </c>
      <c r="Q16" s="581">
        <v>2.97</v>
      </c>
      <c r="R16" s="581">
        <v>5.0599999999999996</v>
      </c>
      <c r="S16" s="560">
        <v>11.7</v>
      </c>
      <c r="T16" s="561">
        <v>15.13</v>
      </c>
      <c r="U16" s="560">
        <v>11.51</v>
      </c>
      <c r="V16" s="558">
        <v>3.05</v>
      </c>
      <c r="W16" s="560">
        <v>3.26</v>
      </c>
      <c r="X16" s="582"/>
      <c r="Y16" s="538"/>
      <c r="Z16" s="538"/>
      <c r="AA16" s="538"/>
      <c r="AB16" s="538"/>
      <c r="AC16" s="538"/>
      <c r="AD16" s="538"/>
      <c r="AE16" s="538"/>
      <c r="AF16" s="538"/>
      <c r="AG16" s="538"/>
      <c r="AH16" s="538"/>
      <c r="AI16" s="538"/>
      <c r="AJ16" s="538"/>
      <c r="AK16" s="538"/>
      <c r="AL16" s="538"/>
      <c r="AM16" s="538"/>
      <c r="AN16" s="538"/>
      <c r="AO16" s="538"/>
      <c r="AP16" s="538"/>
    </row>
    <row r="17" spans="1:42" s="538" customFormat="1" ht="18">
      <c r="A17" s="562" t="s">
        <v>796</v>
      </c>
      <c r="B17" s="563"/>
      <c r="C17" s="564" t="s">
        <v>797</v>
      </c>
      <c r="D17" s="565">
        <v>9.58</v>
      </c>
      <c r="E17" s="566">
        <v>4.3</v>
      </c>
      <c r="F17" s="566">
        <v>5.36</v>
      </c>
      <c r="G17" s="565">
        <v>6.72</v>
      </c>
      <c r="H17" s="565">
        <v>9.9499999999999993</v>
      </c>
      <c r="I17" s="565">
        <v>1.93</v>
      </c>
      <c r="J17" s="565">
        <v>4.09</v>
      </c>
      <c r="K17" s="565">
        <v>3.15</v>
      </c>
      <c r="L17" s="565">
        <v>5.0999999999999996</v>
      </c>
      <c r="M17" s="566">
        <v>0.48</v>
      </c>
      <c r="N17" s="565">
        <v>8.0500000000000007</v>
      </c>
      <c r="O17" s="565">
        <v>3.84</v>
      </c>
      <c r="P17" s="565">
        <v>14.32</v>
      </c>
      <c r="Q17" s="565">
        <v>0.65</v>
      </c>
      <c r="R17" s="565">
        <v>2.94</v>
      </c>
      <c r="S17" s="567">
        <v>7.55</v>
      </c>
      <c r="T17" s="568">
        <v>13.64</v>
      </c>
      <c r="U17" s="569">
        <v>0.56000000000000005</v>
      </c>
      <c r="V17" s="570">
        <v>4.82</v>
      </c>
      <c r="W17" s="569">
        <v>-2.1</v>
      </c>
      <c r="X17" s="571"/>
    </row>
    <row r="18" spans="1:42" s="538" customFormat="1" ht="18">
      <c r="A18" s="572" t="s">
        <v>798</v>
      </c>
      <c r="B18" s="573"/>
      <c r="C18" s="569" t="s">
        <v>799</v>
      </c>
      <c r="D18" s="575">
        <v>11.05</v>
      </c>
      <c r="E18" s="574">
        <v>10.3</v>
      </c>
      <c r="F18" s="575">
        <v>6.36</v>
      </c>
      <c r="G18" s="575">
        <v>11.57</v>
      </c>
      <c r="H18" s="575">
        <v>3.84</v>
      </c>
      <c r="I18" s="574">
        <v>1</v>
      </c>
      <c r="J18" s="575">
        <v>4.22</v>
      </c>
      <c r="K18" s="574">
        <v>-3.3</v>
      </c>
      <c r="L18" s="574">
        <v>4.6399999999999997</v>
      </c>
      <c r="M18" s="574">
        <v>8</v>
      </c>
      <c r="N18" s="575">
        <v>-10.27</v>
      </c>
      <c r="O18" s="575">
        <v>8.19</v>
      </c>
      <c r="P18" s="575">
        <v>8.64</v>
      </c>
      <c r="Q18" s="575">
        <v>11.42</v>
      </c>
      <c r="R18" s="575">
        <v>8.94</v>
      </c>
      <c r="S18" s="567">
        <v>1.05</v>
      </c>
      <c r="T18" s="568">
        <v>32.92</v>
      </c>
      <c r="U18" s="569">
        <v>9</v>
      </c>
      <c r="V18" s="570">
        <v>-0.27</v>
      </c>
      <c r="W18" s="569">
        <v>0.73</v>
      </c>
      <c r="X18" s="571"/>
    </row>
    <row r="19" spans="1:42" s="538" customFormat="1" ht="18">
      <c r="A19" s="572" t="s">
        <v>800</v>
      </c>
      <c r="B19" s="573"/>
      <c r="C19" s="569" t="s">
        <v>801</v>
      </c>
      <c r="D19" s="574">
        <v>-2.4</v>
      </c>
      <c r="E19" s="575">
        <v>17.940000000000001</v>
      </c>
      <c r="F19" s="575">
        <v>8.5500000000000007</v>
      </c>
      <c r="G19" s="575">
        <v>4.51</v>
      </c>
      <c r="H19" s="575">
        <v>-10.28</v>
      </c>
      <c r="I19" s="575">
        <v>4.0199999999999996</v>
      </c>
      <c r="J19" s="575">
        <v>1.91</v>
      </c>
      <c r="K19" s="575">
        <v>-7.88</v>
      </c>
      <c r="L19" s="575">
        <v>0.22</v>
      </c>
      <c r="M19" s="574">
        <v>11.99</v>
      </c>
      <c r="N19" s="575">
        <v>15.63</v>
      </c>
      <c r="O19" s="575">
        <v>5.17</v>
      </c>
      <c r="P19" s="575">
        <v>14.66</v>
      </c>
      <c r="Q19" s="575">
        <v>3.76</v>
      </c>
      <c r="R19" s="575">
        <v>3.45</v>
      </c>
      <c r="S19" s="567">
        <v>9.81</v>
      </c>
      <c r="T19" s="568">
        <v>27.11</v>
      </c>
      <c r="U19" s="569">
        <v>0.65</v>
      </c>
      <c r="V19" s="570">
        <v>2.61</v>
      </c>
      <c r="W19" s="569">
        <v>4.13</v>
      </c>
      <c r="X19" s="571"/>
    </row>
    <row r="20" spans="1:42" s="538" customFormat="1" ht="18">
      <c r="A20" s="572" t="s">
        <v>802</v>
      </c>
      <c r="B20" s="573"/>
      <c r="C20" s="569" t="s">
        <v>803</v>
      </c>
      <c r="D20" s="575">
        <v>3.37</v>
      </c>
      <c r="E20" s="575">
        <v>4.03</v>
      </c>
      <c r="F20" s="575">
        <v>7.98</v>
      </c>
      <c r="G20" s="575">
        <v>3.33</v>
      </c>
      <c r="H20" s="574">
        <v>3.1</v>
      </c>
      <c r="I20" s="575">
        <v>5.98</v>
      </c>
      <c r="J20" s="575">
        <v>3.82</v>
      </c>
      <c r="K20" s="575">
        <v>1.47</v>
      </c>
      <c r="L20" s="575">
        <v>5.64</v>
      </c>
      <c r="M20" s="574">
        <v>7.15</v>
      </c>
      <c r="N20" s="575">
        <v>0.67</v>
      </c>
      <c r="O20" s="575">
        <v>5.56</v>
      </c>
      <c r="P20" s="575">
        <v>14.5</v>
      </c>
      <c r="Q20" s="575">
        <v>1.93</v>
      </c>
      <c r="R20" s="575">
        <v>0.87</v>
      </c>
      <c r="S20" s="567">
        <v>1.64</v>
      </c>
      <c r="T20" s="568">
        <v>2.1</v>
      </c>
      <c r="U20" s="569">
        <v>4.1399999999999997</v>
      </c>
      <c r="V20" s="570">
        <v>0.32</v>
      </c>
      <c r="W20" s="569">
        <v>2.81</v>
      </c>
      <c r="X20" s="571"/>
    </row>
    <row r="21" spans="1:42" s="538" customFormat="1" ht="18">
      <c r="A21" s="572" t="s">
        <v>804</v>
      </c>
      <c r="B21" s="573"/>
      <c r="C21" s="569" t="s">
        <v>805</v>
      </c>
      <c r="D21" s="575">
        <v>6.53</v>
      </c>
      <c r="E21" s="574">
        <v>7.48</v>
      </c>
      <c r="F21" s="575">
        <v>6.48</v>
      </c>
      <c r="G21" s="575">
        <v>2.33</v>
      </c>
      <c r="H21" s="575">
        <v>3.69</v>
      </c>
      <c r="I21" s="575">
        <v>2.4300000000000002</v>
      </c>
      <c r="J21" s="575">
        <v>2.83</v>
      </c>
      <c r="K21" s="575">
        <v>10.65</v>
      </c>
      <c r="L21" s="575">
        <v>4.76</v>
      </c>
      <c r="M21" s="574">
        <v>0.12</v>
      </c>
      <c r="N21" s="575">
        <v>4.13</v>
      </c>
      <c r="O21" s="575">
        <v>6.2</v>
      </c>
      <c r="P21" s="575">
        <v>1.2</v>
      </c>
      <c r="Q21" s="575">
        <v>-0.06</v>
      </c>
      <c r="R21" s="575">
        <v>1.72</v>
      </c>
      <c r="S21" s="567">
        <v>1.74</v>
      </c>
      <c r="T21" s="568">
        <v>18.96</v>
      </c>
      <c r="U21" s="569">
        <v>10.46</v>
      </c>
      <c r="V21" s="570">
        <v>7.65</v>
      </c>
      <c r="W21" s="569">
        <v>5</v>
      </c>
      <c r="X21" s="571"/>
    </row>
    <row r="22" spans="1:42" s="538" customFormat="1" ht="18">
      <c r="A22" s="572" t="s">
        <v>806</v>
      </c>
      <c r="B22" s="573"/>
      <c r="C22" s="569" t="s">
        <v>807</v>
      </c>
      <c r="D22" s="575">
        <v>8.65</v>
      </c>
      <c r="E22" s="575">
        <v>7.58</v>
      </c>
      <c r="F22" s="575">
        <v>10.41</v>
      </c>
      <c r="G22" s="575">
        <v>11.97</v>
      </c>
      <c r="H22" s="575">
        <v>2.21</v>
      </c>
      <c r="I22" s="575">
        <v>0.23</v>
      </c>
      <c r="J22" s="574">
        <v>-0.5</v>
      </c>
      <c r="K22" s="574">
        <v>1.9</v>
      </c>
      <c r="L22" s="574">
        <v>4.5599999999999996</v>
      </c>
      <c r="M22" s="574">
        <v>-1.46</v>
      </c>
      <c r="N22" s="575">
        <v>16.59</v>
      </c>
      <c r="O22" s="575">
        <v>6.24</v>
      </c>
      <c r="P22" s="575">
        <v>2.8</v>
      </c>
      <c r="Q22" s="575">
        <v>3.49</v>
      </c>
      <c r="R22" s="575">
        <v>-3.21</v>
      </c>
      <c r="S22" s="567">
        <v>11.55</v>
      </c>
      <c r="T22" s="568">
        <v>7.66</v>
      </c>
      <c r="U22" s="569">
        <v>10.76</v>
      </c>
      <c r="V22" s="570">
        <v>14.79</v>
      </c>
      <c r="W22" s="569">
        <v>-8.91</v>
      </c>
      <c r="X22" s="571"/>
    </row>
    <row r="23" spans="1:42" s="377" customFormat="1" ht="18">
      <c r="A23" s="583" t="s">
        <v>808</v>
      </c>
      <c r="B23" s="584"/>
      <c r="C23" s="576" t="s">
        <v>809</v>
      </c>
      <c r="D23" s="578">
        <v>6.82</v>
      </c>
      <c r="E23" s="578">
        <v>2.56</v>
      </c>
      <c r="F23" s="578">
        <v>3.37</v>
      </c>
      <c r="G23" s="578">
        <v>1.22</v>
      </c>
      <c r="H23" s="577">
        <v>0</v>
      </c>
      <c r="I23" s="585">
        <v>1.75</v>
      </c>
      <c r="J23" s="578">
        <v>-1.67</v>
      </c>
      <c r="K23" s="578">
        <v>-2.0099999999999998</v>
      </c>
      <c r="L23" s="578">
        <v>-0.21</v>
      </c>
      <c r="M23" s="577">
        <v>-7.81</v>
      </c>
      <c r="N23" s="578">
        <v>23.25</v>
      </c>
      <c r="O23" s="578">
        <v>7.92</v>
      </c>
      <c r="P23" s="578">
        <v>24.53</v>
      </c>
      <c r="Q23" s="578">
        <v>5.64</v>
      </c>
      <c r="R23" s="578">
        <v>-0.42</v>
      </c>
      <c r="S23" s="579">
        <v>5.95</v>
      </c>
      <c r="T23" s="568">
        <v>1.22</v>
      </c>
      <c r="U23" s="569">
        <v>3.7</v>
      </c>
      <c r="V23" s="570">
        <v>2.88</v>
      </c>
      <c r="W23" s="569">
        <v>0.83</v>
      </c>
      <c r="X23" s="571"/>
      <c r="Y23" s="538"/>
      <c r="Z23" s="538"/>
      <c r="AA23" s="538"/>
      <c r="AB23" s="538"/>
      <c r="AC23" s="538"/>
      <c r="AD23" s="538"/>
      <c r="AE23" s="538"/>
      <c r="AF23" s="538"/>
      <c r="AG23" s="538"/>
      <c r="AH23" s="538"/>
      <c r="AI23" s="538"/>
      <c r="AJ23" s="538"/>
      <c r="AK23" s="538"/>
      <c r="AL23" s="538"/>
      <c r="AM23" s="538"/>
      <c r="AN23" s="538"/>
      <c r="AO23" s="538"/>
      <c r="AP23" s="538"/>
    </row>
    <row r="24" spans="1:42" s="377" customFormat="1" ht="15" customHeight="1">
      <c r="A24" s="554" t="s">
        <v>810</v>
      </c>
      <c r="B24" s="555"/>
      <c r="C24" s="580" t="s">
        <v>811</v>
      </c>
      <c r="D24" s="557">
        <v>6.03</v>
      </c>
      <c r="E24" s="557">
        <v>9.16</v>
      </c>
      <c r="F24" s="558">
        <v>7.56</v>
      </c>
      <c r="G24" s="558">
        <v>7.5</v>
      </c>
      <c r="H24" s="557">
        <v>0.95</v>
      </c>
      <c r="I24" s="558">
        <v>0.6</v>
      </c>
      <c r="J24" s="557">
        <v>2.16</v>
      </c>
      <c r="K24" s="557">
        <v>-0.23</v>
      </c>
      <c r="L24" s="557">
        <v>3.79</v>
      </c>
      <c r="M24" s="558">
        <v>3.34</v>
      </c>
      <c r="N24" s="557">
        <v>7.41</v>
      </c>
      <c r="O24" s="557">
        <v>6.19</v>
      </c>
      <c r="P24" s="557">
        <v>9.8800000000000008</v>
      </c>
      <c r="Q24" s="581">
        <v>3.84</v>
      </c>
      <c r="R24" s="581">
        <v>2.0499999999999998</v>
      </c>
      <c r="S24" s="586">
        <v>6.89</v>
      </c>
      <c r="T24" s="561">
        <v>17.18</v>
      </c>
      <c r="U24" s="560">
        <v>5.63</v>
      </c>
      <c r="V24" s="558">
        <v>5.41</v>
      </c>
      <c r="W24" s="560">
        <v>-0.65</v>
      </c>
      <c r="X24" s="582"/>
      <c r="Y24" s="538"/>
      <c r="Z24" s="538"/>
      <c r="AA24" s="538"/>
      <c r="AB24" s="538"/>
      <c r="AC24" s="538"/>
      <c r="AD24" s="538"/>
      <c r="AE24" s="538"/>
      <c r="AF24" s="538"/>
      <c r="AG24" s="538"/>
      <c r="AH24" s="538"/>
      <c r="AI24" s="538"/>
      <c r="AJ24" s="538"/>
      <c r="AK24" s="538"/>
      <c r="AL24" s="538"/>
      <c r="AM24" s="538"/>
      <c r="AN24" s="538"/>
      <c r="AO24" s="538"/>
      <c r="AP24" s="538"/>
    </row>
    <row r="25" spans="1:42" s="538" customFormat="1" ht="18">
      <c r="A25" s="562" t="s">
        <v>812</v>
      </c>
      <c r="B25" s="563"/>
      <c r="C25" s="564" t="s">
        <v>813</v>
      </c>
      <c r="D25" s="565">
        <v>7.02</v>
      </c>
      <c r="E25" s="565">
        <v>4.13</v>
      </c>
      <c r="F25" s="566">
        <v>4.8</v>
      </c>
      <c r="G25" s="565">
        <v>5.48</v>
      </c>
      <c r="H25" s="565">
        <v>2.19</v>
      </c>
      <c r="I25" s="565">
        <v>0.37</v>
      </c>
      <c r="J25" s="565">
        <v>1.76</v>
      </c>
      <c r="K25" s="565">
        <v>2.91</v>
      </c>
      <c r="L25" s="565">
        <v>-1.44</v>
      </c>
      <c r="M25" s="566">
        <v>11.46</v>
      </c>
      <c r="N25" s="565">
        <v>9.26</v>
      </c>
      <c r="O25" s="565">
        <v>3.15</v>
      </c>
      <c r="P25" s="565">
        <v>13.04</v>
      </c>
      <c r="Q25" s="565">
        <v>11.99</v>
      </c>
      <c r="R25" s="565">
        <v>0.1</v>
      </c>
      <c r="S25" s="587">
        <v>10.17</v>
      </c>
      <c r="T25" s="568">
        <v>28.4</v>
      </c>
      <c r="U25" s="569">
        <v>12.18</v>
      </c>
      <c r="V25" s="570">
        <v>14.78</v>
      </c>
      <c r="W25" s="569">
        <v>-0.21</v>
      </c>
      <c r="X25" s="571"/>
    </row>
    <row r="26" spans="1:42" s="538" customFormat="1" ht="18">
      <c r="A26" s="583" t="s">
        <v>814</v>
      </c>
      <c r="B26" s="584"/>
      <c r="C26" s="576" t="s">
        <v>815</v>
      </c>
      <c r="D26" s="578">
        <v>12.79</v>
      </c>
      <c r="E26" s="578">
        <v>10.46</v>
      </c>
      <c r="F26" s="578">
        <v>13.07</v>
      </c>
      <c r="G26" s="578">
        <v>10.54</v>
      </c>
      <c r="H26" s="577">
        <v>0</v>
      </c>
      <c r="I26" s="578">
        <v>-0.12</v>
      </c>
      <c r="J26" s="578">
        <v>0.04</v>
      </c>
      <c r="K26" s="578">
        <v>0.79</v>
      </c>
      <c r="L26" s="578">
        <v>0</v>
      </c>
      <c r="M26" s="577">
        <v>0.23</v>
      </c>
      <c r="N26" s="578">
        <v>-2.86</v>
      </c>
      <c r="O26" s="578">
        <v>-3.17</v>
      </c>
      <c r="P26" s="578">
        <v>2.3199999999999998</v>
      </c>
      <c r="Q26" s="578">
        <v>9.5299999999999994</v>
      </c>
      <c r="R26" s="578">
        <v>0</v>
      </c>
      <c r="S26" s="579">
        <v>0.52</v>
      </c>
      <c r="T26" s="568">
        <v>-3.28</v>
      </c>
      <c r="U26" s="569">
        <v>0.1</v>
      </c>
      <c r="V26" s="570">
        <v>0.2</v>
      </c>
      <c r="W26" s="569">
        <v>4.8099999999999996</v>
      </c>
      <c r="X26" s="571"/>
    </row>
    <row r="27" spans="1:42" s="377" customFormat="1" ht="18">
      <c r="A27" s="554" t="s">
        <v>816</v>
      </c>
      <c r="B27" s="555"/>
      <c r="C27" s="580" t="s">
        <v>817</v>
      </c>
      <c r="D27" s="558">
        <v>12.4</v>
      </c>
      <c r="E27" s="557">
        <v>9.9700000000000006</v>
      </c>
      <c r="F27" s="557">
        <v>12.43</v>
      </c>
      <c r="G27" s="558">
        <v>10.3</v>
      </c>
      <c r="H27" s="557">
        <v>0.19</v>
      </c>
      <c r="I27" s="557">
        <v>-0.09</v>
      </c>
      <c r="J27" s="557">
        <v>0.18</v>
      </c>
      <c r="K27" s="557">
        <v>0.93</v>
      </c>
      <c r="L27" s="557">
        <v>-0.15</v>
      </c>
      <c r="M27" s="558">
        <v>1.25</v>
      </c>
      <c r="N27" s="557">
        <v>-1.96</v>
      </c>
      <c r="O27" s="557">
        <v>-2.52</v>
      </c>
      <c r="P27" s="557">
        <v>3.32</v>
      </c>
      <c r="Q27" s="588">
        <v>9.93</v>
      </c>
      <c r="R27" s="588">
        <v>0.09</v>
      </c>
      <c r="S27" s="560">
        <v>1.83</v>
      </c>
      <c r="T27" s="561">
        <v>1.1399999999999999</v>
      </c>
      <c r="U27" s="560">
        <v>2.0499999999999998</v>
      </c>
      <c r="V27" s="558">
        <v>2.66</v>
      </c>
      <c r="W27" s="560">
        <v>3.95</v>
      </c>
      <c r="X27" s="582"/>
      <c r="Y27" s="538"/>
      <c r="Z27" s="538"/>
      <c r="AA27" s="538"/>
      <c r="AB27" s="538"/>
      <c r="AC27" s="538"/>
      <c r="AD27" s="538"/>
      <c r="AE27" s="538"/>
      <c r="AF27" s="538"/>
      <c r="AG27" s="538"/>
      <c r="AH27" s="538"/>
      <c r="AI27" s="538"/>
      <c r="AJ27" s="538"/>
      <c r="AK27" s="538"/>
      <c r="AL27" s="538"/>
      <c r="AM27" s="538"/>
      <c r="AN27" s="538"/>
      <c r="AO27" s="538"/>
      <c r="AP27" s="538"/>
    </row>
    <row r="28" spans="1:42" s="377" customFormat="1" ht="18">
      <c r="A28" s="554" t="s">
        <v>818</v>
      </c>
      <c r="B28" s="555"/>
      <c r="C28" s="580" t="s">
        <v>819</v>
      </c>
      <c r="D28" s="557">
        <v>6.42</v>
      </c>
      <c r="E28" s="557">
        <v>12.64</v>
      </c>
      <c r="F28" s="557">
        <v>5.26</v>
      </c>
      <c r="G28" s="557">
        <v>9.81</v>
      </c>
      <c r="H28" s="558">
        <v>0.36</v>
      </c>
      <c r="I28" s="557">
        <v>0.99</v>
      </c>
      <c r="J28" s="558">
        <v>7</v>
      </c>
      <c r="K28" s="558">
        <v>0.95</v>
      </c>
      <c r="L28" s="558">
        <v>3.33</v>
      </c>
      <c r="M28" s="558">
        <v>3.71</v>
      </c>
      <c r="N28" s="557">
        <v>8.41</v>
      </c>
      <c r="O28" s="557">
        <v>4.04</v>
      </c>
      <c r="P28" s="557">
        <v>11.89</v>
      </c>
      <c r="Q28" s="557">
        <v>3.45</v>
      </c>
      <c r="R28" s="557">
        <v>3.93</v>
      </c>
      <c r="S28" s="560">
        <v>9.92</v>
      </c>
      <c r="T28" s="561">
        <v>15.01</v>
      </c>
      <c r="U28" s="560">
        <v>9.59</v>
      </c>
      <c r="V28" s="558">
        <v>3.75</v>
      </c>
      <c r="W28" s="560">
        <v>2.1800000000000002</v>
      </c>
      <c r="X28" s="582"/>
      <c r="Y28" s="538"/>
      <c r="Z28" s="538"/>
      <c r="AA28" s="538"/>
      <c r="AB28" s="538"/>
      <c r="AC28" s="538"/>
      <c r="AD28" s="538"/>
      <c r="AE28" s="538"/>
      <c r="AF28" s="538"/>
      <c r="AG28" s="538"/>
      <c r="AH28" s="538"/>
      <c r="AI28" s="538"/>
      <c r="AJ28" s="538"/>
      <c r="AK28" s="538"/>
      <c r="AL28" s="538"/>
      <c r="AM28" s="538"/>
      <c r="AN28" s="538"/>
      <c r="AO28" s="538"/>
      <c r="AP28" s="538"/>
    </row>
    <row r="29" spans="1:42" s="377" customFormat="1" ht="18">
      <c r="A29" s="554" t="s">
        <v>820</v>
      </c>
      <c r="B29" s="555"/>
      <c r="C29" s="580" t="s">
        <v>821</v>
      </c>
      <c r="D29" s="557">
        <v>7.37</v>
      </c>
      <c r="E29" s="557">
        <v>11.24</v>
      </c>
      <c r="F29" s="557">
        <v>5.85</v>
      </c>
      <c r="G29" s="557">
        <v>9.24</v>
      </c>
      <c r="H29" s="557">
        <v>2.0699999999999998</v>
      </c>
      <c r="I29" s="557">
        <v>1.59</v>
      </c>
      <c r="J29" s="557">
        <v>6.08</v>
      </c>
      <c r="K29" s="557">
        <v>2.61</v>
      </c>
      <c r="L29" s="557">
        <v>2.96</v>
      </c>
      <c r="M29" s="558">
        <v>3.14</v>
      </c>
      <c r="N29" s="557">
        <v>6.88</v>
      </c>
      <c r="O29" s="557">
        <v>5</v>
      </c>
      <c r="P29" s="557">
        <v>9.9</v>
      </c>
      <c r="Q29" s="559">
        <v>3.84</v>
      </c>
      <c r="R29" s="559">
        <v>3.75</v>
      </c>
      <c r="S29" s="560">
        <v>8.1999999999999993</v>
      </c>
      <c r="T29" s="561">
        <v>11.76</v>
      </c>
      <c r="U29" s="560">
        <v>9.67</v>
      </c>
      <c r="V29" s="558">
        <v>6.44</v>
      </c>
      <c r="W29" s="560">
        <v>3.55</v>
      </c>
      <c r="X29" s="582"/>
      <c r="Y29" s="538"/>
      <c r="Z29" s="538"/>
      <c r="AA29" s="538"/>
      <c r="AB29" s="538"/>
      <c r="AC29" s="538"/>
      <c r="AD29" s="538"/>
      <c r="AE29" s="538"/>
      <c r="AF29" s="538"/>
      <c r="AG29" s="538"/>
      <c r="AH29" s="538"/>
      <c r="AI29" s="538"/>
      <c r="AJ29" s="538"/>
      <c r="AK29" s="538"/>
      <c r="AL29" s="538"/>
      <c r="AM29" s="538"/>
      <c r="AN29" s="538"/>
      <c r="AO29" s="538"/>
      <c r="AP29" s="538"/>
    </row>
    <row r="30" spans="1:42" s="377" customFormat="1" ht="18">
      <c r="A30" s="562" t="s">
        <v>822</v>
      </c>
      <c r="B30" s="563"/>
      <c r="C30" s="589" t="s">
        <v>823</v>
      </c>
      <c r="D30" s="565">
        <v>7.59</v>
      </c>
      <c r="E30" s="565">
        <v>8.36</v>
      </c>
      <c r="F30" s="565">
        <v>6.02</v>
      </c>
      <c r="G30" s="565">
        <v>12.06</v>
      </c>
      <c r="H30" s="565">
        <v>0.28000000000000003</v>
      </c>
      <c r="I30" s="565">
        <v>-0.44</v>
      </c>
      <c r="J30" s="566">
        <v>-0.6</v>
      </c>
      <c r="K30" s="566">
        <v>-2.37</v>
      </c>
      <c r="L30" s="566">
        <v>11.29</v>
      </c>
      <c r="M30" s="566">
        <v>4.76</v>
      </c>
      <c r="N30" s="565">
        <v>-6.86</v>
      </c>
      <c r="O30" s="565">
        <v>26.4</v>
      </c>
      <c r="P30" s="565">
        <v>7.66</v>
      </c>
      <c r="Q30" s="565">
        <v>-0.11</v>
      </c>
      <c r="R30" s="565">
        <v>6.17</v>
      </c>
      <c r="S30" s="587">
        <v>0</v>
      </c>
      <c r="T30" s="568">
        <v>2.23</v>
      </c>
      <c r="U30" s="569">
        <v>16.66</v>
      </c>
      <c r="V30" s="570">
        <v>20.22</v>
      </c>
      <c r="W30" s="569">
        <v>13.76</v>
      </c>
      <c r="X30" s="571"/>
      <c r="Y30" s="538"/>
      <c r="Z30" s="538"/>
      <c r="AA30" s="538"/>
      <c r="AB30" s="538"/>
      <c r="AC30" s="538"/>
      <c r="AD30" s="538"/>
      <c r="AE30" s="538"/>
      <c r="AF30" s="538"/>
      <c r="AG30" s="538"/>
      <c r="AH30" s="538"/>
      <c r="AI30" s="538"/>
      <c r="AJ30" s="538"/>
      <c r="AK30" s="538"/>
      <c r="AL30" s="538"/>
      <c r="AM30" s="538"/>
      <c r="AN30" s="538"/>
      <c r="AO30" s="538"/>
      <c r="AP30" s="538"/>
    </row>
    <row r="31" spans="1:42" s="377" customFormat="1" ht="18">
      <c r="A31" s="572" t="s">
        <v>824</v>
      </c>
      <c r="B31" s="573"/>
      <c r="C31" s="590" t="s">
        <v>825</v>
      </c>
      <c r="D31" s="575">
        <v>0.38</v>
      </c>
      <c r="E31" s="575">
        <v>4.17</v>
      </c>
      <c r="F31" s="575">
        <v>7.06</v>
      </c>
      <c r="G31" s="575">
        <v>1.56</v>
      </c>
      <c r="H31" s="575">
        <v>3.79</v>
      </c>
      <c r="I31" s="575">
        <v>1.52</v>
      </c>
      <c r="J31" s="575">
        <v>-1.42</v>
      </c>
      <c r="K31" s="575">
        <v>0.47</v>
      </c>
      <c r="L31" s="575">
        <v>0.89</v>
      </c>
      <c r="M31" s="574">
        <v>0</v>
      </c>
      <c r="N31" s="575">
        <v>1.7</v>
      </c>
      <c r="O31" s="575">
        <v>0</v>
      </c>
      <c r="P31" s="575">
        <v>17.350000000000001</v>
      </c>
      <c r="Q31" s="575">
        <v>0</v>
      </c>
      <c r="R31" s="575">
        <v>0</v>
      </c>
      <c r="S31" s="567">
        <v>8.1199999999999992</v>
      </c>
      <c r="T31" s="568">
        <v>6</v>
      </c>
      <c r="U31" s="569">
        <v>2.13</v>
      </c>
      <c r="V31" s="570">
        <v>0</v>
      </c>
      <c r="W31" s="569">
        <v>4.6399999999999997</v>
      </c>
      <c r="X31" s="571"/>
      <c r="Y31" s="538"/>
      <c r="Z31" s="538"/>
      <c r="AA31" s="538"/>
      <c r="AB31" s="538"/>
      <c r="AC31" s="538"/>
      <c r="AD31" s="538"/>
      <c r="AE31" s="538"/>
      <c r="AF31" s="538"/>
      <c r="AG31" s="538"/>
      <c r="AH31" s="538"/>
      <c r="AI31" s="538"/>
      <c r="AJ31" s="538"/>
      <c r="AK31" s="538"/>
      <c r="AL31" s="538"/>
      <c r="AM31" s="538"/>
      <c r="AN31" s="538"/>
      <c r="AO31" s="538"/>
      <c r="AP31" s="538"/>
    </row>
    <row r="32" spans="1:42" s="377" customFormat="1" ht="18">
      <c r="A32" s="572" t="s">
        <v>826</v>
      </c>
      <c r="B32" s="573"/>
      <c r="C32" s="590" t="s">
        <v>827</v>
      </c>
      <c r="D32" s="575">
        <v>5.88</v>
      </c>
      <c r="E32" s="575">
        <v>7.67</v>
      </c>
      <c r="F32" s="575">
        <v>5.18</v>
      </c>
      <c r="G32" s="575">
        <v>9.19</v>
      </c>
      <c r="H32" s="575">
        <v>9.34</v>
      </c>
      <c r="I32" s="574">
        <v>3.6</v>
      </c>
      <c r="J32" s="575">
        <v>14.55</v>
      </c>
      <c r="K32" s="575">
        <v>-4.1399999999999997</v>
      </c>
      <c r="L32" s="575">
        <v>10.39</v>
      </c>
      <c r="M32" s="574">
        <v>9.15</v>
      </c>
      <c r="N32" s="575">
        <v>17.53</v>
      </c>
      <c r="O32" s="575">
        <v>15.52</v>
      </c>
      <c r="P32" s="575">
        <v>8.67</v>
      </c>
      <c r="Q32" s="575">
        <v>9.2899999999999991</v>
      </c>
      <c r="R32" s="575">
        <v>7.01</v>
      </c>
      <c r="S32" s="567">
        <v>12.02</v>
      </c>
      <c r="T32" s="568">
        <v>2.79</v>
      </c>
      <c r="U32" s="569">
        <v>12.01</v>
      </c>
      <c r="V32" s="570">
        <v>4</v>
      </c>
      <c r="W32" s="569">
        <v>4.5</v>
      </c>
      <c r="X32" s="571"/>
      <c r="Y32" s="538"/>
      <c r="Z32" s="538"/>
      <c r="AA32" s="538"/>
      <c r="AB32" s="538"/>
      <c r="AC32" s="538"/>
      <c r="AD32" s="538"/>
      <c r="AE32" s="538"/>
      <c r="AF32" s="538"/>
      <c r="AG32" s="538"/>
      <c r="AH32" s="538"/>
      <c r="AI32" s="538"/>
      <c r="AJ32" s="538"/>
      <c r="AK32" s="538"/>
      <c r="AL32" s="538"/>
      <c r="AM32" s="538"/>
      <c r="AN32" s="538"/>
      <c r="AO32" s="538"/>
      <c r="AP32" s="538"/>
    </row>
    <row r="33" spans="1:42" s="377" customFormat="1" ht="18">
      <c r="A33" s="572" t="s">
        <v>828</v>
      </c>
      <c r="B33" s="573"/>
      <c r="C33" s="590" t="s">
        <v>829</v>
      </c>
      <c r="D33" s="575">
        <v>10.06</v>
      </c>
      <c r="E33" s="575">
        <v>2.08</v>
      </c>
      <c r="F33" s="575">
        <v>0.72</v>
      </c>
      <c r="G33" s="575">
        <v>5.01</v>
      </c>
      <c r="H33" s="574">
        <v>0</v>
      </c>
      <c r="I33" s="575">
        <v>1.35</v>
      </c>
      <c r="J33" s="575">
        <v>3.86</v>
      </c>
      <c r="K33" s="575">
        <v>-20.79</v>
      </c>
      <c r="L33" s="575">
        <v>25.27</v>
      </c>
      <c r="M33" s="574">
        <v>-38.93</v>
      </c>
      <c r="N33" s="575">
        <v>39.270000000000003</v>
      </c>
      <c r="O33" s="575">
        <v>0</v>
      </c>
      <c r="P33" s="575">
        <v>30.26</v>
      </c>
      <c r="Q33" s="575">
        <v>0</v>
      </c>
      <c r="R33" s="575">
        <v>0</v>
      </c>
      <c r="S33" s="567">
        <v>-13.11</v>
      </c>
      <c r="T33" s="568">
        <v>5.89</v>
      </c>
      <c r="U33" s="569">
        <v>10.33</v>
      </c>
      <c r="V33" s="570">
        <v>10.35</v>
      </c>
      <c r="W33" s="569">
        <v>7.64</v>
      </c>
      <c r="X33" s="571"/>
      <c r="Y33" s="538"/>
      <c r="Z33" s="538"/>
      <c r="AA33" s="538"/>
      <c r="AB33" s="538"/>
      <c r="AC33" s="538"/>
      <c r="AD33" s="538"/>
      <c r="AE33" s="538"/>
      <c r="AF33" s="538"/>
      <c r="AG33" s="538"/>
      <c r="AH33" s="538"/>
      <c r="AI33" s="538"/>
      <c r="AJ33" s="538"/>
      <c r="AK33" s="538"/>
      <c r="AL33" s="538"/>
      <c r="AM33" s="538"/>
      <c r="AN33" s="538"/>
      <c r="AO33" s="538"/>
      <c r="AP33" s="538"/>
    </row>
    <row r="34" spans="1:42" s="377" customFormat="1" ht="18">
      <c r="A34" s="572" t="s">
        <v>830</v>
      </c>
      <c r="B34" s="573"/>
      <c r="C34" s="590" t="s">
        <v>831</v>
      </c>
      <c r="D34" s="575">
        <v>42.49</v>
      </c>
      <c r="E34" s="574">
        <v>37.29</v>
      </c>
      <c r="F34" s="575">
        <v>12.12</v>
      </c>
      <c r="G34" s="575">
        <v>26.32</v>
      </c>
      <c r="H34" s="575">
        <v>31.48</v>
      </c>
      <c r="I34" s="575">
        <v>25.76</v>
      </c>
      <c r="J34" s="575">
        <v>22.28</v>
      </c>
      <c r="K34" s="574">
        <v>-6.3</v>
      </c>
      <c r="L34" s="574">
        <v>-7.3</v>
      </c>
      <c r="M34" s="574">
        <v>-10.57</v>
      </c>
      <c r="N34" s="575">
        <v>34.94</v>
      </c>
      <c r="O34" s="575">
        <v>-25.47</v>
      </c>
      <c r="P34" s="575">
        <v>12.67</v>
      </c>
      <c r="Q34" s="575">
        <v>-0.6</v>
      </c>
      <c r="R34" s="575">
        <v>5.51</v>
      </c>
      <c r="S34" s="567">
        <v>-0.53</v>
      </c>
      <c r="T34" s="568">
        <v>21.93</v>
      </c>
      <c r="U34" s="569">
        <v>-2.25</v>
      </c>
      <c r="V34" s="570">
        <v>-3.39</v>
      </c>
      <c r="W34" s="569">
        <v>1.61</v>
      </c>
      <c r="X34" s="571"/>
      <c r="Y34" s="538"/>
      <c r="Z34" s="538"/>
      <c r="AA34" s="538"/>
      <c r="AB34" s="538"/>
      <c r="AC34" s="538"/>
      <c r="AD34" s="538"/>
      <c r="AE34" s="538"/>
      <c r="AF34" s="538"/>
      <c r="AG34" s="538"/>
      <c r="AH34" s="538"/>
      <c r="AI34" s="538"/>
      <c r="AJ34" s="538"/>
      <c r="AK34" s="538"/>
      <c r="AL34" s="538"/>
      <c r="AM34" s="538"/>
      <c r="AN34" s="538"/>
      <c r="AO34" s="538"/>
      <c r="AP34" s="538"/>
    </row>
    <row r="35" spans="1:42" s="538" customFormat="1" ht="18">
      <c r="A35" s="572" t="s">
        <v>832</v>
      </c>
      <c r="B35" s="573"/>
      <c r="C35" s="590" t="s">
        <v>833</v>
      </c>
      <c r="D35" s="575">
        <v>41.06</v>
      </c>
      <c r="E35" s="575">
        <v>46.92</v>
      </c>
      <c r="F35" s="575">
        <v>19.829999999999998</v>
      </c>
      <c r="G35" s="575">
        <v>24.64</v>
      </c>
      <c r="H35" s="575">
        <v>15.61</v>
      </c>
      <c r="I35" s="575">
        <v>31.26</v>
      </c>
      <c r="J35" s="575">
        <v>33.89</v>
      </c>
      <c r="K35" s="575">
        <v>3.82</v>
      </c>
      <c r="L35" s="575">
        <v>-11.88</v>
      </c>
      <c r="M35" s="574">
        <v>-20.420000000000002</v>
      </c>
      <c r="N35" s="575">
        <v>25.12</v>
      </c>
      <c r="O35" s="575">
        <v>-30.85</v>
      </c>
      <c r="P35" s="575">
        <v>19.38</v>
      </c>
      <c r="Q35" s="575">
        <v>-0.35</v>
      </c>
      <c r="R35" s="575">
        <v>7.24</v>
      </c>
      <c r="S35" s="567">
        <v>20.23</v>
      </c>
      <c r="T35" s="568">
        <v>39.979999999999997</v>
      </c>
      <c r="U35" s="569">
        <v>8.07</v>
      </c>
      <c r="V35" s="570">
        <v>-5.19</v>
      </c>
      <c r="W35" s="569">
        <v>1.76</v>
      </c>
      <c r="X35" s="571"/>
    </row>
    <row r="36" spans="1:42" s="538" customFormat="1" ht="18">
      <c r="A36" s="572" t="s">
        <v>834</v>
      </c>
      <c r="B36" s="573"/>
      <c r="C36" s="590" t="s">
        <v>835</v>
      </c>
      <c r="D36" s="575">
        <v>42.42</v>
      </c>
      <c r="E36" s="574">
        <v>35.61</v>
      </c>
      <c r="F36" s="575">
        <v>10.77</v>
      </c>
      <c r="G36" s="575">
        <v>26.98</v>
      </c>
      <c r="H36" s="575">
        <v>36.49</v>
      </c>
      <c r="I36" s="575">
        <v>22.25</v>
      </c>
      <c r="J36" s="575">
        <v>18.260000000000002</v>
      </c>
      <c r="K36" s="575">
        <v>-4.87</v>
      </c>
      <c r="L36" s="575">
        <v>-9.4</v>
      </c>
      <c r="M36" s="574">
        <v>-12.64</v>
      </c>
      <c r="N36" s="575">
        <v>41.9</v>
      </c>
      <c r="O36" s="575">
        <v>-22.37</v>
      </c>
      <c r="P36" s="575">
        <v>12.1</v>
      </c>
      <c r="Q36" s="575">
        <v>-0.54</v>
      </c>
      <c r="R36" s="575">
        <v>5.16</v>
      </c>
      <c r="S36" s="567">
        <v>-1.38</v>
      </c>
      <c r="T36" s="568">
        <v>19.03</v>
      </c>
      <c r="U36" s="569">
        <v>12.87</v>
      </c>
      <c r="V36" s="570">
        <v>-1.57</v>
      </c>
      <c r="W36" s="569">
        <v>3.65</v>
      </c>
      <c r="X36" s="571"/>
    </row>
    <row r="37" spans="1:42" s="538" customFormat="1" ht="18">
      <c r="A37" s="572" t="s">
        <v>836</v>
      </c>
      <c r="B37" s="573"/>
      <c r="C37" s="590" t="s">
        <v>837</v>
      </c>
      <c r="D37" s="574">
        <v>5.05</v>
      </c>
      <c r="E37" s="575">
        <v>6.66</v>
      </c>
      <c r="F37" s="575">
        <v>5.66</v>
      </c>
      <c r="G37" s="575">
        <v>6.11</v>
      </c>
      <c r="H37" s="575">
        <v>5.87</v>
      </c>
      <c r="I37" s="575">
        <v>6.05</v>
      </c>
      <c r="J37" s="575">
        <v>4.3899999999999997</v>
      </c>
      <c r="K37" s="575">
        <v>7.41</v>
      </c>
      <c r="L37" s="575">
        <v>3.2</v>
      </c>
      <c r="M37" s="574">
        <v>5.85</v>
      </c>
      <c r="N37" s="575">
        <v>7.2</v>
      </c>
      <c r="O37" s="575">
        <v>1.1200000000000001</v>
      </c>
      <c r="P37" s="575">
        <v>1.43</v>
      </c>
      <c r="Q37" s="575">
        <v>2.4900000000000002</v>
      </c>
      <c r="R37" s="575">
        <v>7.01</v>
      </c>
      <c r="S37" s="567">
        <v>2.79</v>
      </c>
      <c r="T37" s="568">
        <v>2.42</v>
      </c>
      <c r="U37" s="569">
        <v>6.33</v>
      </c>
      <c r="V37" s="570">
        <v>10.99</v>
      </c>
      <c r="W37" s="569">
        <v>4.37</v>
      </c>
      <c r="X37" s="571"/>
    </row>
    <row r="38" spans="1:42" s="538" customFormat="1" ht="18">
      <c r="A38" s="572" t="s">
        <v>838</v>
      </c>
      <c r="B38" s="573"/>
      <c r="C38" s="590" t="s">
        <v>839</v>
      </c>
      <c r="D38" s="575">
        <v>7.76</v>
      </c>
      <c r="E38" s="575">
        <v>3.86</v>
      </c>
      <c r="F38" s="574">
        <v>2.8</v>
      </c>
      <c r="G38" s="575">
        <v>2.58</v>
      </c>
      <c r="H38" s="575">
        <v>0.76</v>
      </c>
      <c r="I38" s="575">
        <v>-0.38</v>
      </c>
      <c r="J38" s="575">
        <v>-1.38</v>
      </c>
      <c r="K38" s="575">
        <v>-3.56</v>
      </c>
      <c r="L38" s="575">
        <v>-0.16</v>
      </c>
      <c r="M38" s="574">
        <v>0.5</v>
      </c>
      <c r="N38" s="575">
        <v>2.11</v>
      </c>
      <c r="O38" s="575">
        <v>0.01</v>
      </c>
      <c r="P38" s="575">
        <v>4.3899999999999997</v>
      </c>
      <c r="Q38" s="575">
        <v>-5.74</v>
      </c>
      <c r="R38" s="575">
        <v>1.1000000000000001</v>
      </c>
      <c r="S38" s="567">
        <v>0.86</v>
      </c>
      <c r="T38" s="568">
        <v>5.1100000000000003</v>
      </c>
      <c r="U38" s="569">
        <v>1.0900000000000001</v>
      </c>
      <c r="V38" s="570">
        <v>3.03</v>
      </c>
      <c r="W38" s="569">
        <v>0.94</v>
      </c>
      <c r="X38" s="571"/>
    </row>
    <row r="39" spans="1:42" s="538" customFormat="1" ht="18">
      <c r="A39" s="572" t="s">
        <v>840</v>
      </c>
      <c r="B39" s="573"/>
      <c r="C39" s="590" t="s">
        <v>841</v>
      </c>
      <c r="D39" s="575">
        <v>2.5099999999999998</v>
      </c>
      <c r="E39" s="575">
        <v>2.34</v>
      </c>
      <c r="F39" s="575">
        <v>1.29</v>
      </c>
      <c r="G39" s="575">
        <v>1.07</v>
      </c>
      <c r="H39" s="575">
        <v>1.07</v>
      </c>
      <c r="I39" s="575">
        <v>1.51</v>
      </c>
      <c r="J39" s="574">
        <v>7</v>
      </c>
      <c r="K39" s="574">
        <v>15.73</v>
      </c>
      <c r="L39" s="574">
        <v>3.38</v>
      </c>
      <c r="M39" s="574">
        <v>3.95</v>
      </c>
      <c r="N39" s="575">
        <v>9.19</v>
      </c>
      <c r="O39" s="575">
        <v>6.97</v>
      </c>
      <c r="P39" s="575">
        <v>5.92</v>
      </c>
      <c r="Q39" s="575">
        <v>1.0900000000000001</v>
      </c>
      <c r="R39" s="575">
        <v>7.28</v>
      </c>
      <c r="S39" s="567">
        <v>7.87</v>
      </c>
      <c r="T39" s="568">
        <v>-30.54</v>
      </c>
      <c r="U39" s="569">
        <v>7.07</v>
      </c>
      <c r="V39" s="570">
        <v>9.4499999999999993</v>
      </c>
      <c r="W39" s="569">
        <v>3.78</v>
      </c>
      <c r="X39" s="571"/>
    </row>
    <row r="40" spans="1:42" s="538" customFormat="1" ht="18">
      <c r="A40" s="572" t="s">
        <v>802</v>
      </c>
      <c r="B40" s="573"/>
      <c r="C40" s="590" t="s">
        <v>842</v>
      </c>
      <c r="D40" s="575">
        <v>1.31</v>
      </c>
      <c r="E40" s="575">
        <v>4.6900000000000004</v>
      </c>
      <c r="F40" s="575">
        <v>5.01</v>
      </c>
      <c r="G40" s="575">
        <v>5.01</v>
      </c>
      <c r="H40" s="575">
        <v>9.98</v>
      </c>
      <c r="I40" s="574">
        <v>0</v>
      </c>
      <c r="J40" s="575">
        <v>5.28</v>
      </c>
      <c r="K40" s="575">
        <v>-13.54</v>
      </c>
      <c r="L40" s="575">
        <v>7.25</v>
      </c>
      <c r="M40" s="574">
        <v>6.06</v>
      </c>
      <c r="N40" s="575">
        <v>13.72</v>
      </c>
      <c r="O40" s="575">
        <v>16.84</v>
      </c>
      <c r="P40" s="575">
        <v>-6.43</v>
      </c>
      <c r="Q40" s="575">
        <v>0</v>
      </c>
      <c r="R40" s="575">
        <v>0</v>
      </c>
      <c r="S40" s="567">
        <v>3.6</v>
      </c>
      <c r="T40" s="568">
        <v>19.52</v>
      </c>
      <c r="U40" s="569">
        <v>0</v>
      </c>
      <c r="V40" s="570">
        <v>0</v>
      </c>
      <c r="W40" s="569">
        <v>0</v>
      </c>
      <c r="X40" s="571"/>
    </row>
    <row r="41" spans="1:42" s="538" customFormat="1" ht="18">
      <c r="A41" s="572" t="s">
        <v>843</v>
      </c>
      <c r="B41" s="573"/>
      <c r="C41" s="590" t="s">
        <v>844</v>
      </c>
      <c r="D41" s="574">
        <v>0</v>
      </c>
      <c r="E41" s="574">
        <v>33.1</v>
      </c>
      <c r="F41" s="575">
        <v>45.54</v>
      </c>
      <c r="G41" s="575">
        <v>40.770000000000003</v>
      </c>
      <c r="H41" s="575">
        <v>-35.67</v>
      </c>
      <c r="I41" s="574">
        <v>10</v>
      </c>
      <c r="J41" s="574">
        <v>15</v>
      </c>
      <c r="K41" s="574">
        <v>11.2</v>
      </c>
      <c r="L41" s="574">
        <v>0</v>
      </c>
      <c r="M41" s="574">
        <v>0</v>
      </c>
      <c r="N41" s="575">
        <v>0</v>
      </c>
      <c r="O41" s="575">
        <v>0</v>
      </c>
      <c r="P41" s="575">
        <v>0</v>
      </c>
      <c r="Q41" s="575">
        <v>0</v>
      </c>
      <c r="R41" s="575">
        <v>0</v>
      </c>
      <c r="S41" s="567">
        <v>0</v>
      </c>
      <c r="T41" s="568">
        <v>0</v>
      </c>
      <c r="U41" s="569">
        <v>0</v>
      </c>
      <c r="V41" s="570">
        <v>0</v>
      </c>
      <c r="W41" s="569">
        <v>0</v>
      </c>
      <c r="X41" s="571"/>
    </row>
    <row r="42" spans="1:42" s="538" customFormat="1" ht="18">
      <c r="A42" s="572" t="s">
        <v>845</v>
      </c>
      <c r="B42" s="573"/>
      <c r="C42" s="590" t="s">
        <v>846</v>
      </c>
      <c r="D42" s="575">
        <v>-3.35</v>
      </c>
      <c r="E42" s="575">
        <v>16.37</v>
      </c>
      <c r="F42" s="574">
        <v>5</v>
      </c>
      <c r="G42" s="575">
        <v>11.37</v>
      </c>
      <c r="H42" s="575">
        <v>2.82</v>
      </c>
      <c r="I42" s="575">
        <v>2.81</v>
      </c>
      <c r="J42" s="575">
        <v>0.45</v>
      </c>
      <c r="K42" s="575">
        <v>4.54</v>
      </c>
      <c r="L42" s="575">
        <v>2.16</v>
      </c>
      <c r="M42" s="574">
        <v>5</v>
      </c>
      <c r="N42" s="575">
        <v>13.41</v>
      </c>
      <c r="O42" s="575">
        <v>7.38</v>
      </c>
      <c r="P42" s="575">
        <v>5.12</v>
      </c>
      <c r="Q42" s="575">
        <v>1.61</v>
      </c>
      <c r="R42" s="575">
        <v>2.86</v>
      </c>
      <c r="S42" s="567">
        <v>4.92</v>
      </c>
      <c r="T42" s="568">
        <v>-31.43</v>
      </c>
      <c r="U42" s="569">
        <v>16.95</v>
      </c>
      <c r="V42" s="570">
        <v>14.41</v>
      </c>
      <c r="W42" s="569">
        <v>8.9700000000000006</v>
      </c>
      <c r="X42" s="571"/>
    </row>
    <row r="43" spans="1:42" s="538" customFormat="1" ht="18">
      <c r="A43" s="572" t="s">
        <v>847</v>
      </c>
      <c r="B43" s="573"/>
      <c r="C43" s="590" t="s">
        <v>848</v>
      </c>
      <c r="D43" s="575">
        <v>41.72</v>
      </c>
      <c r="E43" s="574">
        <v>35.6</v>
      </c>
      <c r="F43" s="575">
        <v>10.34</v>
      </c>
      <c r="G43" s="575">
        <v>29.95</v>
      </c>
      <c r="H43" s="575">
        <v>20.66</v>
      </c>
      <c r="I43" s="575">
        <v>21.97</v>
      </c>
      <c r="J43" s="575">
        <v>16.34</v>
      </c>
      <c r="K43" s="575">
        <v>1.22</v>
      </c>
      <c r="L43" s="575">
        <v>-10.02</v>
      </c>
      <c r="M43" s="574">
        <v>-16.170000000000002</v>
      </c>
      <c r="N43" s="575">
        <v>41.86</v>
      </c>
      <c r="O43" s="575">
        <v>-29.14</v>
      </c>
      <c r="P43" s="575">
        <v>16.79</v>
      </c>
      <c r="Q43" s="575">
        <v>0</v>
      </c>
      <c r="R43" s="575">
        <v>5.5</v>
      </c>
      <c r="S43" s="567">
        <v>8.42</v>
      </c>
      <c r="T43" s="568">
        <v>30.46</v>
      </c>
      <c r="U43" s="569">
        <v>0</v>
      </c>
      <c r="V43" s="570">
        <v>0</v>
      </c>
      <c r="W43" s="569">
        <v>0</v>
      </c>
      <c r="X43" s="571"/>
    </row>
    <row r="44" spans="1:42" s="538" customFormat="1" ht="18">
      <c r="A44" s="572" t="s">
        <v>849</v>
      </c>
      <c r="B44" s="573"/>
      <c r="C44" s="590" t="s">
        <v>850</v>
      </c>
      <c r="D44" s="575">
        <v>42.44</v>
      </c>
      <c r="E44" s="575">
        <v>35.590000000000003</v>
      </c>
      <c r="F44" s="575">
        <v>12.36</v>
      </c>
      <c r="G44" s="575">
        <v>15.51</v>
      </c>
      <c r="H44" s="575">
        <v>35.229999999999997</v>
      </c>
      <c r="I44" s="575">
        <v>22.07</v>
      </c>
      <c r="J44" s="575">
        <v>10.24</v>
      </c>
      <c r="K44" s="575">
        <v>10.58</v>
      </c>
      <c r="L44" s="575">
        <v>-4.38</v>
      </c>
      <c r="M44" s="574">
        <v>-2.39</v>
      </c>
      <c r="N44" s="575">
        <v>13.28</v>
      </c>
      <c r="O44" s="575">
        <v>-25.97</v>
      </c>
      <c r="P44" s="575">
        <v>6.51</v>
      </c>
      <c r="Q44" s="575">
        <v>0</v>
      </c>
      <c r="R44" s="575">
        <v>6.08</v>
      </c>
      <c r="S44" s="567">
        <v>1.89</v>
      </c>
      <c r="T44" s="568">
        <v>21.04</v>
      </c>
      <c r="U44" s="569">
        <v>8.2200000000000006</v>
      </c>
      <c r="V44" s="570">
        <v>-6.53</v>
      </c>
      <c r="W44" s="569">
        <v>4.09</v>
      </c>
      <c r="X44" s="571"/>
    </row>
    <row r="45" spans="1:42" s="538" customFormat="1" ht="18">
      <c r="A45" s="572" t="s">
        <v>851</v>
      </c>
      <c r="B45" s="573"/>
      <c r="C45" s="590" t="s">
        <v>852</v>
      </c>
      <c r="D45" s="574">
        <v>0</v>
      </c>
      <c r="E45" s="574">
        <v>0</v>
      </c>
      <c r="F45" s="574">
        <v>0</v>
      </c>
      <c r="G45" s="574">
        <v>0</v>
      </c>
      <c r="H45" s="574">
        <v>0</v>
      </c>
      <c r="I45" s="574">
        <v>0</v>
      </c>
      <c r="J45" s="575">
        <v>8.1300000000000008</v>
      </c>
      <c r="K45" s="575">
        <v>16.07</v>
      </c>
      <c r="L45" s="575">
        <v>3</v>
      </c>
      <c r="M45" s="574">
        <v>3</v>
      </c>
      <c r="N45" s="575">
        <v>9.5</v>
      </c>
      <c r="O45" s="575">
        <v>10</v>
      </c>
      <c r="P45" s="575">
        <v>0.93</v>
      </c>
      <c r="Q45" s="575">
        <v>0</v>
      </c>
      <c r="R45" s="575">
        <v>10.24</v>
      </c>
      <c r="S45" s="567">
        <v>8.6199999999999992</v>
      </c>
      <c r="T45" s="568">
        <v>2.0699999999999998</v>
      </c>
      <c r="U45" s="569">
        <v>6.88</v>
      </c>
      <c r="V45" s="570">
        <v>10.94</v>
      </c>
      <c r="W45" s="569">
        <v>0.28999999999999998</v>
      </c>
      <c r="X45" s="571"/>
    </row>
    <row r="46" spans="1:42" s="538" customFormat="1" ht="18">
      <c r="A46" s="572" t="s">
        <v>853</v>
      </c>
      <c r="B46" s="573"/>
      <c r="C46" s="590" t="s">
        <v>854</v>
      </c>
      <c r="D46" s="574">
        <v>0</v>
      </c>
      <c r="E46" s="574">
        <v>0</v>
      </c>
      <c r="F46" s="574">
        <v>0</v>
      </c>
      <c r="G46" s="574">
        <v>0</v>
      </c>
      <c r="H46" s="574">
        <v>0</v>
      </c>
      <c r="I46" s="574">
        <v>0</v>
      </c>
      <c r="J46" s="575">
        <v>8.1300000000000008</v>
      </c>
      <c r="K46" s="574">
        <v>15.9</v>
      </c>
      <c r="L46" s="574">
        <v>3</v>
      </c>
      <c r="M46" s="574">
        <v>3</v>
      </c>
      <c r="N46" s="575">
        <v>9.5</v>
      </c>
      <c r="O46" s="575">
        <v>10</v>
      </c>
      <c r="P46" s="575">
        <v>0.96</v>
      </c>
      <c r="Q46" s="575">
        <v>0</v>
      </c>
      <c r="R46" s="575">
        <v>9.18</v>
      </c>
      <c r="S46" s="567">
        <v>8.93</v>
      </c>
      <c r="T46" s="568">
        <v>1.96</v>
      </c>
      <c r="U46" s="569">
        <v>6.68</v>
      </c>
      <c r="V46" s="570">
        <v>15.5</v>
      </c>
      <c r="W46" s="569">
        <v>4.09</v>
      </c>
      <c r="X46" s="571"/>
    </row>
    <row r="47" spans="1:42" s="538" customFormat="1" ht="18">
      <c r="A47" s="572" t="s">
        <v>855</v>
      </c>
      <c r="B47" s="573"/>
      <c r="C47" s="590" t="s">
        <v>856</v>
      </c>
      <c r="D47" s="574">
        <v>0</v>
      </c>
      <c r="E47" s="574">
        <v>0</v>
      </c>
      <c r="F47" s="574">
        <v>0</v>
      </c>
      <c r="G47" s="574">
        <v>0</v>
      </c>
      <c r="H47" s="575">
        <v>0.19</v>
      </c>
      <c r="I47" s="574">
        <v>0</v>
      </c>
      <c r="J47" s="575">
        <v>8.1300000000000008</v>
      </c>
      <c r="K47" s="575">
        <v>15.89</v>
      </c>
      <c r="L47" s="575">
        <v>3</v>
      </c>
      <c r="M47" s="574">
        <v>3</v>
      </c>
      <c r="N47" s="575">
        <v>9.5</v>
      </c>
      <c r="O47" s="575">
        <v>10</v>
      </c>
      <c r="P47" s="575">
        <v>0.95</v>
      </c>
      <c r="Q47" s="575">
        <v>0</v>
      </c>
      <c r="R47" s="575">
        <v>9.18</v>
      </c>
      <c r="S47" s="567">
        <v>9.1300000000000008</v>
      </c>
      <c r="T47" s="568">
        <v>2.0299999999999998</v>
      </c>
      <c r="U47" s="569">
        <v>6.65</v>
      </c>
      <c r="V47" s="570">
        <v>10.88</v>
      </c>
      <c r="W47" s="569">
        <v>3.54</v>
      </c>
      <c r="X47" s="571"/>
    </row>
    <row r="48" spans="1:42" s="538" customFormat="1" ht="18">
      <c r="A48" s="572" t="s">
        <v>857</v>
      </c>
      <c r="B48" s="573"/>
      <c r="C48" s="590" t="s">
        <v>858</v>
      </c>
      <c r="D48" s="574">
        <v>0</v>
      </c>
      <c r="E48" s="574">
        <v>0</v>
      </c>
      <c r="F48" s="575">
        <v>1.31</v>
      </c>
      <c r="G48" s="574">
        <v>0</v>
      </c>
      <c r="H48" s="574">
        <v>0</v>
      </c>
      <c r="I48" s="574">
        <v>0</v>
      </c>
      <c r="J48" s="575">
        <v>8.1300000000000008</v>
      </c>
      <c r="K48" s="574">
        <v>15.9</v>
      </c>
      <c r="L48" s="574">
        <v>3.79</v>
      </c>
      <c r="M48" s="574">
        <v>3</v>
      </c>
      <c r="N48" s="575">
        <v>9.51</v>
      </c>
      <c r="O48" s="575">
        <v>10</v>
      </c>
      <c r="P48" s="575">
        <v>9.59</v>
      </c>
      <c r="Q48" s="575">
        <v>0</v>
      </c>
      <c r="R48" s="575">
        <v>6.32</v>
      </c>
      <c r="S48" s="567">
        <v>1.3</v>
      </c>
      <c r="T48" s="568">
        <v>1.61</v>
      </c>
      <c r="U48" s="569">
        <v>4.87</v>
      </c>
      <c r="V48" s="570">
        <v>15.6</v>
      </c>
      <c r="W48" s="569">
        <v>0.95</v>
      </c>
      <c r="X48" s="571"/>
    </row>
    <row r="49" spans="1:24" s="538" customFormat="1" ht="18">
      <c r="A49" s="572" t="s">
        <v>859</v>
      </c>
      <c r="B49" s="573"/>
      <c r="C49" s="590" t="s">
        <v>860</v>
      </c>
      <c r="D49" s="574">
        <v>0</v>
      </c>
      <c r="E49" s="574">
        <v>0</v>
      </c>
      <c r="F49" s="575">
        <v>1.45</v>
      </c>
      <c r="G49" s="574">
        <v>0</v>
      </c>
      <c r="H49" s="574">
        <v>0</v>
      </c>
      <c r="I49" s="574">
        <v>0</v>
      </c>
      <c r="J49" s="575">
        <v>8.1300000000000008</v>
      </c>
      <c r="K49" s="575">
        <v>15.89</v>
      </c>
      <c r="L49" s="575">
        <v>3</v>
      </c>
      <c r="M49" s="574">
        <v>3</v>
      </c>
      <c r="N49" s="575">
        <v>9.5</v>
      </c>
      <c r="O49" s="575">
        <v>10</v>
      </c>
      <c r="P49" s="575">
        <v>9.3800000000000008</v>
      </c>
      <c r="Q49" s="575">
        <v>0</v>
      </c>
      <c r="R49" s="575">
        <v>6.21</v>
      </c>
      <c r="S49" s="567">
        <v>13</v>
      </c>
      <c r="T49" s="568">
        <v>0.89</v>
      </c>
      <c r="U49" s="569">
        <v>4.87</v>
      </c>
      <c r="V49" s="570">
        <v>16</v>
      </c>
      <c r="W49" s="569">
        <v>1.45</v>
      </c>
      <c r="X49" s="571"/>
    </row>
    <row r="50" spans="1:24" s="538" customFormat="1" ht="18">
      <c r="A50" s="572" t="s">
        <v>861</v>
      </c>
      <c r="B50" s="573"/>
      <c r="C50" s="590" t="s">
        <v>862</v>
      </c>
      <c r="D50" s="574">
        <v>0</v>
      </c>
      <c r="E50" s="574">
        <v>0</v>
      </c>
      <c r="F50" s="575">
        <v>1.29</v>
      </c>
      <c r="G50" s="574">
        <v>0</v>
      </c>
      <c r="H50" s="574">
        <v>0</v>
      </c>
      <c r="I50" s="574">
        <v>0</v>
      </c>
      <c r="J50" s="575">
        <v>8.1300000000000008</v>
      </c>
      <c r="K50" s="574">
        <v>15.9</v>
      </c>
      <c r="L50" s="574">
        <v>3</v>
      </c>
      <c r="M50" s="574">
        <v>3</v>
      </c>
      <c r="N50" s="575">
        <v>9.5</v>
      </c>
      <c r="O50" s="575">
        <v>10</v>
      </c>
      <c r="P50" s="575">
        <v>9.2100000000000009</v>
      </c>
      <c r="Q50" s="575">
        <v>0</v>
      </c>
      <c r="R50" s="575">
        <v>7.3</v>
      </c>
      <c r="S50" s="567">
        <v>11.7</v>
      </c>
      <c r="T50" s="568">
        <v>1.22</v>
      </c>
      <c r="U50" s="569">
        <v>4.3899999999999997</v>
      </c>
      <c r="V50" s="570">
        <v>14.4</v>
      </c>
      <c r="W50" s="569">
        <v>8.5500000000000007</v>
      </c>
      <c r="X50" s="571"/>
    </row>
    <row r="51" spans="1:24" s="538" customFormat="1" ht="18">
      <c r="A51" s="572" t="s">
        <v>863</v>
      </c>
      <c r="B51" s="573"/>
      <c r="C51" s="590" t="s">
        <v>864</v>
      </c>
      <c r="D51" s="574">
        <v>0</v>
      </c>
      <c r="E51" s="574">
        <v>0</v>
      </c>
      <c r="F51" s="575">
        <v>1.32</v>
      </c>
      <c r="G51" s="574">
        <v>0</v>
      </c>
      <c r="H51" s="574">
        <v>0</v>
      </c>
      <c r="I51" s="574">
        <v>0</v>
      </c>
      <c r="J51" s="575">
        <v>8.1300000000000008</v>
      </c>
      <c r="K51" s="574">
        <v>15.9</v>
      </c>
      <c r="L51" s="574">
        <v>3</v>
      </c>
      <c r="M51" s="574">
        <v>3</v>
      </c>
      <c r="N51" s="575">
        <v>9.5</v>
      </c>
      <c r="O51" s="575">
        <v>10</v>
      </c>
      <c r="P51" s="575">
        <v>10.4</v>
      </c>
      <c r="Q51" s="575">
        <v>0</v>
      </c>
      <c r="R51" s="575">
        <v>7.3</v>
      </c>
      <c r="S51" s="567">
        <v>10.8</v>
      </c>
      <c r="T51" s="568">
        <v>1.1399999999999999</v>
      </c>
      <c r="U51" s="569">
        <v>4.3899999999999997</v>
      </c>
      <c r="V51" s="570">
        <v>14.4</v>
      </c>
      <c r="W51" s="569">
        <v>16.93</v>
      </c>
      <c r="X51" s="571"/>
    </row>
    <row r="52" spans="1:24" s="538" customFormat="1" ht="18">
      <c r="A52" s="572" t="s">
        <v>865</v>
      </c>
      <c r="B52" s="573"/>
      <c r="C52" s="590" t="s">
        <v>866</v>
      </c>
      <c r="D52" s="575">
        <v>37.74</v>
      </c>
      <c r="E52" s="575">
        <v>48.04</v>
      </c>
      <c r="F52" s="575">
        <v>20.010000000000002</v>
      </c>
      <c r="G52" s="575">
        <v>24.36</v>
      </c>
      <c r="H52" s="575">
        <v>14.43</v>
      </c>
      <c r="I52" s="575">
        <v>33.78</v>
      </c>
      <c r="J52" s="575">
        <v>40.92</v>
      </c>
      <c r="K52" s="575">
        <v>5.18</v>
      </c>
      <c r="L52" s="575">
        <v>-12.57</v>
      </c>
      <c r="M52" s="574">
        <v>-12.1</v>
      </c>
      <c r="N52" s="575">
        <v>14.85</v>
      </c>
      <c r="O52" s="575">
        <v>-33.67</v>
      </c>
      <c r="P52" s="575">
        <v>12.08</v>
      </c>
      <c r="Q52" s="575">
        <v>0.45</v>
      </c>
      <c r="R52" s="575">
        <v>10.09</v>
      </c>
      <c r="S52" s="567">
        <v>24.86</v>
      </c>
      <c r="T52" s="568">
        <v>56.61</v>
      </c>
      <c r="U52" s="569">
        <v>13.18</v>
      </c>
      <c r="V52" s="570">
        <v>-4.82</v>
      </c>
      <c r="W52" s="569">
        <v>0.4</v>
      </c>
      <c r="X52" s="571"/>
    </row>
    <row r="53" spans="1:24" s="538" customFormat="1" ht="18">
      <c r="A53" s="572" t="s">
        <v>867</v>
      </c>
      <c r="B53" s="573"/>
      <c r="C53" s="590" t="s">
        <v>868</v>
      </c>
      <c r="D53" s="575">
        <v>10.41</v>
      </c>
      <c r="E53" s="575">
        <v>4.9800000000000004</v>
      </c>
      <c r="F53" s="575">
        <v>1.61</v>
      </c>
      <c r="G53" s="575">
        <v>10.18</v>
      </c>
      <c r="H53" s="575">
        <v>5.34</v>
      </c>
      <c r="I53" s="574">
        <v>0</v>
      </c>
      <c r="J53" s="574">
        <v>0</v>
      </c>
      <c r="K53" s="574">
        <v>19.72</v>
      </c>
      <c r="L53" s="574">
        <v>4.99</v>
      </c>
      <c r="M53" s="574">
        <v>1.25</v>
      </c>
      <c r="N53" s="575">
        <v>-4.42</v>
      </c>
      <c r="O53" s="575">
        <v>43.68</v>
      </c>
      <c r="P53" s="575">
        <v>1.96</v>
      </c>
      <c r="Q53" s="575">
        <v>-7.04</v>
      </c>
      <c r="R53" s="575">
        <v>4.49</v>
      </c>
      <c r="S53" s="567">
        <v>0</v>
      </c>
      <c r="T53" s="568">
        <v>0</v>
      </c>
      <c r="U53" s="569">
        <v>15.04</v>
      </c>
      <c r="V53" s="570">
        <v>3.47</v>
      </c>
      <c r="W53" s="569">
        <v>10.02</v>
      </c>
      <c r="X53" s="571"/>
    </row>
    <row r="54" spans="1:24" s="538" customFormat="1" ht="18">
      <c r="A54" s="572" t="s">
        <v>869</v>
      </c>
      <c r="B54" s="573"/>
      <c r="C54" s="590" t="s">
        <v>870</v>
      </c>
      <c r="D54" s="575">
        <v>6.48</v>
      </c>
      <c r="E54" s="575">
        <v>2.2200000000000002</v>
      </c>
      <c r="F54" s="575">
        <v>2.95</v>
      </c>
      <c r="G54" s="575">
        <v>2.74</v>
      </c>
      <c r="H54" s="575">
        <v>6.81</v>
      </c>
      <c r="I54" s="575">
        <v>-3.69</v>
      </c>
      <c r="J54" s="575">
        <v>5.96</v>
      </c>
      <c r="K54" s="575">
        <v>-8.0299999999999994</v>
      </c>
      <c r="L54" s="575">
        <v>2.76</v>
      </c>
      <c r="M54" s="574">
        <v>6.98</v>
      </c>
      <c r="N54" s="575">
        <v>53.44</v>
      </c>
      <c r="O54" s="575">
        <v>-4.05</v>
      </c>
      <c r="P54" s="575">
        <v>7.48</v>
      </c>
      <c r="Q54" s="575">
        <v>-2.38</v>
      </c>
      <c r="R54" s="575">
        <v>12.69</v>
      </c>
      <c r="S54" s="567">
        <v>11.5</v>
      </c>
      <c r="T54" s="568">
        <v>5.0999999999999996</v>
      </c>
      <c r="U54" s="569">
        <v>21.46</v>
      </c>
      <c r="V54" s="570">
        <v>-4.58</v>
      </c>
      <c r="W54" s="569">
        <v>1.97</v>
      </c>
      <c r="X54" s="571"/>
    </row>
    <row r="55" spans="1:24" s="538" customFormat="1" ht="18">
      <c r="A55" s="572" t="s">
        <v>871</v>
      </c>
      <c r="B55" s="573"/>
      <c r="C55" s="590" t="s">
        <v>872</v>
      </c>
      <c r="D55" s="575">
        <v>8.07</v>
      </c>
      <c r="E55" s="574">
        <v>2.2999999999999998</v>
      </c>
      <c r="F55" s="575">
        <v>6.82</v>
      </c>
      <c r="G55" s="575">
        <v>5.52</v>
      </c>
      <c r="H55" s="575">
        <v>4.43</v>
      </c>
      <c r="I55" s="575">
        <v>-3.56</v>
      </c>
      <c r="J55" s="575">
        <v>5.77</v>
      </c>
      <c r="K55" s="575">
        <v>-7.67</v>
      </c>
      <c r="L55" s="575">
        <v>1.58</v>
      </c>
      <c r="M55" s="574">
        <v>9.5500000000000007</v>
      </c>
      <c r="N55" s="575">
        <v>39.229999999999997</v>
      </c>
      <c r="O55" s="575">
        <v>-2.58</v>
      </c>
      <c r="P55" s="575">
        <v>3.54</v>
      </c>
      <c r="Q55" s="575">
        <v>-0.1</v>
      </c>
      <c r="R55" s="575">
        <v>6.98</v>
      </c>
      <c r="S55" s="567">
        <v>10.1</v>
      </c>
      <c r="T55" s="568">
        <v>4.41</v>
      </c>
      <c r="U55" s="569">
        <v>21.95</v>
      </c>
      <c r="V55" s="570">
        <v>-4.08</v>
      </c>
      <c r="W55" s="569">
        <v>1.36</v>
      </c>
      <c r="X55" s="571"/>
    </row>
    <row r="56" spans="1:24" s="538" customFormat="1" ht="18">
      <c r="A56" s="572" t="s">
        <v>873</v>
      </c>
      <c r="B56" s="573"/>
      <c r="C56" s="590" t="s">
        <v>874</v>
      </c>
      <c r="D56" s="574">
        <v>8.3000000000000007</v>
      </c>
      <c r="E56" s="575">
        <v>16.75</v>
      </c>
      <c r="F56" s="575">
        <v>10.17</v>
      </c>
      <c r="G56" s="575">
        <v>7.86</v>
      </c>
      <c r="H56" s="574">
        <v>0</v>
      </c>
      <c r="I56" s="574">
        <v>0</v>
      </c>
      <c r="J56" s="574">
        <v>0</v>
      </c>
      <c r="K56" s="574">
        <v>0.01</v>
      </c>
      <c r="L56" s="574">
        <v>0</v>
      </c>
      <c r="M56" s="574">
        <v>-0.73</v>
      </c>
      <c r="N56" s="575">
        <v>2.0499999999999998</v>
      </c>
      <c r="O56" s="575">
        <v>0.03</v>
      </c>
      <c r="P56" s="575">
        <v>0.63</v>
      </c>
      <c r="Q56" s="575">
        <v>2.37</v>
      </c>
      <c r="R56" s="575">
        <v>1.1200000000000001</v>
      </c>
      <c r="S56" s="567">
        <v>0.32</v>
      </c>
      <c r="T56" s="568">
        <v>-2.68</v>
      </c>
      <c r="U56" s="569">
        <v>2.5099999999999998</v>
      </c>
      <c r="V56" s="570">
        <v>-7.97</v>
      </c>
      <c r="W56" s="569">
        <v>2.74</v>
      </c>
      <c r="X56" s="571"/>
    </row>
    <row r="57" spans="1:24" s="538" customFormat="1" ht="18">
      <c r="A57" s="572" t="s">
        <v>875</v>
      </c>
      <c r="B57" s="573"/>
      <c r="C57" s="590" t="s">
        <v>876</v>
      </c>
      <c r="D57" s="575">
        <v>5.69</v>
      </c>
      <c r="E57" s="574">
        <v>0</v>
      </c>
      <c r="F57" s="575">
        <v>0.83</v>
      </c>
      <c r="G57" s="574">
        <v>0</v>
      </c>
      <c r="H57" s="575">
        <v>11.11</v>
      </c>
      <c r="I57" s="575">
        <v>-3.63</v>
      </c>
      <c r="J57" s="575">
        <v>-2.81</v>
      </c>
      <c r="K57" s="575">
        <v>-5.91</v>
      </c>
      <c r="L57" s="575">
        <v>1.51</v>
      </c>
      <c r="M57" s="574">
        <v>1.32</v>
      </c>
      <c r="N57" s="575">
        <v>56.83</v>
      </c>
      <c r="O57" s="575">
        <v>-2.98</v>
      </c>
      <c r="P57" s="575">
        <v>9.48</v>
      </c>
      <c r="Q57" s="575">
        <v>-8.68</v>
      </c>
      <c r="R57" s="575">
        <v>17.600000000000001</v>
      </c>
      <c r="S57" s="567">
        <v>5.42</v>
      </c>
      <c r="T57" s="568">
        <v>9.76</v>
      </c>
      <c r="U57" s="569">
        <v>3.31</v>
      </c>
      <c r="V57" s="570">
        <v>-1.05</v>
      </c>
      <c r="W57" s="569">
        <v>2.63</v>
      </c>
      <c r="X57" s="571"/>
    </row>
    <row r="58" spans="1:24" s="538" customFormat="1" ht="18">
      <c r="A58" s="572" t="s">
        <v>877</v>
      </c>
      <c r="B58" s="573"/>
      <c r="C58" s="590" t="s">
        <v>878</v>
      </c>
      <c r="D58" s="575">
        <v>8.09</v>
      </c>
      <c r="E58" s="574">
        <v>0</v>
      </c>
      <c r="F58" s="574">
        <v>0.24</v>
      </c>
      <c r="G58" s="575">
        <v>0.31</v>
      </c>
      <c r="H58" s="575">
        <v>11.24</v>
      </c>
      <c r="I58" s="575">
        <v>-3.79</v>
      </c>
      <c r="J58" s="575">
        <v>7.29</v>
      </c>
      <c r="K58" s="575">
        <v>-4.79</v>
      </c>
      <c r="L58" s="575">
        <v>5.63</v>
      </c>
      <c r="M58" s="574">
        <v>-1.77</v>
      </c>
      <c r="N58" s="575">
        <v>50.97</v>
      </c>
      <c r="O58" s="575">
        <v>-6.69</v>
      </c>
      <c r="P58" s="575">
        <v>10.73</v>
      </c>
      <c r="Q58" s="575">
        <v>-3.56</v>
      </c>
      <c r="R58" s="575">
        <v>18.510000000000002</v>
      </c>
      <c r="S58" s="567">
        <v>17.46</v>
      </c>
      <c r="T58" s="568">
        <v>5.58</v>
      </c>
      <c r="U58" s="569">
        <v>16.489999999999998</v>
      </c>
      <c r="V58" s="570">
        <v>0</v>
      </c>
      <c r="W58" s="569">
        <v>0</v>
      </c>
      <c r="X58" s="571"/>
    </row>
    <row r="59" spans="1:24" s="538" customFormat="1" ht="18">
      <c r="A59" s="572" t="s">
        <v>879</v>
      </c>
      <c r="B59" s="573"/>
      <c r="C59" s="590" t="s">
        <v>880</v>
      </c>
      <c r="D59" s="575">
        <v>5.25</v>
      </c>
      <c r="E59" s="575">
        <v>0.39</v>
      </c>
      <c r="F59" s="574">
        <v>0.5</v>
      </c>
      <c r="G59" s="575">
        <v>2.42</v>
      </c>
      <c r="H59" s="575">
        <v>2.84</v>
      </c>
      <c r="I59" s="575">
        <v>-3.29</v>
      </c>
      <c r="J59" s="575">
        <v>-1.01</v>
      </c>
      <c r="K59" s="575">
        <v>1.94</v>
      </c>
      <c r="L59" s="575">
        <v>-0.4</v>
      </c>
      <c r="M59" s="574">
        <v>1.66</v>
      </c>
      <c r="N59" s="575">
        <v>13.47</v>
      </c>
      <c r="O59" s="575">
        <v>5.21</v>
      </c>
      <c r="P59" s="575">
        <v>-1.98</v>
      </c>
      <c r="Q59" s="575">
        <v>-0.09</v>
      </c>
      <c r="R59" s="575">
        <v>2.79</v>
      </c>
      <c r="S59" s="567">
        <v>7.66</v>
      </c>
      <c r="T59" s="568">
        <v>8.06</v>
      </c>
      <c r="U59" s="569">
        <v>0.33</v>
      </c>
      <c r="V59" s="570">
        <v>2.4500000000000002</v>
      </c>
      <c r="W59" s="569">
        <v>0.47</v>
      </c>
      <c r="X59" s="571"/>
    </row>
    <row r="60" spans="1:24" s="538" customFormat="1" ht="18">
      <c r="A60" s="572" t="s">
        <v>881</v>
      </c>
      <c r="B60" s="573"/>
      <c r="C60" s="590" t="s">
        <v>882</v>
      </c>
      <c r="D60" s="575">
        <v>6.37</v>
      </c>
      <c r="E60" s="574">
        <v>0</v>
      </c>
      <c r="F60" s="575">
        <v>1.24</v>
      </c>
      <c r="G60" s="575">
        <v>0.11</v>
      </c>
      <c r="H60" s="575">
        <v>11.89</v>
      </c>
      <c r="I60" s="575">
        <v>-4.1100000000000003</v>
      </c>
      <c r="J60" s="575">
        <v>2.2200000000000002</v>
      </c>
      <c r="K60" s="574">
        <v>-9.3000000000000007</v>
      </c>
      <c r="L60" s="574">
        <v>2.46</v>
      </c>
      <c r="M60" s="574">
        <v>7.54</v>
      </c>
      <c r="N60" s="575">
        <v>54.13</v>
      </c>
      <c r="O60" s="575">
        <v>-4.0999999999999996</v>
      </c>
      <c r="P60" s="575">
        <v>6.95</v>
      </c>
      <c r="Q60" s="575">
        <v>-7.41</v>
      </c>
      <c r="R60" s="575">
        <v>20.239999999999998</v>
      </c>
      <c r="S60" s="567">
        <v>9.2799999999999994</v>
      </c>
      <c r="T60" s="568">
        <v>9.3699999999999992</v>
      </c>
      <c r="U60" s="569">
        <v>24.84</v>
      </c>
      <c r="V60" s="570">
        <v>-6.14</v>
      </c>
      <c r="W60" s="569">
        <v>3.37</v>
      </c>
      <c r="X60" s="571"/>
    </row>
    <row r="61" spans="1:24" s="538" customFormat="1" ht="18">
      <c r="A61" s="572" t="s">
        <v>883</v>
      </c>
      <c r="B61" s="573"/>
      <c r="C61" s="590" t="s">
        <v>884</v>
      </c>
      <c r="D61" s="574">
        <v>5</v>
      </c>
      <c r="E61" s="574">
        <v>0</v>
      </c>
      <c r="F61" s="574">
        <v>0.24</v>
      </c>
      <c r="G61" s="575">
        <v>0.31</v>
      </c>
      <c r="H61" s="574">
        <v>0</v>
      </c>
      <c r="I61" s="574">
        <v>0</v>
      </c>
      <c r="J61" s="574">
        <v>0</v>
      </c>
      <c r="K61" s="574">
        <v>-0.71</v>
      </c>
      <c r="L61" s="574">
        <v>0.34</v>
      </c>
      <c r="M61" s="574">
        <v>0.88</v>
      </c>
      <c r="N61" s="575">
        <v>1.1200000000000001</v>
      </c>
      <c r="O61" s="575">
        <v>-0.27</v>
      </c>
      <c r="P61" s="575">
        <v>0.45</v>
      </c>
      <c r="Q61" s="575">
        <v>-0.03</v>
      </c>
      <c r="R61" s="575">
        <v>0</v>
      </c>
      <c r="S61" s="567">
        <v>0</v>
      </c>
      <c r="T61" s="568">
        <v>0</v>
      </c>
      <c r="U61" s="569">
        <v>0</v>
      </c>
      <c r="V61" s="570">
        <v>0</v>
      </c>
      <c r="W61" s="569">
        <v>0</v>
      </c>
      <c r="X61" s="571"/>
    </row>
    <row r="62" spans="1:24" s="538" customFormat="1" ht="18">
      <c r="A62" s="572" t="s">
        <v>885</v>
      </c>
      <c r="B62" s="573"/>
      <c r="C62" s="590" t="s">
        <v>886</v>
      </c>
      <c r="D62" s="575">
        <v>5.25</v>
      </c>
      <c r="E62" s="575">
        <v>3.38</v>
      </c>
      <c r="F62" s="575">
        <v>2.08</v>
      </c>
      <c r="G62" s="575">
        <v>2.2400000000000002</v>
      </c>
      <c r="H62" s="575">
        <v>1.89</v>
      </c>
      <c r="I62" s="575">
        <v>-3.51</v>
      </c>
      <c r="J62" s="574">
        <v>1.3</v>
      </c>
      <c r="K62" s="574">
        <v>-0.03</v>
      </c>
      <c r="L62" s="574">
        <v>-0.36</v>
      </c>
      <c r="M62" s="574">
        <v>6.85</v>
      </c>
      <c r="N62" s="575">
        <v>20.29</v>
      </c>
      <c r="O62" s="575">
        <v>0.56000000000000005</v>
      </c>
      <c r="P62" s="575">
        <v>-7.65</v>
      </c>
      <c r="Q62" s="575">
        <v>10.73</v>
      </c>
      <c r="R62" s="575">
        <v>2.54</v>
      </c>
      <c r="S62" s="567">
        <v>8.3699999999999992</v>
      </c>
      <c r="T62" s="568">
        <v>5.4</v>
      </c>
      <c r="U62" s="569">
        <v>10.25</v>
      </c>
      <c r="V62" s="570">
        <v>-3.65</v>
      </c>
      <c r="W62" s="569">
        <v>2.64</v>
      </c>
      <c r="X62" s="571"/>
    </row>
    <row r="63" spans="1:24" s="538" customFormat="1" ht="18">
      <c r="A63" s="572" t="s">
        <v>887</v>
      </c>
      <c r="B63" s="573"/>
      <c r="C63" s="590" t="s">
        <v>888</v>
      </c>
      <c r="D63" s="574">
        <v>5</v>
      </c>
      <c r="E63" s="575">
        <v>8.19</v>
      </c>
      <c r="F63" s="575">
        <v>4.3600000000000003</v>
      </c>
      <c r="G63" s="575">
        <v>4.57</v>
      </c>
      <c r="H63" s="575">
        <v>3.31</v>
      </c>
      <c r="I63" s="574">
        <v>-7.5</v>
      </c>
      <c r="J63" s="575">
        <v>2.95</v>
      </c>
      <c r="K63" s="575">
        <v>-4.55</v>
      </c>
      <c r="L63" s="575">
        <v>-0.94</v>
      </c>
      <c r="M63" s="574">
        <v>16.75</v>
      </c>
      <c r="N63" s="575">
        <v>52.77</v>
      </c>
      <c r="O63" s="575">
        <v>-2.5</v>
      </c>
      <c r="P63" s="575">
        <v>-1.46</v>
      </c>
      <c r="Q63" s="575">
        <v>6.76</v>
      </c>
      <c r="R63" s="575">
        <v>5.05</v>
      </c>
      <c r="S63" s="567">
        <v>18.43</v>
      </c>
      <c r="T63" s="568">
        <v>9.3800000000000008</v>
      </c>
      <c r="U63" s="569">
        <v>28.15</v>
      </c>
      <c r="V63" s="570">
        <v>-16.36</v>
      </c>
      <c r="W63" s="569">
        <v>6.01</v>
      </c>
      <c r="X63" s="571"/>
    </row>
    <row r="64" spans="1:24" s="538" customFormat="1" ht="18">
      <c r="A64" s="572" t="s">
        <v>889</v>
      </c>
      <c r="B64" s="573"/>
      <c r="C64" s="590" t="s">
        <v>890</v>
      </c>
      <c r="D64" s="575">
        <v>13.08</v>
      </c>
      <c r="E64" s="574">
        <v>7.2</v>
      </c>
      <c r="F64" s="575">
        <v>24.67</v>
      </c>
      <c r="G64" s="575">
        <v>8.9600000000000009</v>
      </c>
      <c r="H64" s="575">
        <v>4.99</v>
      </c>
      <c r="I64" s="575">
        <v>0.36</v>
      </c>
      <c r="J64" s="575">
        <v>-4.3899999999999997</v>
      </c>
      <c r="K64" s="575">
        <v>-14.97</v>
      </c>
      <c r="L64" s="575">
        <v>3.18</v>
      </c>
      <c r="M64" s="574">
        <v>-1.56</v>
      </c>
      <c r="N64" s="575">
        <v>27.63</v>
      </c>
      <c r="O64" s="575">
        <v>6.82</v>
      </c>
      <c r="P64" s="575">
        <v>10.61</v>
      </c>
      <c r="Q64" s="575">
        <v>0</v>
      </c>
      <c r="R64" s="575">
        <v>1</v>
      </c>
      <c r="S64" s="567">
        <v>2</v>
      </c>
      <c r="T64" s="568">
        <v>10.55</v>
      </c>
      <c r="U64" s="569">
        <v>3.72</v>
      </c>
      <c r="V64" s="570">
        <v>-11.24</v>
      </c>
      <c r="W64" s="569">
        <v>6.51</v>
      </c>
      <c r="X64" s="571"/>
    </row>
    <row r="65" spans="1:24" s="538" customFormat="1" ht="18">
      <c r="A65" s="572" t="s">
        <v>891</v>
      </c>
      <c r="B65" s="573"/>
      <c r="C65" s="590" t="s">
        <v>892</v>
      </c>
      <c r="D65" s="575">
        <v>4.12</v>
      </c>
      <c r="E65" s="575">
        <v>1.34</v>
      </c>
      <c r="F65" s="575">
        <v>7.89</v>
      </c>
      <c r="G65" s="575">
        <v>4.13</v>
      </c>
      <c r="H65" s="575">
        <v>4.26</v>
      </c>
      <c r="I65" s="575">
        <v>0.28000000000000003</v>
      </c>
      <c r="J65" s="575">
        <v>0.28000000000000003</v>
      </c>
      <c r="K65" s="575">
        <v>-4.9400000000000004</v>
      </c>
      <c r="L65" s="575">
        <v>5.65</v>
      </c>
      <c r="M65" s="574">
        <v>1.1299999999999999</v>
      </c>
      <c r="N65" s="575">
        <v>1.63</v>
      </c>
      <c r="O65" s="575">
        <v>0.15</v>
      </c>
      <c r="P65" s="575">
        <v>1.75</v>
      </c>
      <c r="Q65" s="575">
        <v>0.28000000000000003</v>
      </c>
      <c r="R65" s="575">
        <v>0.31</v>
      </c>
      <c r="S65" s="567">
        <v>-0.11</v>
      </c>
      <c r="T65" s="568">
        <v>2.7</v>
      </c>
      <c r="U65" s="569">
        <v>8.9700000000000006</v>
      </c>
      <c r="V65" s="570">
        <v>0.06</v>
      </c>
      <c r="W65" s="569">
        <v>6</v>
      </c>
      <c r="X65" s="571"/>
    </row>
    <row r="66" spans="1:24" s="538" customFormat="1" ht="18">
      <c r="A66" s="572" t="s">
        <v>893</v>
      </c>
      <c r="B66" s="573"/>
      <c r="C66" s="590" t="s">
        <v>894</v>
      </c>
      <c r="D66" s="574">
        <v>6</v>
      </c>
      <c r="E66" s="575">
        <v>6.31</v>
      </c>
      <c r="F66" s="575">
        <v>0.37</v>
      </c>
      <c r="G66" s="575">
        <v>6.84</v>
      </c>
      <c r="H66" s="575">
        <v>-0.87</v>
      </c>
      <c r="I66" s="575">
        <v>0.06</v>
      </c>
      <c r="J66" s="575">
        <v>-0.63</v>
      </c>
      <c r="K66" s="575">
        <v>-2.0499999999999998</v>
      </c>
      <c r="L66" s="575">
        <v>0</v>
      </c>
      <c r="M66" s="574">
        <v>-0.03</v>
      </c>
      <c r="N66" s="575">
        <v>7.6</v>
      </c>
      <c r="O66" s="575">
        <v>7.0000000000000007E-2</v>
      </c>
      <c r="P66" s="575">
        <v>25.44</v>
      </c>
      <c r="Q66" s="575">
        <v>-1.39</v>
      </c>
      <c r="R66" s="575">
        <v>-2.48</v>
      </c>
      <c r="S66" s="567">
        <v>4.03</v>
      </c>
      <c r="T66" s="568">
        <v>1.8</v>
      </c>
      <c r="U66" s="569">
        <v>0</v>
      </c>
      <c r="V66" s="570">
        <v>0</v>
      </c>
      <c r="W66" s="569">
        <v>0</v>
      </c>
      <c r="X66" s="571"/>
    </row>
    <row r="67" spans="1:24" s="538" customFormat="1" ht="18">
      <c r="A67" s="572" t="s">
        <v>895</v>
      </c>
      <c r="B67" s="573"/>
      <c r="C67" s="590" t="s">
        <v>896</v>
      </c>
      <c r="D67" s="574">
        <v>5.6</v>
      </c>
      <c r="E67" s="575">
        <v>10.57</v>
      </c>
      <c r="F67" s="575">
        <v>1.89</v>
      </c>
      <c r="G67" s="574">
        <v>2.8</v>
      </c>
      <c r="H67" s="575">
        <v>2.61</v>
      </c>
      <c r="I67" s="575">
        <v>0.63</v>
      </c>
      <c r="J67" s="575">
        <v>1.61</v>
      </c>
      <c r="K67" s="574">
        <v>9.3000000000000007</v>
      </c>
      <c r="L67" s="574">
        <v>0.74</v>
      </c>
      <c r="M67" s="574">
        <v>1.34</v>
      </c>
      <c r="N67" s="575">
        <v>1.96</v>
      </c>
      <c r="O67" s="575">
        <v>0.76</v>
      </c>
      <c r="P67" s="575">
        <v>3.89</v>
      </c>
      <c r="Q67" s="575">
        <v>1.1100000000000001</v>
      </c>
      <c r="R67" s="575">
        <v>0.46</v>
      </c>
      <c r="S67" s="567">
        <v>1.75</v>
      </c>
      <c r="T67" s="568">
        <v>0.21</v>
      </c>
      <c r="U67" s="569">
        <v>0</v>
      </c>
      <c r="V67" s="570">
        <v>0</v>
      </c>
      <c r="W67" s="569">
        <v>0</v>
      </c>
      <c r="X67" s="571"/>
    </row>
    <row r="68" spans="1:24" s="538" customFormat="1" ht="18">
      <c r="A68" s="572" t="s">
        <v>897</v>
      </c>
      <c r="B68" s="573"/>
      <c r="C68" s="590" t="s">
        <v>898</v>
      </c>
      <c r="D68" s="575">
        <v>6.71</v>
      </c>
      <c r="E68" s="575">
        <v>56.35</v>
      </c>
      <c r="F68" s="575">
        <v>-1.89</v>
      </c>
      <c r="G68" s="575">
        <v>-1.56</v>
      </c>
      <c r="H68" s="575">
        <v>-10.220000000000001</v>
      </c>
      <c r="I68" s="574">
        <v>-0.01</v>
      </c>
      <c r="J68" s="575">
        <v>9.5299999999999994</v>
      </c>
      <c r="K68" s="575">
        <v>0.35</v>
      </c>
      <c r="L68" s="575">
        <v>-9.18</v>
      </c>
      <c r="M68" s="574">
        <v>0.62</v>
      </c>
      <c r="N68" s="575">
        <v>-3.13</v>
      </c>
      <c r="O68" s="575">
        <v>-0.21</v>
      </c>
      <c r="P68" s="575">
        <v>5.14</v>
      </c>
      <c r="Q68" s="575">
        <v>5.35</v>
      </c>
      <c r="R68" s="575">
        <v>6.39</v>
      </c>
      <c r="S68" s="567">
        <v>10.33</v>
      </c>
      <c r="T68" s="568">
        <v>11.16</v>
      </c>
      <c r="U68" s="569">
        <v>0</v>
      </c>
      <c r="V68" s="570">
        <v>0</v>
      </c>
      <c r="W68" s="569">
        <v>0</v>
      </c>
      <c r="X68" s="571"/>
    </row>
    <row r="69" spans="1:24" s="538" customFormat="1" ht="18">
      <c r="A69" s="572" t="s">
        <v>899</v>
      </c>
      <c r="B69" s="573"/>
      <c r="C69" s="590" t="s">
        <v>900</v>
      </c>
      <c r="D69" s="575">
        <v>9.61</v>
      </c>
      <c r="E69" s="575">
        <v>4.1500000000000004</v>
      </c>
      <c r="F69" s="575">
        <v>6.24</v>
      </c>
      <c r="G69" s="575">
        <v>5.65</v>
      </c>
      <c r="H69" s="575">
        <v>2.2799999999999998</v>
      </c>
      <c r="I69" s="574">
        <v>-5.3</v>
      </c>
      <c r="J69" s="575">
        <v>7.44</v>
      </c>
      <c r="K69" s="575">
        <v>3.46</v>
      </c>
      <c r="L69" s="575">
        <v>2.02</v>
      </c>
      <c r="M69" s="574">
        <v>2.2400000000000002</v>
      </c>
      <c r="N69" s="575">
        <v>15.93</v>
      </c>
      <c r="O69" s="575">
        <v>4.49</v>
      </c>
      <c r="P69" s="575">
        <v>21.09</v>
      </c>
      <c r="Q69" s="575">
        <v>5.96</v>
      </c>
      <c r="R69" s="575">
        <v>0</v>
      </c>
      <c r="S69" s="567">
        <v>-0.63</v>
      </c>
      <c r="T69" s="568">
        <v>14.7</v>
      </c>
      <c r="U69" s="569">
        <v>4.18</v>
      </c>
      <c r="V69" s="570">
        <v>0.81</v>
      </c>
      <c r="W69" s="569">
        <v>7.37</v>
      </c>
      <c r="X69" s="571"/>
    </row>
    <row r="70" spans="1:24" s="538" customFormat="1" ht="18">
      <c r="A70" s="572" t="s">
        <v>901</v>
      </c>
      <c r="B70" s="573"/>
      <c r="C70" s="590" t="s">
        <v>902</v>
      </c>
      <c r="D70" s="575">
        <v>5.96</v>
      </c>
      <c r="E70" s="575">
        <v>7.37</v>
      </c>
      <c r="F70" s="575">
        <v>1.27</v>
      </c>
      <c r="G70" s="575">
        <v>12.11</v>
      </c>
      <c r="H70" s="575">
        <v>2.02</v>
      </c>
      <c r="I70" s="574">
        <v>0.28000000000000003</v>
      </c>
      <c r="J70" s="575">
        <v>0.28000000000000003</v>
      </c>
      <c r="K70" s="574">
        <v>0.6</v>
      </c>
      <c r="L70" s="574">
        <v>-3.54</v>
      </c>
      <c r="M70" s="574">
        <v>0.64</v>
      </c>
      <c r="N70" s="575">
        <v>0.85</v>
      </c>
      <c r="O70" s="575">
        <v>12.5</v>
      </c>
      <c r="P70" s="575">
        <v>0.88</v>
      </c>
      <c r="Q70" s="575">
        <v>-1.21</v>
      </c>
      <c r="R70" s="575">
        <v>0.24</v>
      </c>
      <c r="S70" s="567">
        <v>-7.0000000000000007E-2</v>
      </c>
      <c r="T70" s="568">
        <v>-1.1499999999999999</v>
      </c>
      <c r="U70" s="569">
        <v>0</v>
      </c>
      <c r="V70" s="570">
        <v>0</v>
      </c>
      <c r="W70" s="569">
        <v>0</v>
      </c>
      <c r="X70" s="571"/>
    </row>
    <row r="71" spans="1:24" s="538" customFormat="1" ht="18">
      <c r="A71" s="572" t="s">
        <v>903</v>
      </c>
      <c r="B71" s="573"/>
      <c r="C71" s="590" t="s">
        <v>904</v>
      </c>
      <c r="D71" s="575">
        <v>7.52</v>
      </c>
      <c r="E71" s="575">
        <v>62.57</v>
      </c>
      <c r="F71" s="575">
        <v>-6.15</v>
      </c>
      <c r="G71" s="575">
        <v>-1.29</v>
      </c>
      <c r="H71" s="575">
        <v>-13.86</v>
      </c>
      <c r="I71" s="574">
        <v>0</v>
      </c>
      <c r="J71" s="575">
        <v>10.61</v>
      </c>
      <c r="K71" s="575">
        <v>-0.55000000000000004</v>
      </c>
      <c r="L71" s="575">
        <v>-12.62</v>
      </c>
      <c r="M71" s="574">
        <v>1.58</v>
      </c>
      <c r="N71" s="575">
        <v>-5.08</v>
      </c>
      <c r="O71" s="575">
        <v>2.71</v>
      </c>
      <c r="P71" s="575">
        <v>3.7</v>
      </c>
      <c r="Q71" s="575">
        <v>0.96</v>
      </c>
      <c r="R71" s="575">
        <v>14.42</v>
      </c>
      <c r="S71" s="567">
        <v>11.72</v>
      </c>
      <c r="T71" s="568">
        <v>14.11</v>
      </c>
      <c r="U71" s="569">
        <v>43.56</v>
      </c>
      <c r="V71" s="570">
        <v>0.57999999999999996</v>
      </c>
      <c r="W71" s="569">
        <v>0</v>
      </c>
      <c r="X71" s="571"/>
    </row>
    <row r="72" spans="1:24" s="538" customFormat="1" ht="18">
      <c r="A72" s="572" t="s">
        <v>905</v>
      </c>
      <c r="B72" s="573"/>
      <c r="C72" s="590" t="s">
        <v>906</v>
      </c>
      <c r="D72" s="575">
        <v>31.84</v>
      </c>
      <c r="E72" s="575">
        <v>7.84</v>
      </c>
      <c r="F72" s="575">
        <v>-0.11</v>
      </c>
      <c r="G72" s="575">
        <v>4.24</v>
      </c>
      <c r="H72" s="575">
        <v>0.16</v>
      </c>
      <c r="I72" s="574">
        <v>0</v>
      </c>
      <c r="J72" s="575">
        <v>-2.04</v>
      </c>
      <c r="K72" s="575">
        <v>0.65</v>
      </c>
      <c r="L72" s="575">
        <v>1.65</v>
      </c>
      <c r="M72" s="574">
        <v>2.11</v>
      </c>
      <c r="N72" s="575">
        <v>13.81</v>
      </c>
      <c r="O72" s="575">
        <v>7.29</v>
      </c>
      <c r="P72" s="575">
        <v>13.16</v>
      </c>
      <c r="Q72" s="575">
        <v>0.09</v>
      </c>
      <c r="R72" s="575">
        <v>2.41</v>
      </c>
      <c r="S72" s="567">
        <v>12.03</v>
      </c>
      <c r="T72" s="568">
        <v>6.42</v>
      </c>
      <c r="U72" s="569">
        <v>0</v>
      </c>
      <c r="V72" s="570">
        <v>0</v>
      </c>
      <c r="W72" s="569">
        <v>0</v>
      </c>
      <c r="X72" s="571"/>
    </row>
    <row r="73" spans="1:24" s="538" customFormat="1" ht="18">
      <c r="A73" s="572" t="s">
        <v>907</v>
      </c>
      <c r="B73" s="573"/>
      <c r="C73" s="590" t="s">
        <v>908</v>
      </c>
      <c r="D73" s="575">
        <v>1.38</v>
      </c>
      <c r="E73" s="575">
        <v>8.08</v>
      </c>
      <c r="F73" s="575">
        <v>3.73</v>
      </c>
      <c r="G73" s="575">
        <v>8.42</v>
      </c>
      <c r="H73" s="575">
        <v>1.36</v>
      </c>
      <c r="I73" s="575">
        <v>5.55</v>
      </c>
      <c r="J73" s="575">
        <v>17.53</v>
      </c>
      <c r="K73" s="575">
        <v>-14.92</v>
      </c>
      <c r="L73" s="575">
        <v>2.46</v>
      </c>
      <c r="M73" s="574">
        <v>-3.73</v>
      </c>
      <c r="N73" s="575">
        <v>11.38</v>
      </c>
      <c r="O73" s="575">
        <v>13.05</v>
      </c>
      <c r="P73" s="575">
        <v>1.44</v>
      </c>
      <c r="Q73" s="575">
        <v>8.43</v>
      </c>
      <c r="R73" s="575">
        <v>4.1399999999999997</v>
      </c>
      <c r="S73" s="567">
        <v>21.06</v>
      </c>
      <c r="T73" s="568">
        <v>4.62</v>
      </c>
      <c r="U73" s="569">
        <v>33.58</v>
      </c>
      <c r="V73" s="570">
        <v>6.87</v>
      </c>
      <c r="W73" s="569">
        <v>-2.98</v>
      </c>
      <c r="X73" s="571"/>
    </row>
    <row r="74" spans="1:24" s="538" customFormat="1" ht="18">
      <c r="A74" s="572" t="s">
        <v>909</v>
      </c>
      <c r="B74" s="573"/>
      <c r="C74" s="590" t="s">
        <v>910</v>
      </c>
      <c r="D74" s="574">
        <v>10.3</v>
      </c>
      <c r="E74" s="575">
        <v>17.38</v>
      </c>
      <c r="F74" s="575">
        <v>8.07</v>
      </c>
      <c r="G74" s="575">
        <v>12.99</v>
      </c>
      <c r="H74" s="574">
        <v>-1.5</v>
      </c>
      <c r="I74" s="575">
        <v>10.31</v>
      </c>
      <c r="J74" s="575">
        <v>6.83</v>
      </c>
      <c r="K74" s="575">
        <v>-3.92</v>
      </c>
      <c r="L74" s="575">
        <v>2.63</v>
      </c>
      <c r="M74" s="574">
        <v>0.9</v>
      </c>
      <c r="N74" s="575">
        <v>-5.83</v>
      </c>
      <c r="O74" s="575">
        <v>2.91</v>
      </c>
      <c r="P74" s="575">
        <v>3.59</v>
      </c>
      <c r="Q74" s="575">
        <v>5.01</v>
      </c>
      <c r="R74" s="575">
        <v>6.98</v>
      </c>
      <c r="S74" s="567">
        <v>-5.65</v>
      </c>
      <c r="T74" s="568">
        <v>5.48</v>
      </c>
      <c r="U74" s="569">
        <v>10.08</v>
      </c>
      <c r="V74" s="570">
        <v>21.93</v>
      </c>
      <c r="W74" s="569">
        <v>5</v>
      </c>
      <c r="X74" s="571"/>
    </row>
    <row r="75" spans="1:24" s="538" customFormat="1" ht="18">
      <c r="A75" s="572" t="s">
        <v>911</v>
      </c>
      <c r="B75" s="573"/>
      <c r="C75" s="590" t="s">
        <v>912</v>
      </c>
      <c r="D75" s="575">
        <v>7.15</v>
      </c>
      <c r="E75" s="574">
        <v>7.4</v>
      </c>
      <c r="F75" s="574">
        <v>6.6</v>
      </c>
      <c r="G75" s="575">
        <v>7.52</v>
      </c>
      <c r="H75" s="575">
        <v>7.01</v>
      </c>
      <c r="I75" s="575">
        <v>2.87</v>
      </c>
      <c r="J75" s="575">
        <v>3.01</v>
      </c>
      <c r="K75" s="575">
        <v>4.04</v>
      </c>
      <c r="L75" s="575">
        <v>3.22</v>
      </c>
      <c r="M75" s="574">
        <v>3.14</v>
      </c>
      <c r="N75" s="575">
        <v>1.1000000000000001</v>
      </c>
      <c r="O75" s="575">
        <v>5.03</v>
      </c>
      <c r="P75" s="575">
        <v>7.09</v>
      </c>
      <c r="Q75" s="575">
        <v>3.46</v>
      </c>
      <c r="R75" s="575">
        <v>1.08</v>
      </c>
      <c r="S75" s="567">
        <v>0.26</v>
      </c>
      <c r="T75" s="568">
        <v>0.72</v>
      </c>
      <c r="U75" s="569">
        <v>0</v>
      </c>
      <c r="V75" s="570">
        <v>4.5599999999999996</v>
      </c>
      <c r="W75" s="569">
        <v>0.9</v>
      </c>
      <c r="X75" s="571"/>
    </row>
    <row r="76" spans="1:24" s="538" customFormat="1" ht="18">
      <c r="A76" s="572" t="s">
        <v>913</v>
      </c>
      <c r="B76" s="573"/>
      <c r="C76" s="590" t="s">
        <v>914</v>
      </c>
      <c r="D76" s="575">
        <v>7.14</v>
      </c>
      <c r="E76" s="575">
        <v>7.34</v>
      </c>
      <c r="F76" s="575">
        <v>6.04</v>
      </c>
      <c r="G76" s="575">
        <v>5.39</v>
      </c>
      <c r="H76" s="575">
        <v>4.6500000000000004</v>
      </c>
      <c r="I76" s="575">
        <v>4.59</v>
      </c>
      <c r="J76" s="575">
        <v>4.92</v>
      </c>
      <c r="K76" s="575">
        <v>11.75</v>
      </c>
      <c r="L76" s="575">
        <v>3.29</v>
      </c>
      <c r="M76" s="574">
        <v>8.7899999999999991</v>
      </c>
      <c r="N76" s="575">
        <v>3.94</v>
      </c>
      <c r="O76" s="575">
        <v>1.22</v>
      </c>
      <c r="P76" s="575">
        <v>3.75</v>
      </c>
      <c r="Q76" s="575">
        <v>3.06</v>
      </c>
      <c r="R76" s="575">
        <v>3.14</v>
      </c>
      <c r="S76" s="567">
        <v>2.91</v>
      </c>
      <c r="T76" s="568">
        <v>1.19</v>
      </c>
      <c r="U76" s="569">
        <v>8.5399999999999991</v>
      </c>
      <c r="V76" s="570">
        <v>9.11</v>
      </c>
      <c r="W76" s="569">
        <v>3.37</v>
      </c>
      <c r="X76" s="571"/>
    </row>
    <row r="77" spans="1:24" s="538" customFormat="1" ht="18">
      <c r="A77" s="572" t="s">
        <v>915</v>
      </c>
      <c r="B77" s="573"/>
      <c r="C77" s="590" t="s">
        <v>916</v>
      </c>
      <c r="D77" s="575">
        <v>7.92</v>
      </c>
      <c r="E77" s="574">
        <v>9.6</v>
      </c>
      <c r="F77" s="575">
        <v>9.2899999999999991</v>
      </c>
      <c r="G77" s="575">
        <v>8.3800000000000008</v>
      </c>
      <c r="H77" s="575">
        <v>4.05</v>
      </c>
      <c r="I77" s="574">
        <v>3.83</v>
      </c>
      <c r="J77" s="575">
        <v>5.19</v>
      </c>
      <c r="K77" s="575">
        <v>7.45</v>
      </c>
      <c r="L77" s="575">
        <v>4.92</v>
      </c>
      <c r="M77" s="574">
        <v>12.78</v>
      </c>
      <c r="N77" s="575">
        <v>13.23</v>
      </c>
      <c r="O77" s="575">
        <v>5.62</v>
      </c>
      <c r="P77" s="575">
        <v>4.2699999999999996</v>
      </c>
      <c r="Q77" s="575">
        <v>6.45</v>
      </c>
      <c r="R77" s="575">
        <v>4.8899999999999997</v>
      </c>
      <c r="S77" s="567">
        <v>3.76</v>
      </c>
      <c r="T77" s="568">
        <v>11.72</v>
      </c>
      <c r="U77" s="569">
        <v>3.48</v>
      </c>
      <c r="V77" s="570">
        <v>14.01</v>
      </c>
      <c r="W77" s="569">
        <v>3.09</v>
      </c>
      <c r="X77" s="571"/>
    </row>
    <row r="78" spans="1:24" s="538" customFormat="1" ht="18">
      <c r="A78" s="572" t="s">
        <v>917</v>
      </c>
      <c r="B78" s="573"/>
      <c r="C78" s="590" t="s">
        <v>918</v>
      </c>
      <c r="D78" s="575">
        <v>14.75</v>
      </c>
      <c r="E78" s="575">
        <v>4.29</v>
      </c>
      <c r="F78" s="575">
        <v>21.89</v>
      </c>
      <c r="G78" s="574">
        <v>0</v>
      </c>
      <c r="H78" s="574">
        <v>0</v>
      </c>
      <c r="I78" s="574">
        <v>0</v>
      </c>
      <c r="J78" s="574">
        <v>-1.6</v>
      </c>
      <c r="K78" s="574">
        <v>0.68</v>
      </c>
      <c r="L78" s="574">
        <v>0</v>
      </c>
      <c r="M78" s="574">
        <v>0</v>
      </c>
      <c r="N78" s="575">
        <v>-5.84</v>
      </c>
      <c r="O78" s="575">
        <v>6.38</v>
      </c>
      <c r="P78" s="575">
        <v>4.6500000000000004</v>
      </c>
      <c r="Q78" s="575">
        <v>1.41</v>
      </c>
      <c r="R78" s="575">
        <v>17.149999999999999</v>
      </c>
      <c r="S78" s="567">
        <v>1.08</v>
      </c>
      <c r="T78" s="568">
        <v>0.4</v>
      </c>
      <c r="U78" s="569">
        <v>10.08</v>
      </c>
      <c r="V78" s="570">
        <v>22.88</v>
      </c>
      <c r="W78" s="569">
        <v>0.44</v>
      </c>
      <c r="X78" s="571"/>
    </row>
    <row r="79" spans="1:24" s="538" customFormat="1" ht="18">
      <c r="A79" s="572" t="s">
        <v>919</v>
      </c>
      <c r="B79" s="573"/>
      <c r="C79" s="590" t="s">
        <v>920</v>
      </c>
      <c r="D79" s="575">
        <v>6.38</v>
      </c>
      <c r="E79" s="575">
        <v>22.49</v>
      </c>
      <c r="F79" s="575">
        <v>22.69</v>
      </c>
      <c r="G79" s="575">
        <v>14.98</v>
      </c>
      <c r="H79" s="575">
        <v>-1.51</v>
      </c>
      <c r="I79" s="575">
        <v>5.66</v>
      </c>
      <c r="J79" s="574">
        <v>10.76</v>
      </c>
      <c r="K79" s="574">
        <v>7.26</v>
      </c>
      <c r="L79" s="574">
        <v>-0.94</v>
      </c>
      <c r="M79" s="574">
        <v>5.42</v>
      </c>
      <c r="N79" s="575">
        <v>-4.3600000000000003</v>
      </c>
      <c r="O79" s="575">
        <v>8.1300000000000008</v>
      </c>
      <c r="P79" s="575">
        <v>16.440000000000001</v>
      </c>
      <c r="Q79" s="575">
        <v>3.36</v>
      </c>
      <c r="R79" s="575">
        <v>5.0599999999999996</v>
      </c>
      <c r="S79" s="567">
        <v>3.48</v>
      </c>
      <c r="T79" s="568">
        <v>8.35</v>
      </c>
      <c r="U79" s="569">
        <v>33.590000000000003</v>
      </c>
      <c r="V79" s="570">
        <v>14.8</v>
      </c>
      <c r="W79" s="569">
        <v>12.76</v>
      </c>
      <c r="X79" s="571"/>
    </row>
    <row r="80" spans="1:24" s="538" customFormat="1" ht="18">
      <c r="A80" s="572" t="s">
        <v>921</v>
      </c>
      <c r="B80" s="573"/>
      <c r="C80" s="590" t="s">
        <v>922</v>
      </c>
      <c r="D80" s="575">
        <v>7.02</v>
      </c>
      <c r="E80" s="575">
        <v>-1.22</v>
      </c>
      <c r="F80" s="575">
        <v>3.98</v>
      </c>
      <c r="G80" s="575">
        <v>0.43</v>
      </c>
      <c r="H80" s="575">
        <v>5.36</v>
      </c>
      <c r="I80" s="575">
        <v>-1.0900000000000001</v>
      </c>
      <c r="J80" s="575">
        <v>-0.84</v>
      </c>
      <c r="K80" s="575">
        <v>0.61</v>
      </c>
      <c r="L80" s="575">
        <v>3.87</v>
      </c>
      <c r="M80" s="574">
        <v>1.82</v>
      </c>
      <c r="N80" s="575">
        <v>18.04</v>
      </c>
      <c r="O80" s="575">
        <v>12.32</v>
      </c>
      <c r="P80" s="575">
        <v>26.25</v>
      </c>
      <c r="Q80" s="575">
        <v>-10</v>
      </c>
      <c r="R80" s="575">
        <v>11.34</v>
      </c>
      <c r="S80" s="567">
        <v>7.3</v>
      </c>
      <c r="T80" s="568">
        <v>3.04</v>
      </c>
      <c r="U80" s="569">
        <v>1.01</v>
      </c>
      <c r="V80" s="570">
        <v>-0.32</v>
      </c>
      <c r="W80" s="569">
        <v>0.83</v>
      </c>
      <c r="X80" s="571"/>
    </row>
    <row r="81" spans="1:24" s="538" customFormat="1" ht="18">
      <c r="A81" s="572" t="s">
        <v>923</v>
      </c>
      <c r="B81" s="573"/>
      <c r="C81" s="590" t="s">
        <v>924</v>
      </c>
      <c r="D81" s="575">
        <v>7.16</v>
      </c>
      <c r="E81" s="575">
        <v>3.79</v>
      </c>
      <c r="F81" s="575">
        <v>3.11</v>
      </c>
      <c r="G81" s="591">
        <v>2.92</v>
      </c>
      <c r="H81" s="575">
        <v>8.56</v>
      </c>
      <c r="I81" s="575">
        <v>-0.48</v>
      </c>
      <c r="J81" s="575">
        <v>3.42</v>
      </c>
      <c r="K81" s="575">
        <v>-4.8600000000000003</v>
      </c>
      <c r="L81" s="575">
        <v>2.68</v>
      </c>
      <c r="M81" s="574">
        <v>6.79</v>
      </c>
      <c r="N81" s="575">
        <v>34.159999999999997</v>
      </c>
      <c r="O81" s="575">
        <v>-2.11</v>
      </c>
      <c r="P81" s="575">
        <v>5.94</v>
      </c>
      <c r="Q81" s="575">
        <v>-3.71</v>
      </c>
      <c r="R81" s="575">
        <v>15.14</v>
      </c>
      <c r="S81" s="567">
        <v>6.11</v>
      </c>
      <c r="T81" s="568">
        <v>7.55</v>
      </c>
      <c r="U81" s="569">
        <v>19.649999999999999</v>
      </c>
      <c r="V81" s="570">
        <v>0.42</v>
      </c>
      <c r="W81" s="569">
        <v>3.68</v>
      </c>
      <c r="X81" s="571"/>
    </row>
    <row r="82" spans="1:24" s="538" customFormat="1" ht="18">
      <c r="A82" s="572" t="s">
        <v>925</v>
      </c>
      <c r="B82" s="573"/>
      <c r="C82" s="590" t="s">
        <v>926</v>
      </c>
      <c r="D82" s="575">
        <v>6.36</v>
      </c>
      <c r="E82" s="575">
        <v>20.29</v>
      </c>
      <c r="F82" s="575">
        <v>20.420000000000002</v>
      </c>
      <c r="G82" s="575">
        <v>13.74</v>
      </c>
      <c r="H82" s="575">
        <v>-0.97</v>
      </c>
      <c r="I82" s="574">
        <v>5.03</v>
      </c>
      <c r="J82" s="575">
        <v>9.7200000000000006</v>
      </c>
      <c r="K82" s="574">
        <v>7.1</v>
      </c>
      <c r="L82" s="574">
        <v>-0.73</v>
      </c>
      <c r="M82" s="574">
        <v>5.33</v>
      </c>
      <c r="N82" s="575">
        <v>-2.85</v>
      </c>
      <c r="O82" s="575">
        <v>7.66</v>
      </c>
      <c r="P82" s="575">
        <v>14.63</v>
      </c>
      <c r="Q82" s="575">
        <v>3.12</v>
      </c>
      <c r="R82" s="575">
        <v>4.84</v>
      </c>
      <c r="S82" s="567">
        <v>3.75</v>
      </c>
      <c r="T82" s="568">
        <v>8.07</v>
      </c>
      <c r="U82" s="569">
        <v>30.1</v>
      </c>
      <c r="V82" s="570">
        <v>13.75</v>
      </c>
      <c r="W82" s="569">
        <v>11.56</v>
      </c>
      <c r="X82" s="571"/>
    </row>
    <row r="83" spans="1:24" s="538" customFormat="1" ht="18">
      <c r="A83" s="572" t="s">
        <v>927</v>
      </c>
      <c r="B83" s="573"/>
      <c r="C83" s="590" t="s">
        <v>928</v>
      </c>
      <c r="D83" s="575">
        <v>6.61</v>
      </c>
      <c r="E83" s="575">
        <v>15.35</v>
      </c>
      <c r="F83" s="575">
        <v>15.07</v>
      </c>
      <c r="G83" s="574">
        <v>10.7</v>
      </c>
      <c r="H83" s="575">
        <v>0.86</v>
      </c>
      <c r="I83" s="574">
        <v>4.5</v>
      </c>
      <c r="J83" s="575">
        <v>7.78</v>
      </c>
      <c r="K83" s="575">
        <v>8.19</v>
      </c>
      <c r="L83" s="575">
        <v>0.47</v>
      </c>
      <c r="M83" s="574">
        <v>6.15</v>
      </c>
      <c r="N83" s="575">
        <v>-0.03</v>
      </c>
      <c r="O83" s="575">
        <v>5.69</v>
      </c>
      <c r="P83" s="575">
        <v>10.54</v>
      </c>
      <c r="Q83" s="575">
        <v>2.95</v>
      </c>
      <c r="R83" s="575">
        <v>4.26</v>
      </c>
      <c r="S83" s="567">
        <v>3.72</v>
      </c>
      <c r="T83" s="568">
        <v>6.07</v>
      </c>
      <c r="U83" s="569">
        <v>21.99</v>
      </c>
      <c r="V83" s="570">
        <v>11.87</v>
      </c>
      <c r="W83" s="569">
        <v>8.66</v>
      </c>
      <c r="X83" s="571"/>
    </row>
    <row r="84" spans="1:24" s="538" customFormat="1" ht="18">
      <c r="A84" s="572" t="s">
        <v>929</v>
      </c>
      <c r="B84" s="573"/>
      <c r="C84" s="590" t="s">
        <v>930</v>
      </c>
      <c r="D84" s="575">
        <v>2.73</v>
      </c>
      <c r="E84" s="575">
        <v>3.07</v>
      </c>
      <c r="F84" s="575">
        <v>3.29</v>
      </c>
      <c r="G84" s="575">
        <v>1.99</v>
      </c>
      <c r="H84" s="575">
        <v>-0.27</v>
      </c>
      <c r="I84" s="575">
        <v>-0.14000000000000001</v>
      </c>
      <c r="J84" s="575">
        <v>7.76</v>
      </c>
      <c r="K84" s="575">
        <v>11.21</v>
      </c>
      <c r="L84" s="575">
        <v>2.4500000000000002</v>
      </c>
      <c r="M84" s="574">
        <v>3.23</v>
      </c>
      <c r="N84" s="575">
        <v>7.43</v>
      </c>
      <c r="O84" s="575">
        <v>7.1</v>
      </c>
      <c r="P84" s="575">
        <v>7.55</v>
      </c>
      <c r="Q84" s="575">
        <v>1</v>
      </c>
      <c r="R84" s="575">
        <v>4.7300000000000004</v>
      </c>
      <c r="S84" s="567">
        <v>10.25</v>
      </c>
      <c r="T84" s="568">
        <v>2.79</v>
      </c>
      <c r="U84" s="569">
        <v>5.0999999999999996</v>
      </c>
      <c r="V84" s="570">
        <v>13.16</v>
      </c>
      <c r="W84" s="569">
        <v>1.64</v>
      </c>
      <c r="X84" s="571"/>
    </row>
    <row r="85" spans="1:24" s="538" customFormat="1" ht="18">
      <c r="A85" s="572" t="s">
        <v>931</v>
      </c>
      <c r="B85" s="573"/>
      <c r="C85" s="590" t="s">
        <v>932</v>
      </c>
      <c r="D85" s="575">
        <v>-3.32</v>
      </c>
      <c r="E85" s="575">
        <v>21.21</v>
      </c>
      <c r="F85" s="575">
        <v>18.73</v>
      </c>
      <c r="G85" s="575">
        <v>6.95</v>
      </c>
      <c r="H85" s="574">
        <v>0</v>
      </c>
      <c r="I85" s="574">
        <v>-1.46</v>
      </c>
      <c r="J85" s="574">
        <v>0</v>
      </c>
      <c r="K85" s="574">
        <v>9.09</v>
      </c>
      <c r="L85" s="574">
        <v>-3.06</v>
      </c>
      <c r="M85" s="574">
        <v>3.27</v>
      </c>
      <c r="N85" s="575">
        <v>10.28</v>
      </c>
      <c r="O85" s="575">
        <v>2.41</v>
      </c>
      <c r="P85" s="575">
        <v>0.26</v>
      </c>
      <c r="Q85" s="575">
        <v>10.039999999999999</v>
      </c>
      <c r="R85" s="575">
        <v>6.11</v>
      </c>
      <c r="S85" s="567">
        <v>7.63</v>
      </c>
      <c r="T85" s="568">
        <v>14.26</v>
      </c>
      <c r="U85" s="569">
        <v>4.47</v>
      </c>
      <c r="V85" s="570">
        <v>0</v>
      </c>
      <c r="W85" s="569">
        <v>3.23</v>
      </c>
      <c r="X85" s="571"/>
    </row>
    <row r="86" spans="1:24" s="538" customFormat="1" ht="18">
      <c r="A86" s="572" t="s">
        <v>933</v>
      </c>
      <c r="B86" s="573"/>
      <c r="C86" s="590" t="s">
        <v>934</v>
      </c>
      <c r="D86" s="575">
        <v>14.17</v>
      </c>
      <c r="E86" s="575">
        <v>13.77</v>
      </c>
      <c r="F86" s="575">
        <v>3.79</v>
      </c>
      <c r="G86" s="575">
        <v>4.83</v>
      </c>
      <c r="H86" s="575">
        <v>6.35</v>
      </c>
      <c r="I86" s="574">
        <v>0</v>
      </c>
      <c r="J86" s="574">
        <v>1.74</v>
      </c>
      <c r="K86" s="574">
        <v>7.6</v>
      </c>
      <c r="L86" s="574">
        <v>-4.13</v>
      </c>
      <c r="M86" s="574">
        <v>0</v>
      </c>
      <c r="N86" s="575">
        <v>3.6</v>
      </c>
      <c r="O86" s="575">
        <v>8.68</v>
      </c>
      <c r="P86" s="575">
        <v>8.1999999999999993</v>
      </c>
      <c r="Q86" s="575">
        <v>7.39</v>
      </c>
      <c r="R86" s="575">
        <v>2.4700000000000002</v>
      </c>
      <c r="S86" s="567">
        <v>2.5</v>
      </c>
      <c r="T86" s="568">
        <v>7.41</v>
      </c>
      <c r="U86" s="569">
        <v>0</v>
      </c>
      <c r="V86" s="570">
        <v>0</v>
      </c>
      <c r="W86" s="569">
        <v>0</v>
      </c>
      <c r="X86" s="571"/>
    </row>
    <row r="87" spans="1:24" s="538" customFormat="1" ht="18">
      <c r="A87" s="572" t="s">
        <v>935</v>
      </c>
      <c r="B87" s="573"/>
      <c r="C87" s="590" t="s">
        <v>936</v>
      </c>
      <c r="D87" s="574">
        <v>0</v>
      </c>
      <c r="E87" s="575">
        <v>9.19</v>
      </c>
      <c r="F87" s="575">
        <v>11.21</v>
      </c>
      <c r="G87" s="575">
        <v>4.63</v>
      </c>
      <c r="H87" s="575">
        <v>7.36</v>
      </c>
      <c r="I87" s="574">
        <v>0</v>
      </c>
      <c r="J87" s="575">
        <v>-2.04</v>
      </c>
      <c r="K87" s="575">
        <v>-2.38</v>
      </c>
      <c r="L87" s="575">
        <v>4.9000000000000004</v>
      </c>
      <c r="M87" s="574">
        <v>5.0999999999999996</v>
      </c>
      <c r="N87" s="575">
        <v>7.5</v>
      </c>
      <c r="O87" s="575">
        <v>0</v>
      </c>
      <c r="P87" s="575">
        <v>1.08</v>
      </c>
      <c r="Q87" s="575">
        <v>0</v>
      </c>
      <c r="R87" s="575">
        <v>10</v>
      </c>
      <c r="S87" s="567">
        <v>33</v>
      </c>
      <c r="T87" s="568">
        <v>10</v>
      </c>
      <c r="U87" s="569">
        <v>0</v>
      </c>
      <c r="V87" s="570">
        <v>0</v>
      </c>
      <c r="W87" s="569">
        <v>0</v>
      </c>
      <c r="X87" s="571"/>
    </row>
    <row r="88" spans="1:24" s="538" customFormat="1" ht="18">
      <c r="A88" s="572" t="s">
        <v>937</v>
      </c>
      <c r="B88" s="573"/>
      <c r="C88" s="590" t="s">
        <v>938</v>
      </c>
      <c r="D88" s="575">
        <v>8.0399999999999991</v>
      </c>
      <c r="E88" s="574">
        <v>4.0999999999999996</v>
      </c>
      <c r="F88" s="575">
        <v>2.1800000000000002</v>
      </c>
      <c r="G88" s="575">
        <v>0.72</v>
      </c>
      <c r="H88" s="575">
        <v>1.95</v>
      </c>
      <c r="I88" s="575">
        <v>0.15</v>
      </c>
      <c r="J88" s="574">
        <v>0</v>
      </c>
      <c r="K88" s="574">
        <v>0</v>
      </c>
      <c r="L88" s="574">
        <v>0</v>
      </c>
      <c r="M88" s="574">
        <v>0</v>
      </c>
      <c r="N88" s="575">
        <v>0</v>
      </c>
      <c r="O88" s="575">
        <v>0.03</v>
      </c>
      <c r="P88" s="575">
        <v>9.2899999999999991</v>
      </c>
      <c r="Q88" s="575">
        <v>-3.49</v>
      </c>
      <c r="R88" s="575">
        <v>0</v>
      </c>
      <c r="S88" s="567">
        <v>0</v>
      </c>
      <c r="T88" s="568">
        <v>-3.69</v>
      </c>
      <c r="U88" s="569">
        <v>0</v>
      </c>
      <c r="V88" s="570">
        <v>0</v>
      </c>
      <c r="W88" s="569">
        <v>0</v>
      </c>
      <c r="X88" s="571"/>
    </row>
    <row r="89" spans="1:24" s="538" customFormat="1" ht="18">
      <c r="A89" s="572" t="s">
        <v>939</v>
      </c>
      <c r="B89" s="573"/>
      <c r="C89" s="590" t="s">
        <v>940</v>
      </c>
      <c r="D89" s="575">
        <v>21.71</v>
      </c>
      <c r="E89" s="575">
        <v>24.91</v>
      </c>
      <c r="F89" s="575">
        <v>11.69</v>
      </c>
      <c r="G89" s="575">
        <v>17.61</v>
      </c>
      <c r="H89" s="575">
        <v>11.14</v>
      </c>
      <c r="I89" s="575">
        <v>11.71</v>
      </c>
      <c r="J89" s="574">
        <v>11.84</v>
      </c>
      <c r="K89" s="574">
        <v>5.2</v>
      </c>
      <c r="L89" s="574">
        <v>-6.38</v>
      </c>
      <c r="M89" s="574">
        <v>-2.58</v>
      </c>
      <c r="N89" s="575">
        <v>15.61</v>
      </c>
      <c r="O89" s="575">
        <v>-9.51</v>
      </c>
      <c r="P89" s="575">
        <v>12.57</v>
      </c>
      <c r="Q89" s="575">
        <v>-3.66</v>
      </c>
      <c r="R89" s="575">
        <v>1.41</v>
      </c>
      <c r="S89" s="567">
        <v>14.84</v>
      </c>
      <c r="T89" s="568">
        <v>23.18</v>
      </c>
      <c r="U89" s="569">
        <v>9.1199999999999992</v>
      </c>
      <c r="V89" s="570">
        <v>-4.07</v>
      </c>
      <c r="W89" s="569">
        <v>4.08</v>
      </c>
      <c r="X89" s="571"/>
    </row>
    <row r="90" spans="1:24" s="538" customFormat="1" ht="18">
      <c r="A90" s="572" t="s">
        <v>941</v>
      </c>
      <c r="B90" s="573"/>
      <c r="C90" s="590" t="s">
        <v>942</v>
      </c>
      <c r="D90" s="574">
        <v>1.6</v>
      </c>
      <c r="E90" s="575">
        <v>1.72</v>
      </c>
      <c r="F90" s="575">
        <v>6.29</v>
      </c>
      <c r="G90" s="575">
        <v>4.4800000000000004</v>
      </c>
      <c r="H90" s="575">
        <v>7.59</v>
      </c>
      <c r="I90" s="575">
        <v>5.19</v>
      </c>
      <c r="J90" s="575">
        <v>-5.22</v>
      </c>
      <c r="K90" s="574">
        <v>21.3</v>
      </c>
      <c r="L90" s="574">
        <v>1.1599999999999999</v>
      </c>
      <c r="M90" s="574">
        <v>23.15</v>
      </c>
      <c r="N90" s="575">
        <v>30.54</v>
      </c>
      <c r="O90" s="575">
        <v>-10.78</v>
      </c>
      <c r="P90" s="575">
        <v>22.83</v>
      </c>
      <c r="Q90" s="575">
        <v>8.19</v>
      </c>
      <c r="R90" s="575">
        <v>13.96</v>
      </c>
      <c r="S90" s="567">
        <v>2.89</v>
      </c>
      <c r="T90" s="568">
        <v>10.74</v>
      </c>
      <c r="U90" s="569">
        <v>28.97</v>
      </c>
      <c r="V90" s="570">
        <v>8.01</v>
      </c>
      <c r="W90" s="569">
        <v>1.25</v>
      </c>
      <c r="X90" s="571"/>
    </row>
    <row r="91" spans="1:24" s="538" customFormat="1" ht="18">
      <c r="A91" s="572" t="s">
        <v>943</v>
      </c>
      <c r="B91" s="573"/>
      <c r="C91" s="590" t="s">
        <v>944</v>
      </c>
      <c r="D91" s="575">
        <v>16.36</v>
      </c>
      <c r="E91" s="574">
        <v>0</v>
      </c>
      <c r="F91" s="575">
        <v>8.9700000000000006</v>
      </c>
      <c r="G91" s="574">
        <v>0</v>
      </c>
      <c r="H91" s="574">
        <v>0</v>
      </c>
      <c r="I91" s="575">
        <v>-11.11</v>
      </c>
      <c r="J91" s="574">
        <v>0</v>
      </c>
      <c r="K91" s="574">
        <v>0</v>
      </c>
      <c r="L91" s="574">
        <v>0</v>
      </c>
      <c r="M91" s="574">
        <v>0</v>
      </c>
      <c r="N91" s="575">
        <v>10.84</v>
      </c>
      <c r="O91" s="575">
        <v>41.56</v>
      </c>
      <c r="P91" s="575">
        <v>0</v>
      </c>
      <c r="Q91" s="575">
        <v>0</v>
      </c>
      <c r="R91" s="575">
        <v>1.88</v>
      </c>
      <c r="S91" s="567">
        <v>0</v>
      </c>
      <c r="T91" s="568">
        <v>0</v>
      </c>
      <c r="U91" s="569">
        <v>0</v>
      </c>
      <c r="V91" s="570">
        <v>0</v>
      </c>
      <c r="W91" s="569">
        <v>0</v>
      </c>
      <c r="X91" s="571"/>
    </row>
    <row r="92" spans="1:24" s="538" customFormat="1" ht="18">
      <c r="A92" s="572" t="s">
        <v>945</v>
      </c>
      <c r="B92" s="573"/>
      <c r="C92" s="590" t="s">
        <v>946</v>
      </c>
      <c r="D92" s="574">
        <v>21.55</v>
      </c>
      <c r="E92" s="575">
        <v>9.44</v>
      </c>
      <c r="F92" s="574">
        <v>15.6</v>
      </c>
      <c r="G92" s="575">
        <v>27.02</v>
      </c>
      <c r="H92" s="575">
        <v>-1.57</v>
      </c>
      <c r="I92" s="575">
        <v>6.17</v>
      </c>
      <c r="J92" s="574">
        <v>2.9</v>
      </c>
      <c r="K92" s="574">
        <v>2.81</v>
      </c>
      <c r="L92" s="574">
        <v>0.48</v>
      </c>
      <c r="M92" s="574">
        <v>-1.9</v>
      </c>
      <c r="N92" s="575">
        <v>14.73</v>
      </c>
      <c r="O92" s="575">
        <v>2.61</v>
      </c>
      <c r="P92" s="575">
        <v>-0.04</v>
      </c>
      <c r="Q92" s="575">
        <v>-3.14</v>
      </c>
      <c r="R92" s="575">
        <v>-0.06</v>
      </c>
      <c r="S92" s="567">
        <v>3.18</v>
      </c>
      <c r="T92" s="568">
        <v>0</v>
      </c>
      <c r="U92" s="569">
        <v>0</v>
      </c>
      <c r="V92" s="570">
        <v>0</v>
      </c>
      <c r="W92" s="569">
        <v>0</v>
      </c>
      <c r="X92" s="571"/>
    </row>
    <row r="93" spans="1:24" s="538" customFormat="1" ht="18">
      <c r="A93" s="572" t="s">
        <v>947</v>
      </c>
      <c r="B93" s="573"/>
      <c r="C93" s="590" t="s">
        <v>948</v>
      </c>
      <c r="D93" s="575">
        <v>24.33</v>
      </c>
      <c r="E93" s="575">
        <v>57.12</v>
      </c>
      <c r="F93" s="575">
        <v>2.82</v>
      </c>
      <c r="G93" s="575">
        <v>0.73</v>
      </c>
      <c r="H93" s="575">
        <v>0.05</v>
      </c>
      <c r="I93" s="575">
        <v>-0.49</v>
      </c>
      <c r="J93" s="574">
        <v>0.95</v>
      </c>
      <c r="K93" s="574">
        <v>-1.27</v>
      </c>
      <c r="L93" s="574">
        <v>-1.66</v>
      </c>
      <c r="M93" s="574">
        <v>-7.0000000000000007E-2</v>
      </c>
      <c r="N93" s="575">
        <v>26.44</v>
      </c>
      <c r="O93" s="575">
        <v>7.67</v>
      </c>
      <c r="P93" s="575">
        <v>2.71</v>
      </c>
      <c r="Q93" s="575">
        <v>0</v>
      </c>
      <c r="R93" s="575">
        <v>0</v>
      </c>
      <c r="S93" s="567">
        <v>15.09</v>
      </c>
      <c r="T93" s="568">
        <v>-3.01</v>
      </c>
      <c r="U93" s="569">
        <v>55.63</v>
      </c>
      <c r="V93" s="570">
        <v>41.36</v>
      </c>
      <c r="W93" s="569">
        <v>-0.24</v>
      </c>
      <c r="X93" s="571"/>
    </row>
    <row r="94" spans="1:24" s="538" customFormat="1" ht="18">
      <c r="A94" s="572" t="s">
        <v>949</v>
      </c>
      <c r="B94" s="573"/>
      <c r="C94" s="590" t="s">
        <v>950</v>
      </c>
      <c r="D94" s="575">
        <v>13.13</v>
      </c>
      <c r="E94" s="575">
        <v>5.46</v>
      </c>
      <c r="F94" s="575">
        <v>13.23</v>
      </c>
      <c r="G94" s="574">
        <v>6.7</v>
      </c>
      <c r="H94" s="575">
        <v>0.25</v>
      </c>
      <c r="I94" s="574">
        <v>2.2599999999999998</v>
      </c>
      <c r="J94" s="575">
        <v>2.58</v>
      </c>
      <c r="K94" s="575">
        <v>-0.73</v>
      </c>
      <c r="L94" s="575">
        <v>0.86</v>
      </c>
      <c r="M94" s="574">
        <v>0.56999999999999995</v>
      </c>
      <c r="N94" s="575">
        <v>0.21</v>
      </c>
      <c r="O94" s="575">
        <v>1.42</v>
      </c>
      <c r="P94" s="575">
        <v>0.94</v>
      </c>
      <c r="Q94" s="575">
        <v>1.57</v>
      </c>
      <c r="R94" s="575">
        <v>1.58</v>
      </c>
      <c r="S94" s="567">
        <v>0.78</v>
      </c>
      <c r="T94" s="568">
        <v>1.25</v>
      </c>
      <c r="U94" s="569">
        <v>4.3</v>
      </c>
      <c r="V94" s="570">
        <v>4.3</v>
      </c>
      <c r="W94" s="569">
        <v>0.82</v>
      </c>
      <c r="X94" s="571"/>
    </row>
    <row r="95" spans="1:24" s="538" customFormat="1" ht="18">
      <c r="A95" s="572" t="s">
        <v>951</v>
      </c>
      <c r="B95" s="573"/>
      <c r="C95" s="590" t="s">
        <v>952</v>
      </c>
      <c r="D95" s="575">
        <v>7.31</v>
      </c>
      <c r="E95" s="575">
        <v>18.170000000000002</v>
      </c>
      <c r="F95" s="575">
        <v>-8.17</v>
      </c>
      <c r="G95" s="575">
        <v>18.48</v>
      </c>
      <c r="H95" s="575">
        <v>-22.27</v>
      </c>
      <c r="I95" s="575">
        <v>5.13</v>
      </c>
      <c r="J95" s="574">
        <v>-6.1</v>
      </c>
      <c r="K95" s="574">
        <v>3.83</v>
      </c>
      <c r="L95" s="574">
        <v>-3.35</v>
      </c>
      <c r="M95" s="574">
        <v>-11.76</v>
      </c>
      <c r="N95" s="575">
        <v>4.3499999999999996</v>
      </c>
      <c r="O95" s="575">
        <v>-6.39</v>
      </c>
      <c r="P95" s="575">
        <v>18.28</v>
      </c>
      <c r="Q95" s="575">
        <v>5.42</v>
      </c>
      <c r="R95" s="575">
        <v>5.48</v>
      </c>
      <c r="S95" s="567">
        <v>2.5499999999999998</v>
      </c>
      <c r="T95" s="568">
        <v>28.62</v>
      </c>
      <c r="U95" s="569">
        <v>29.66</v>
      </c>
      <c r="V95" s="570">
        <v>-4.62</v>
      </c>
      <c r="W95" s="569">
        <v>21.84</v>
      </c>
      <c r="X95" s="571"/>
    </row>
    <row r="96" spans="1:24" s="538" customFormat="1" ht="18">
      <c r="A96" s="572" t="s">
        <v>953</v>
      </c>
      <c r="B96" s="573"/>
      <c r="C96" s="590" t="s">
        <v>954</v>
      </c>
      <c r="D96" s="574">
        <v>0</v>
      </c>
      <c r="E96" s="575">
        <v>29.37</v>
      </c>
      <c r="F96" s="575">
        <v>3.33</v>
      </c>
      <c r="G96" s="574">
        <v>0</v>
      </c>
      <c r="H96" s="574">
        <v>0</v>
      </c>
      <c r="I96" s="574">
        <v>0</v>
      </c>
      <c r="J96" s="574">
        <v>0</v>
      </c>
      <c r="K96" s="574">
        <v>-9.75</v>
      </c>
      <c r="L96" s="574">
        <v>0</v>
      </c>
      <c r="M96" s="574">
        <v>0</v>
      </c>
      <c r="N96" s="575">
        <v>0</v>
      </c>
      <c r="O96" s="575">
        <v>2.37</v>
      </c>
      <c r="P96" s="575">
        <v>2.2999999999999998</v>
      </c>
      <c r="Q96" s="575">
        <v>0.88</v>
      </c>
      <c r="R96" s="575">
        <v>-0.88</v>
      </c>
      <c r="S96" s="567">
        <v>6.26</v>
      </c>
      <c r="T96" s="568">
        <v>19.25</v>
      </c>
      <c r="U96" s="569">
        <v>19.41</v>
      </c>
      <c r="V96" s="570">
        <v>0</v>
      </c>
      <c r="W96" s="569">
        <v>3.45</v>
      </c>
      <c r="X96" s="571"/>
    </row>
    <row r="97" spans="1:24" s="538" customFormat="1" ht="18">
      <c r="A97" s="572" t="s">
        <v>955</v>
      </c>
      <c r="B97" s="573"/>
      <c r="C97" s="590" t="s">
        <v>956</v>
      </c>
      <c r="D97" s="575">
        <v>2.37</v>
      </c>
      <c r="E97" s="575">
        <v>4.32</v>
      </c>
      <c r="F97" s="575">
        <v>3.09</v>
      </c>
      <c r="G97" s="575">
        <v>7.23</v>
      </c>
      <c r="H97" s="575">
        <v>8.1199999999999992</v>
      </c>
      <c r="I97" s="575">
        <v>7.98</v>
      </c>
      <c r="J97" s="575">
        <v>2.1800000000000002</v>
      </c>
      <c r="K97" s="575">
        <v>3.22</v>
      </c>
      <c r="L97" s="575">
        <v>2.71</v>
      </c>
      <c r="M97" s="574">
        <v>2.84</v>
      </c>
      <c r="N97" s="575">
        <v>11.56</v>
      </c>
      <c r="O97" s="575">
        <v>3.24</v>
      </c>
      <c r="P97" s="575">
        <v>2.77</v>
      </c>
      <c r="Q97" s="575">
        <v>1.61</v>
      </c>
      <c r="R97" s="575">
        <v>12.1</v>
      </c>
      <c r="S97" s="567">
        <v>2.72</v>
      </c>
      <c r="T97" s="568">
        <v>4.04</v>
      </c>
      <c r="U97" s="569">
        <v>0</v>
      </c>
      <c r="V97" s="570">
        <v>0</v>
      </c>
      <c r="W97" s="569">
        <v>0</v>
      </c>
      <c r="X97" s="571"/>
    </row>
    <row r="98" spans="1:24" s="538" customFormat="1" ht="18">
      <c r="A98" s="572" t="s">
        <v>957</v>
      </c>
      <c r="B98" s="573"/>
      <c r="C98" s="590" t="s">
        <v>958</v>
      </c>
      <c r="D98" s="575">
        <v>2.94</v>
      </c>
      <c r="E98" s="575">
        <v>8.31</v>
      </c>
      <c r="F98" s="575">
        <v>1.25</v>
      </c>
      <c r="G98" s="575">
        <v>7.77</v>
      </c>
      <c r="H98" s="575">
        <v>-2.87</v>
      </c>
      <c r="I98" s="574">
        <v>5.39</v>
      </c>
      <c r="J98" s="574">
        <v>2.2000000000000002</v>
      </c>
      <c r="K98" s="574">
        <v>3.2</v>
      </c>
      <c r="L98" s="574">
        <v>2.86</v>
      </c>
      <c r="M98" s="574">
        <v>4.12</v>
      </c>
      <c r="N98" s="575">
        <v>3.35</v>
      </c>
      <c r="O98" s="575">
        <v>1.52</v>
      </c>
      <c r="P98" s="575">
        <v>2.84</v>
      </c>
      <c r="Q98" s="575">
        <v>0.96</v>
      </c>
      <c r="R98" s="575">
        <v>5.29</v>
      </c>
      <c r="S98" s="567">
        <v>11.99</v>
      </c>
      <c r="T98" s="568">
        <v>0.96</v>
      </c>
      <c r="U98" s="569">
        <v>1.44</v>
      </c>
      <c r="V98" s="570">
        <v>12.68</v>
      </c>
      <c r="W98" s="569">
        <v>2.46</v>
      </c>
      <c r="X98" s="571"/>
    </row>
    <row r="99" spans="1:24" s="538" customFormat="1" ht="18">
      <c r="A99" s="572" t="s">
        <v>959</v>
      </c>
      <c r="B99" s="573"/>
      <c r="C99" s="590" t="s">
        <v>960</v>
      </c>
      <c r="D99" s="575">
        <v>4.42</v>
      </c>
      <c r="E99" s="575">
        <v>2.96</v>
      </c>
      <c r="F99" s="575">
        <v>6.21</v>
      </c>
      <c r="G99" s="575">
        <v>6.73</v>
      </c>
      <c r="H99" s="575">
        <v>3.49</v>
      </c>
      <c r="I99" s="575">
        <v>11.33</v>
      </c>
      <c r="J99" s="575">
        <v>1.96</v>
      </c>
      <c r="K99" s="575">
        <v>2.95</v>
      </c>
      <c r="L99" s="575">
        <v>2.3199999999999998</v>
      </c>
      <c r="M99" s="574">
        <v>3.27</v>
      </c>
      <c r="N99" s="575">
        <v>12.9</v>
      </c>
      <c r="O99" s="575">
        <v>4.67</v>
      </c>
      <c r="P99" s="575">
        <v>2.83</v>
      </c>
      <c r="Q99" s="575">
        <v>2.89</v>
      </c>
      <c r="R99" s="575">
        <v>14.2</v>
      </c>
      <c r="S99" s="567">
        <v>3.92</v>
      </c>
      <c r="T99" s="568">
        <v>9.68</v>
      </c>
      <c r="U99" s="569">
        <v>0</v>
      </c>
      <c r="V99" s="570">
        <v>0</v>
      </c>
      <c r="W99" s="569">
        <v>0</v>
      </c>
      <c r="X99" s="571"/>
    </row>
    <row r="100" spans="1:24" s="538" customFormat="1" ht="18">
      <c r="A100" s="572" t="s">
        <v>961</v>
      </c>
      <c r="B100" s="573"/>
      <c r="C100" s="590" t="s">
        <v>962</v>
      </c>
      <c r="D100" s="575">
        <v>14.33</v>
      </c>
      <c r="E100" s="575">
        <v>4.8600000000000003</v>
      </c>
      <c r="F100" s="575">
        <v>-6.22</v>
      </c>
      <c r="G100" s="575">
        <v>20.27</v>
      </c>
      <c r="H100" s="575">
        <v>15.87</v>
      </c>
      <c r="I100" s="574">
        <v>6.4</v>
      </c>
      <c r="J100" s="575">
        <v>9.27</v>
      </c>
      <c r="K100" s="575">
        <v>1.33</v>
      </c>
      <c r="L100" s="575">
        <v>15.45</v>
      </c>
      <c r="M100" s="574">
        <v>10.48</v>
      </c>
      <c r="N100" s="575">
        <v>18.46</v>
      </c>
      <c r="O100" s="575">
        <v>8</v>
      </c>
      <c r="P100" s="575">
        <v>18.68</v>
      </c>
      <c r="Q100" s="575">
        <v>2.06</v>
      </c>
      <c r="R100" s="575">
        <v>4.7699999999999996</v>
      </c>
      <c r="S100" s="567">
        <v>16.690000000000001</v>
      </c>
      <c r="T100" s="568">
        <v>55.43</v>
      </c>
      <c r="U100" s="569">
        <v>3.55</v>
      </c>
      <c r="V100" s="570">
        <v>2.31</v>
      </c>
      <c r="W100" s="569">
        <v>9.27</v>
      </c>
      <c r="X100" s="571"/>
    </row>
    <row r="101" spans="1:24" s="538" customFormat="1" ht="18">
      <c r="A101" s="572" t="s">
        <v>963</v>
      </c>
      <c r="B101" s="573"/>
      <c r="C101" s="590" t="s">
        <v>964</v>
      </c>
      <c r="D101" s="575">
        <v>10.98</v>
      </c>
      <c r="E101" s="574">
        <v>0</v>
      </c>
      <c r="F101" s="575">
        <v>-7.33</v>
      </c>
      <c r="G101" s="575">
        <v>24.25</v>
      </c>
      <c r="H101" s="575">
        <v>26.54</v>
      </c>
      <c r="I101" s="575">
        <v>11.97</v>
      </c>
      <c r="J101" s="574">
        <v>12</v>
      </c>
      <c r="K101" s="574">
        <v>2.6</v>
      </c>
      <c r="L101" s="574">
        <v>5.1100000000000003</v>
      </c>
      <c r="M101" s="574">
        <v>-22.02</v>
      </c>
      <c r="N101" s="575">
        <v>24.76</v>
      </c>
      <c r="O101" s="575">
        <v>8.25</v>
      </c>
      <c r="P101" s="575">
        <v>20.6</v>
      </c>
      <c r="Q101" s="575">
        <v>-1.88</v>
      </c>
      <c r="R101" s="575">
        <v>14.2</v>
      </c>
      <c r="S101" s="567">
        <v>15.9</v>
      </c>
      <c r="T101" s="568">
        <v>35.130000000000003</v>
      </c>
      <c r="U101" s="569">
        <v>0</v>
      </c>
      <c r="V101" s="570">
        <v>0</v>
      </c>
      <c r="W101" s="569">
        <v>0</v>
      </c>
      <c r="X101" s="571"/>
    </row>
    <row r="102" spans="1:24" s="538" customFormat="1" ht="18">
      <c r="A102" s="572" t="s">
        <v>965</v>
      </c>
      <c r="B102" s="573"/>
      <c r="C102" s="590" t="s">
        <v>966</v>
      </c>
      <c r="D102" s="575">
        <v>10.24</v>
      </c>
      <c r="E102" s="575">
        <v>1.65</v>
      </c>
      <c r="F102" s="574">
        <v>17.600000000000001</v>
      </c>
      <c r="G102" s="575">
        <v>-1.22</v>
      </c>
      <c r="H102" s="575">
        <v>-5.24</v>
      </c>
      <c r="I102" s="574">
        <v>0.76</v>
      </c>
      <c r="J102" s="575">
        <v>2.65</v>
      </c>
      <c r="K102" s="575">
        <v>1.56</v>
      </c>
      <c r="L102" s="575">
        <v>0.51</v>
      </c>
      <c r="M102" s="574">
        <v>0</v>
      </c>
      <c r="N102" s="575">
        <v>32.15</v>
      </c>
      <c r="O102" s="575">
        <v>0</v>
      </c>
      <c r="P102" s="575">
        <v>2.96</v>
      </c>
      <c r="Q102" s="575">
        <v>0</v>
      </c>
      <c r="R102" s="575">
        <v>0</v>
      </c>
      <c r="S102" s="567">
        <v>0</v>
      </c>
      <c r="T102" s="568">
        <v>0</v>
      </c>
      <c r="U102" s="569">
        <v>0</v>
      </c>
      <c r="V102" s="570">
        <v>0</v>
      </c>
      <c r="W102" s="569">
        <v>0</v>
      </c>
      <c r="X102" s="571"/>
    </row>
    <row r="103" spans="1:24" s="538" customFormat="1" ht="18">
      <c r="A103" s="572" t="s">
        <v>967</v>
      </c>
      <c r="B103" s="573"/>
      <c r="C103" s="590" t="s">
        <v>968</v>
      </c>
      <c r="D103" s="575">
        <v>11.11</v>
      </c>
      <c r="E103" s="574">
        <v>0</v>
      </c>
      <c r="F103" s="575">
        <v>-7.33</v>
      </c>
      <c r="G103" s="574">
        <v>24.2</v>
      </c>
      <c r="H103" s="574">
        <v>23.2</v>
      </c>
      <c r="I103" s="575">
        <v>6.01</v>
      </c>
      <c r="J103" s="574">
        <v>12</v>
      </c>
      <c r="K103" s="574">
        <v>3.47</v>
      </c>
      <c r="L103" s="574">
        <v>25.49</v>
      </c>
      <c r="M103" s="574">
        <v>11.04</v>
      </c>
      <c r="N103" s="575">
        <v>23.34</v>
      </c>
      <c r="O103" s="575">
        <v>8.01</v>
      </c>
      <c r="P103" s="575">
        <v>20.64</v>
      </c>
      <c r="Q103" s="575">
        <v>-11.43</v>
      </c>
      <c r="R103" s="575">
        <v>15.24</v>
      </c>
      <c r="S103" s="567">
        <v>16.95</v>
      </c>
      <c r="T103" s="568">
        <v>38.53</v>
      </c>
      <c r="U103" s="569">
        <v>3.95</v>
      </c>
      <c r="V103" s="570">
        <v>0</v>
      </c>
      <c r="W103" s="569">
        <v>10</v>
      </c>
      <c r="X103" s="571"/>
    </row>
    <row r="104" spans="1:24" s="538" customFormat="1" ht="18">
      <c r="A104" s="572" t="s">
        <v>969</v>
      </c>
      <c r="B104" s="573"/>
      <c r="C104" s="590" t="s">
        <v>970</v>
      </c>
      <c r="D104" s="574">
        <v>11</v>
      </c>
      <c r="E104" s="574">
        <v>0</v>
      </c>
      <c r="F104" s="574">
        <v>18.8</v>
      </c>
      <c r="G104" s="575">
        <v>20.96</v>
      </c>
      <c r="H104" s="574">
        <v>8</v>
      </c>
      <c r="I104" s="574">
        <v>6</v>
      </c>
      <c r="J104" s="574">
        <v>12</v>
      </c>
      <c r="K104" s="574">
        <v>6</v>
      </c>
      <c r="L104" s="574">
        <v>6</v>
      </c>
      <c r="M104" s="574">
        <v>10.06</v>
      </c>
      <c r="N104" s="575">
        <v>-0.05</v>
      </c>
      <c r="O104" s="575">
        <v>0</v>
      </c>
      <c r="P104" s="575">
        <v>12.84</v>
      </c>
      <c r="Q104" s="575">
        <v>10</v>
      </c>
      <c r="R104" s="575">
        <v>9</v>
      </c>
      <c r="S104" s="567">
        <v>31.8</v>
      </c>
      <c r="T104" s="568">
        <v>51.47</v>
      </c>
      <c r="U104" s="569">
        <v>0</v>
      </c>
      <c r="V104" s="570">
        <v>0</v>
      </c>
      <c r="W104" s="569">
        <v>10</v>
      </c>
      <c r="X104" s="571"/>
    </row>
    <row r="105" spans="1:24" s="538" customFormat="1" ht="18">
      <c r="A105" s="572" t="s">
        <v>971</v>
      </c>
      <c r="B105" s="573"/>
      <c r="C105" s="590" t="s">
        <v>972</v>
      </c>
      <c r="D105" s="575">
        <v>17.440000000000001</v>
      </c>
      <c r="E105" s="575">
        <v>8.02</v>
      </c>
      <c r="F105" s="575">
        <v>-9.26</v>
      </c>
      <c r="G105" s="575">
        <v>19.48</v>
      </c>
      <c r="H105" s="575">
        <v>12.12</v>
      </c>
      <c r="I105" s="575">
        <v>4.33</v>
      </c>
      <c r="J105" s="575">
        <v>10.79</v>
      </c>
      <c r="K105" s="575">
        <v>1.87</v>
      </c>
      <c r="L105" s="575">
        <v>9.8699999999999992</v>
      </c>
      <c r="M105" s="574">
        <v>9.67</v>
      </c>
      <c r="N105" s="575">
        <v>16.489999999999998</v>
      </c>
      <c r="O105" s="575">
        <v>5.7</v>
      </c>
      <c r="P105" s="575">
        <v>19.16</v>
      </c>
      <c r="Q105" s="575">
        <v>-0.72</v>
      </c>
      <c r="R105" s="575">
        <v>3.47</v>
      </c>
      <c r="S105" s="567">
        <v>14.38</v>
      </c>
      <c r="T105" s="568">
        <v>48.3</v>
      </c>
      <c r="U105" s="569">
        <v>7.16</v>
      </c>
      <c r="V105" s="570">
        <v>-3.6</v>
      </c>
      <c r="W105" s="569">
        <v>8.15</v>
      </c>
      <c r="X105" s="571"/>
    </row>
    <row r="106" spans="1:24" s="538" customFormat="1" ht="18">
      <c r="A106" s="572" t="s">
        <v>973</v>
      </c>
      <c r="B106" s="573"/>
      <c r="C106" s="590" t="s">
        <v>974</v>
      </c>
      <c r="D106" s="575">
        <v>-7.12</v>
      </c>
      <c r="E106" s="575">
        <v>13.24</v>
      </c>
      <c r="F106" s="575">
        <v>2.0299999999999998</v>
      </c>
      <c r="G106" s="575">
        <v>18.55</v>
      </c>
      <c r="H106" s="575">
        <v>-12.74</v>
      </c>
      <c r="I106" s="574">
        <v>8.6999999999999993</v>
      </c>
      <c r="J106" s="575">
        <v>4.96</v>
      </c>
      <c r="K106" s="575">
        <v>-2.31</v>
      </c>
      <c r="L106" s="575">
        <v>-7.35</v>
      </c>
      <c r="M106" s="574">
        <v>-1.1299999999999999</v>
      </c>
      <c r="N106" s="575">
        <v>-30.64</v>
      </c>
      <c r="O106" s="575">
        <v>1.35</v>
      </c>
      <c r="P106" s="575">
        <v>7.83</v>
      </c>
      <c r="Q106" s="575">
        <v>6.33</v>
      </c>
      <c r="R106" s="575">
        <v>6.84</v>
      </c>
      <c r="S106" s="567">
        <v>8.49</v>
      </c>
      <c r="T106" s="568">
        <v>51.45</v>
      </c>
      <c r="U106" s="569">
        <v>6.25</v>
      </c>
      <c r="V106" s="570">
        <v>12</v>
      </c>
      <c r="W106" s="569">
        <v>-8.17</v>
      </c>
      <c r="X106" s="571"/>
    </row>
    <row r="107" spans="1:24" s="538" customFormat="1" ht="18">
      <c r="A107" s="583" t="s">
        <v>975</v>
      </c>
      <c r="B107" s="584"/>
      <c r="C107" s="592" t="s">
        <v>976</v>
      </c>
      <c r="D107" s="577">
        <v>7</v>
      </c>
      <c r="E107" s="578">
        <v>3.44</v>
      </c>
      <c r="F107" s="578">
        <v>6.72</v>
      </c>
      <c r="G107" s="578">
        <v>1.66</v>
      </c>
      <c r="H107" s="577">
        <v>0</v>
      </c>
      <c r="I107" s="578">
        <v>25.38</v>
      </c>
      <c r="J107" s="578">
        <v>-3.23</v>
      </c>
      <c r="K107" s="578">
        <v>2.93</v>
      </c>
      <c r="L107" s="578">
        <v>-7.07</v>
      </c>
      <c r="M107" s="577">
        <v>-10.62</v>
      </c>
      <c r="N107" s="578">
        <v>-22.27</v>
      </c>
      <c r="O107" s="578">
        <v>-8.84</v>
      </c>
      <c r="P107" s="578">
        <v>25.82</v>
      </c>
      <c r="Q107" s="578">
        <v>9.4</v>
      </c>
      <c r="R107" s="575">
        <v>-1.01</v>
      </c>
      <c r="S107" s="567">
        <v>19.86</v>
      </c>
      <c r="T107" s="568">
        <v>40.840000000000003</v>
      </c>
      <c r="U107" s="569">
        <v>9.43</v>
      </c>
      <c r="V107" s="570">
        <v>-8</v>
      </c>
      <c r="W107" s="569">
        <v>-10.28</v>
      </c>
      <c r="X107" s="571"/>
    </row>
    <row r="108" spans="1:24" s="538" customFormat="1" ht="18">
      <c r="A108" s="593" t="s">
        <v>977</v>
      </c>
      <c r="B108" s="594"/>
      <c r="C108" s="595"/>
      <c r="D108" s="596"/>
      <c r="E108" s="596"/>
      <c r="F108" s="596"/>
      <c r="G108" s="596"/>
      <c r="H108" s="596"/>
      <c r="I108" s="596"/>
      <c r="J108" s="596"/>
      <c r="K108" s="596"/>
      <c r="L108" s="596"/>
      <c r="M108" s="597"/>
      <c r="N108" s="596"/>
      <c r="O108" s="596"/>
      <c r="P108" s="596"/>
      <c r="Q108" s="575"/>
      <c r="R108" s="541"/>
      <c r="S108" s="598"/>
      <c r="T108" s="599"/>
      <c r="U108" s="600"/>
      <c r="V108" s="601"/>
      <c r="W108" s="600"/>
      <c r="X108" s="602"/>
    </row>
    <row r="109" spans="1:24" s="538" customFormat="1" ht="18">
      <c r="A109" s="562" t="s">
        <v>978</v>
      </c>
      <c r="B109" s="563"/>
      <c r="C109" s="589" t="s">
        <v>979</v>
      </c>
      <c r="D109" s="565">
        <v>3.36</v>
      </c>
      <c r="E109" s="566">
        <v>6.4</v>
      </c>
      <c r="F109" s="565">
        <v>6.49</v>
      </c>
      <c r="G109" s="565">
        <v>3.62</v>
      </c>
      <c r="H109" s="565">
        <v>2.87</v>
      </c>
      <c r="I109" s="565">
        <v>2.83</v>
      </c>
      <c r="J109" s="565">
        <v>0.06</v>
      </c>
      <c r="K109" s="565">
        <v>3.74</v>
      </c>
      <c r="L109" s="565">
        <v>0.06</v>
      </c>
      <c r="M109" s="566">
        <v>3.87</v>
      </c>
      <c r="N109" s="565">
        <v>5.43</v>
      </c>
      <c r="O109" s="565">
        <v>0.42</v>
      </c>
      <c r="P109" s="565">
        <v>0.42</v>
      </c>
      <c r="Q109" s="565">
        <v>18.329999999999998</v>
      </c>
      <c r="R109" s="575">
        <v>0.16</v>
      </c>
      <c r="S109" s="567">
        <v>1.02</v>
      </c>
      <c r="T109" s="564">
        <v>14.78</v>
      </c>
      <c r="U109" s="569">
        <v>1.53</v>
      </c>
      <c r="V109" s="570">
        <v>0</v>
      </c>
      <c r="W109" s="569">
        <v>13.85</v>
      </c>
      <c r="X109" s="571"/>
    </row>
    <row r="110" spans="1:24" s="538" customFormat="1" ht="18">
      <c r="A110" s="572" t="s">
        <v>980</v>
      </c>
      <c r="B110" s="573"/>
      <c r="C110" s="590" t="s">
        <v>981</v>
      </c>
      <c r="D110" s="575">
        <v>3.17</v>
      </c>
      <c r="E110" s="575">
        <v>6.91</v>
      </c>
      <c r="F110" s="574">
        <v>7.2</v>
      </c>
      <c r="G110" s="575">
        <v>5.52</v>
      </c>
      <c r="H110" s="575">
        <v>1.42</v>
      </c>
      <c r="I110" s="575">
        <v>-0.77</v>
      </c>
      <c r="J110" s="575">
        <v>-7.67</v>
      </c>
      <c r="K110" s="575">
        <v>0.05</v>
      </c>
      <c r="L110" s="575">
        <v>7.66</v>
      </c>
      <c r="M110" s="574">
        <v>3.65</v>
      </c>
      <c r="N110" s="575">
        <v>4.71</v>
      </c>
      <c r="O110" s="575">
        <v>-0.36</v>
      </c>
      <c r="P110" s="575">
        <v>13.69</v>
      </c>
      <c r="Q110" s="575">
        <v>12.58</v>
      </c>
      <c r="R110" s="575">
        <v>20.03</v>
      </c>
      <c r="S110" s="567">
        <v>19.600000000000001</v>
      </c>
      <c r="T110" s="569">
        <v>25.55</v>
      </c>
      <c r="U110" s="569">
        <v>28.61</v>
      </c>
      <c r="V110" s="570">
        <v>11.87</v>
      </c>
      <c r="W110" s="569">
        <v>13.46</v>
      </c>
      <c r="X110" s="571"/>
    </row>
    <row r="111" spans="1:24" s="538" customFormat="1" ht="18">
      <c r="A111" s="603" t="s">
        <v>982</v>
      </c>
      <c r="B111" s="604"/>
      <c r="C111" s="605" t="s">
        <v>983</v>
      </c>
      <c r="D111" s="606">
        <v>5.12</v>
      </c>
      <c r="E111" s="606">
        <v>7.05</v>
      </c>
      <c r="F111" s="606">
        <v>5.99</v>
      </c>
      <c r="G111" s="606">
        <v>4.34</v>
      </c>
      <c r="H111" s="606">
        <v>4.03</v>
      </c>
      <c r="I111" s="606">
        <v>13.17</v>
      </c>
      <c r="J111" s="606">
        <v>-1.17</v>
      </c>
      <c r="K111" s="606">
        <v>-1.37</v>
      </c>
      <c r="L111" s="606">
        <v>4.6100000000000003</v>
      </c>
      <c r="M111" s="607">
        <v>3.53</v>
      </c>
      <c r="N111" s="606">
        <v>4.26</v>
      </c>
      <c r="O111" s="606">
        <v>3.55</v>
      </c>
      <c r="P111" s="606">
        <v>8.2799999999999994</v>
      </c>
      <c r="Q111" s="606">
        <v>14.33</v>
      </c>
      <c r="R111" s="606">
        <v>-5.31</v>
      </c>
      <c r="S111" s="608">
        <v>15.45</v>
      </c>
      <c r="T111" s="569">
        <v>23.97</v>
      </c>
      <c r="U111" s="569">
        <v>30.52</v>
      </c>
      <c r="V111" s="570">
        <v>5.56</v>
      </c>
      <c r="W111" s="569">
        <v>-13.99</v>
      </c>
      <c r="X111" s="571"/>
    </row>
    <row r="112" spans="1:24" s="538" customFormat="1" ht="18">
      <c r="A112" s="583" t="s">
        <v>984</v>
      </c>
      <c r="B112" s="584"/>
      <c r="C112" s="592" t="s">
        <v>985</v>
      </c>
      <c r="D112" s="578">
        <v>13.88</v>
      </c>
      <c r="E112" s="578">
        <v>3.77</v>
      </c>
      <c r="F112" s="577">
        <v>5</v>
      </c>
      <c r="G112" s="578">
        <v>1.06</v>
      </c>
      <c r="H112" s="578">
        <v>4.01</v>
      </c>
      <c r="I112" s="578">
        <v>-7.94</v>
      </c>
      <c r="J112" s="577">
        <v>8.5</v>
      </c>
      <c r="K112" s="577">
        <v>4.33</v>
      </c>
      <c r="L112" s="577">
        <v>7.58</v>
      </c>
      <c r="M112" s="577">
        <v>5.94</v>
      </c>
      <c r="N112" s="578">
        <v>59.17</v>
      </c>
      <c r="O112" s="578">
        <v>10.02</v>
      </c>
      <c r="P112" s="578">
        <v>0</v>
      </c>
      <c r="Q112" s="578">
        <v>0</v>
      </c>
      <c r="R112" s="578">
        <v>0</v>
      </c>
      <c r="S112" s="579">
        <v>0</v>
      </c>
      <c r="T112" s="576">
        <v>0</v>
      </c>
      <c r="U112" s="576">
        <v>0</v>
      </c>
      <c r="V112" s="609">
        <v>0</v>
      </c>
      <c r="W112" s="576">
        <v>0</v>
      </c>
      <c r="X112" s="610"/>
    </row>
  </sheetData>
  <autoFilter ref="A4:BI112" xr:uid="{64A51C53-9123-455D-A247-ABFAE25EED76}">
    <filterColumn colId="0" showButton="0"/>
  </autoFilter>
  <mergeCells count="5">
    <mergeCell ref="A3:X3"/>
    <mergeCell ref="A4:B4"/>
    <mergeCell ref="A1:X1"/>
    <mergeCell ref="A2:C2"/>
    <mergeCell ref="D2:W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34B52-D5BD-417E-9207-A51CE6E482F6}">
  <sheetPr>
    <pageSetUpPr fitToPage="1"/>
  </sheetPr>
  <dimension ref="A1:AX54"/>
  <sheetViews>
    <sheetView view="pageBreakPreview" zoomScaleNormal="100" zoomScaleSheetLayoutView="100" workbookViewId="0">
      <selection activeCell="E5" sqref="E5"/>
    </sheetView>
  </sheetViews>
  <sheetFormatPr baseColWidth="10" defaultColWidth="11.42578125" defaultRowHeight="15"/>
  <cols>
    <col min="1" max="1" width="3.7109375" style="39" customWidth="1"/>
    <col min="2" max="2" width="11.42578125" style="406"/>
    <col min="3" max="3" width="12.5703125" style="406" customWidth="1"/>
    <col min="4" max="4" width="46.5703125" style="406" customWidth="1"/>
    <col min="5" max="5" width="22.7109375" style="406" bestFit="1" customWidth="1"/>
    <col min="6" max="6" width="16.7109375" style="406" bestFit="1" customWidth="1"/>
    <col min="7" max="8" width="11.42578125" style="379"/>
    <col min="9" max="36" width="11.42578125" style="39"/>
  </cols>
  <sheetData>
    <row r="1" spans="2:50" ht="51" customHeight="1" thickBot="1">
      <c r="B1" s="1179" t="s">
        <v>986</v>
      </c>
      <c r="C1" s="1180"/>
      <c r="D1" s="1180"/>
      <c r="E1" s="1180"/>
      <c r="F1" s="1181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</row>
    <row r="2" spans="2:50" s="39" customFormat="1" ht="15.75" thickBot="1">
      <c r="B2" s="379"/>
      <c r="C2" s="379"/>
      <c r="D2" s="379"/>
      <c r="E2" s="379"/>
      <c r="F2" s="379"/>
      <c r="G2" s="379"/>
      <c r="H2" s="379"/>
    </row>
    <row r="3" spans="2:50" ht="16.5" customHeight="1" thickBot="1">
      <c r="B3" s="380" t="s">
        <v>609</v>
      </c>
      <c r="C3" s="381" t="s">
        <v>987</v>
      </c>
      <c r="D3" s="381" t="s">
        <v>988</v>
      </c>
      <c r="E3" s="381" t="s">
        <v>715</v>
      </c>
      <c r="F3" s="382" t="s">
        <v>989</v>
      </c>
    </row>
    <row r="4" spans="2:50" ht="17.25" customHeight="1">
      <c r="B4" s="383">
        <v>1</v>
      </c>
      <c r="C4" s="384" t="s">
        <v>793</v>
      </c>
      <c r="D4" s="385" t="s">
        <v>990</v>
      </c>
      <c r="E4" s="386">
        <f>+'OFERTA ECONOMICA'!F32+'OFERTA ECONOMICA'!F36+'OFERTA ECONOMICA'!F38+'OFERTA ECONOMICA'!F92+'OFERTA ECONOMICA'!F93</f>
        <v>0</v>
      </c>
      <c r="F4" s="387" t="e">
        <f>E4/$E$11</f>
        <v>#DIV/0!</v>
      </c>
    </row>
    <row r="5" spans="2:50" ht="17.25" customHeight="1">
      <c r="B5" s="388">
        <v>2</v>
      </c>
      <c r="C5" s="389" t="s">
        <v>991</v>
      </c>
      <c r="D5" s="390" t="s">
        <v>992</v>
      </c>
      <c r="E5" s="391">
        <f>+'OFERTA ECONOMICA'!F34+'OFERTA ECONOMICA'!F68+'OFERTA ECONOMICA'!F69+'OFERTA ECONOMICA'!F71+'OFERTA ECONOMICA'!F77</f>
        <v>0</v>
      </c>
      <c r="F5" s="392" t="e">
        <f t="shared" ref="F5:F8" si="0">E5/$E$11</f>
        <v>#DIV/0!</v>
      </c>
    </row>
    <row r="6" spans="2:50" ht="17.25" customHeight="1">
      <c r="B6" s="393">
        <v>3</v>
      </c>
      <c r="C6" s="389" t="s">
        <v>914</v>
      </c>
      <c r="D6" s="390" t="s">
        <v>993</v>
      </c>
      <c r="E6" s="391">
        <f>+'OFERTA ECONOMICA'!F99*0.1</f>
        <v>0</v>
      </c>
      <c r="F6" s="392" t="e">
        <f t="shared" si="0"/>
        <v>#DIV/0!</v>
      </c>
    </row>
    <row r="7" spans="2:50" ht="17.25" customHeight="1">
      <c r="B7" s="388">
        <v>4</v>
      </c>
      <c r="C7" s="389" t="s">
        <v>944</v>
      </c>
      <c r="D7" s="390" t="s">
        <v>994</v>
      </c>
      <c r="E7" s="391">
        <f>+'OFERTA ECONOMICA'!F33+'OFERTA ECONOMICA'!F90</f>
        <v>0</v>
      </c>
      <c r="F7" s="392" t="e">
        <f t="shared" si="0"/>
        <v>#DIV/0!</v>
      </c>
    </row>
    <row r="8" spans="2:50" ht="17.25" customHeight="1">
      <c r="B8" s="393">
        <v>5</v>
      </c>
      <c r="C8" s="389" t="s">
        <v>789</v>
      </c>
      <c r="D8" s="390" t="s">
        <v>995</v>
      </c>
      <c r="E8" s="391">
        <f>+'OFERTA ECONOMICA'!F27</f>
        <v>0</v>
      </c>
      <c r="F8" s="392" t="e">
        <f t="shared" si="0"/>
        <v>#DIV/0!</v>
      </c>
    </row>
    <row r="9" spans="2:50" ht="17.25" customHeight="1">
      <c r="B9" s="388">
        <v>6</v>
      </c>
      <c r="C9" s="389" t="s">
        <v>996</v>
      </c>
      <c r="D9" s="390" t="s">
        <v>997</v>
      </c>
      <c r="E9" s="391">
        <f>+'OFERTA ECONOMICA'!F21+'OFERTA ECONOMICA'!F22+'OFERTA ECONOMICA'!F26+'OFERTA ECONOMICA'!F41+'OFERTA ECONOMICA'!F63+'OFERTA ECONOMICA'!F64+'OFERTA ECONOMICA'!F87</f>
        <v>0</v>
      </c>
      <c r="F9" s="392" t="e">
        <f>E9/$E$11</f>
        <v>#DIV/0!</v>
      </c>
    </row>
    <row r="10" spans="2:50" ht="17.25" customHeight="1" thickBot="1">
      <c r="B10" s="394">
        <v>7</v>
      </c>
      <c r="C10" s="395" t="s">
        <v>998</v>
      </c>
      <c r="D10" s="396" t="s">
        <v>999</v>
      </c>
      <c r="E10" s="397">
        <f>+('OFERTA ECONOMICA'!F23+'OFERTA ECONOMICA'!F24+'OFERTA ECONOMICA'!F25+'OFERTA ECONOMICA'!F65+'OFERTA ECONOMICA'!F66+'OFERTA ECONOMICA'!F67+'OFERTA ECONOMICA'!F70+'OFERTA ECONOMICA'!F78+'OFERTA ECONOMICA'!F80+'OFERTA ECONOMICA'!F85)</f>
        <v>0</v>
      </c>
      <c r="F10" s="392" t="e">
        <f>E10/$E$11</f>
        <v>#DIV/0!</v>
      </c>
    </row>
    <row r="11" spans="2:50" ht="15.75" thickBot="1">
      <c r="B11" s="1182" t="s">
        <v>690</v>
      </c>
      <c r="C11" s="1183"/>
      <c r="D11" s="1183"/>
      <c r="E11" s="398">
        <f>SUM(E4:E10)</f>
        <v>0</v>
      </c>
      <c r="F11" s="399"/>
    </row>
    <row r="12" spans="2:50" ht="15.75" thickBot="1">
      <c r="B12" s="1184" t="s">
        <v>180</v>
      </c>
      <c r="C12" s="1185"/>
      <c r="D12" s="1185"/>
      <c r="E12" s="400">
        <f>+'OFERTA ECONOMICA'!F99</f>
        <v>0</v>
      </c>
      <c r="F12" s="399"/>
    </row>
    <row r="13" spans="2:50" ht="15.75" thickBot="1">
      <c r="B13" s="1186" t="s">
        <v>1000</v>
      </c>
      <c r="C13" s="1187"/>
      <c r="D13" s="1187"/>
      <c r="E13" s="401" t="e">
        <f>E11/E12</f>
        <v>#DIV/0!</v>
      </c>
      <c r="F13" s="379"/>
    </row>
    <row r="14" spans="2:50" s="39" customFormat="1">
      <c r="B14" s="379"/>
      <c r="C14" s="379"/>
      <c r="D14" s="379"/>
      <c r="E14" s="379"/>
      <c r="F14" s="402"/>
      <c r="G14" s="379"/>
      <c r="H14" s="379"/>
    </row>
    <row r="15" spans="2:50" s="39" customFormat="1">
      <c r="B15" s="379"/>
      <c r="C15" s="379"/>
      <c r="D15" s="379"/>
      <c r="E15" s="379"/>
      <c r="F15" s="403"/>
      <c r="G15" s="379"/>
      <c r="H15" s="379"/>
    </row>
    <row r="16" spans="2:50" s="39" customFormat="1">
      <c r="B16" s="379"/>
      <c r="C16" s="379"/>
      <c r="D16" s="379"/>
      <c r="E16" s="404"/>
      <c r="F16" s="403"/>
      <c r="G16" s="379"/>
      <c r="H16" s="379"/>
    </row>
    <row r="17" spans="2:8" s="39" customFormat="1">
      <c r="B17" s="379"/>
      <c r="C17" s="379"/>
      <c r="D17" s="379"/>
      <c r="E17" s="379"/>
      <c r="F17" s="403"/>
      <c r="G17" s="379"/>
      <c r="H17" s="379"/>
    </row>
    <row r="18" spans="2:8" s="39" customFormat="1">
      <c r="B18" s="379"/>
      <c r="C18" s="379"/>
      <c r="D18" s="379"/>
      <c r="E18" s="379"/>
      <c r="F18" s="403"/>
      <c r="G18" s="379"/>
      <c r="H18" s="379"/>
    </row>
    <row r="19" spans="2:8" s="39" customFormat="1">
      <c r="B19" s="379"/>
      <c r="C19" s="379"/>
      <c r="D19" s="379"/>
      <c r="E19" s="379"/>
      <c r="F19" s="405"/>
      <c r="G19" s="379"/>
      <c r="H19" s="379"/>
    </row>
    <row r="20" spans="2:8" s="39" customFormat="1">
      <c r="B20" s="379"/>
      <c r="C20" s="379"/>
      <c r="D20" s="379"/>
      <c r="E20" s="379"/>
      <c r="F20" s="379"/>
      <c r="G20" s="379"/>
      <c r="H20" s="379"/>
    </row>
    <row r="21" spans="2:8" s="39" customFormat="1">
      <c r="B21" s="379"/>
      <c r="C21" s="379"/>
      <c r="D21" s="379"/>
      <c r="E21" s="379"/>
      <c r="F21" s="379"/>
      <c r="G21" s="379"/>
      <c r="H21" s="379"/>
    </row>
    <row r="22" spans="2:8" s="39" customFormat="1">
      <c r="B22" s="379"/>
      <c r="C22" s="379"/>
      <c r="D22" s="379"/>
      <c r="E22" s="379"/>
      <c r="F22" s="379"/>
      <c r="G22" s="379"/>
      <c r="H22" s="379"/>
    </row>
    <row r="23" spans="2:8" s="39" customFormat="1">
      <c r="B23" s="379"/>
      <c r="C23" s="379"/>
      <c r="D23" s="379"/>
      <c r="E23" s="379"/>
      <c r="F23" s="379"/>
      <c r="G23" s="379"/>
      <c r="H23" s="379"/>
    </row>
    <row r="24" spans="2:8" s="39" customFormat="1">
      <c r="B24" s="379"/>
      <c r="C24" s="379"/>
      <c r="D24" s="379"/>
      <c r="E24" s="379"/>
      <c r="F24" s="379"/>
      <c r="G24" s="379"/>
      <c r="H24" s="379"/>
    </row>
    <row r="25" spans="2:8" s="39" customFormat="1">
      <c r="B25" s="379"/>
      <c r="C25" s="379"/>
      <c r="D25" s="379"/>
      <c r="E25" s="379"/>
      <c r="F25" s="379"/>
      <c r="G25" s="379"/>
      <c r="H25" s="379"/>
    </row>
    <row r="26" spans="2:8" s="39" customFormat="1">
      <c r="B26" s="379"/>
      <c r="C26" s="379"/>
      <c r="D26" s="379"/>
      <c r="E26" s="379"/>
      <c r="F26" s="379"/>
      <c r="G26" s="379"/>
      <c r="H26" s="379"/>
    </row>
    <row r="27" spans="2:8" s="39" customFormat="1">
      <c r="B27" s="379"/>
      <c r="C27" s="379"/>
      <c r="D27" s="379"/>
      <c r="E27" s="379"/>
      <c r="F27" s="379"/>
      <c r="G27" s="379"/>
      <c r="H27" s="379"/>
    </row>
    <row r="28" spans="2:8" s="39" customFormat="1">
      <c r="B28" s="379"/>
      <c r="C28" s="379"/>
      <c r="D28" s="379"/>
      <c r="E28" s="379"/>
      <c r="F28" s="379"/>
      <c r="G28" s="379"/>
      <c r="H28" s="379"/>
    </row>
    <row r="29" spans="2:8" s="39" customFormat="1">
      <c r="B29" s="379"/>
      <c r="C29" s="379"/>
      <c r="D29" s="379"/>
      <c r="E29" s="379"/>
      <c r="F29" s="379"/>
      <c r="G29" s="379"/>
      <c r="H29" s="379"/>
    </row>
    <row r="30" spans="2:8" s="39" customFormat="1">
      <c r="B30" s="379"/>
      <c r="C30" s="379"/>
      <c r="D30" s="379"/>
      <c r="E30" s="379"/>
      <c r="F30" s="379"/>
      <c r="G30" s="379"/>
      <c r="H30" s="379"/>
    </row>
    <row r="31" spans="2:8" s="39" customFormat="1">
      <c r="B31" s="379"/>
      <c r="C31" s="379"/>
      <c r="D31" s="379"/>
      <c r="E31" s="379"/>
      <c r="F31" s="379"/>
      <c r="G31" s="379"/>
      <c r="H31" s="379"/>
    </row>
    <row r="32" spans="2:8" s="39" customFormat="1">
      <c r="B32" s="379"/>
      <c r="C32" s="379"/>
      <c r="D32" s="379"/>
      <c r="E32" s="379"/>
      <c r="F32" s="379"/>
      <c r="G32" s="379"/>
      <c r="H32" s="379"/>
    </row>
    <row r="33" spans="2:8" s="39" customFormat="1">
      <c r="B33" s="379"/>
      <c r="C33" s="379"/>
      <c r="D33" s="379"/>
      <c r="E33" s="379"/>
      <c r="F33" s="379"/>
      <c r="G33" s="379"/>
      <c r="H33" s="379"/>
    </row>
    <row r="34" spans="2:8" s="39" customFormat="1">
      <c r="B34" s="379"/>
      <c r="C34" s="379"/>
      <c r="D34" s="379"/>
      <c r="E34" s="379"/>
      <c r="F34" s="379"/>
      <c r="G34" s="379"/>
      <c r="H34" s="379"/>
    </row>
    <row r="35" spans="2:8" s="39" customFormat="1">
      <c r="B35" s="379"/>
      <c r="C35" s="379"/>
      <c r="D35" s="379"/>
      <c r="E35" s="379"/>
      <c r="F35" s="379"/>
      <c r="G35" s="379"/>
      <c r="H35" s="379"/>
    </row>
    <row r="36" spans="2:8" s="39" customFormat="1">
      <c r="B36" s="379"/>
      <c r="C36" s="379"/>
      <c r="D36" s="379"/>
      <c r="E36" s="379"/>
      <c r="F36" s="379"/>
      <c r="G36" s="379"/>
      <c r="H36" s="379"/>
    </row>
    <row r="37" spans="2:8" s="39" customFormat="1">
      <c r="B37" s="379"/>
      <c r="C37" s="379"/>
      <c r="D37" s="379"/>
      <c r="E37" s="379"/>
      <c r="F37" s="379"/>
      <c r="G37" s="379"/>
      <c r="H37" s="379"/>
    </row>
    <row r="38" spans="2:8" s="39" customFormat="1">
      <c r="B38" s="379"/>
      <c r="C38" s="379"/>
      <c r="D38" s="379"/>
      <c r="E38" s="379"/>
      <c r="F38" s="379"/>
      <c r="G38" s="379"/>
      <c r="H38" s="379"/>
    </row>
    <row r="39" spans="2:8" s="39" customFormat="1">
      <c r="B39" s="379"/>
      <c r="C39" s="379"/>
      <c r="D39" s="379"/>
      <c r="E39" s="379"/>
      <c r="F39" s="379"/>
      <c r="G39" s="379"/>
      <c r="H39" s="379"/>
    </row>
    <row r="40" spans="2:8" s="39" customFormat="1">
      <c r="B40" s="379"/>
      <c r="C40" s="379"/>
      <c r="D40" s="379"/>
      <c r="E40" s="379"/>
      <c r="F40" s="379"/>
      <c r="G40" s="379"/>
      <c r="H40" s="379"/>
    </row>
    <row r="41" spans="2:8" s="39" customFormat="1">
      <c r="B41" s="379"/>
      <c r="C41" s="379"/>
      <c r="D41" s="379"/>
      <c r="E41" s="379"/>
      <c r="F41" s="379"/>
      <c r="G41" s="379"/>
      <c r="H41" s="379"/>
    </row>
    <row r="42" spans="2:8" s="39" customFormat="1">
      <c r="B42" s="379"/>
      <c r="C42" s="379"/>
      <c r="D42" s="379"/>
      <c r="E42" s="379"/>
      <c r="F42" s="379"/>
      <c r="G42" s="379"/>
      <c r="H42" s="379"/>
    </row>
    <row r="43" spans="2:8" s="39" customFormat="1">
      <c r="B43" s="379"/>
      <c r="C43" s="379"/>
      <c r="D43" s="379"/>
      <c r="E43" s="379"/>
      <c r="F43" s="379"/>
      <c r="G43" s="379"/>
      <c r="H43" s="379"/>
    </row>
    <row r="44" spans="2:8" s="39" customFormat="1">
      <c r="B44" s="379"/>
      <c r="C44" s="379"/>
      <c r="D44" s="379"/>
      <c r="E44" s="379"/>
      <c r="F44" s="379"/>
      <c r="G44" s="379"/>
      <c r="H44" s="379"/>
    </row>
    <row r="45" spans="2:8" s="39" customFormat="1">
      <c r="B45" s="379"/>
      <c r="C45" s="379"/>
      <c r="D45" s="379"/>
      <c r="E45" s="379"/>
      <c r="F45" s="379"/>
      <c r="G45" s="379"/>
      <c r="H45" s="379"/>
    </row>
    <row r="46" spans="2:8" s="39" customFormat="1">
      <c r="B46" s="379"/>
      <c r="C46" s="379"/>
      <c r="D46" s="379"/>
      <c r="E46" s="379"/>
      <c r="F46" s="379"/>
      <c r="G46" s="379"/>
      <c r="H46" s="379"/>
    </row>
    <row r="47" spans="2:8" s="39" customFormat="1">
      <c r="B47" s="379"/>
      <c r="C47" s="379"/>
      <c r="D47" s="379"/>
      <c r="E47" s="379"/>
      <c r="F47" s="379"/>
      <c r="G47" s="379"/>
      <c r="H47" s="379"/>
    </row>
    <row r="48" spans="2:8" s="39" customFormat="1">
      <c r="B48" s="379"/>
      <c r="C48" s="379"/>
      <c r="D48" s="379"/>
      <c r="E48" s="379"/>
      <c r="F48" s="379"/>
      <c r="G48" s="379"/>
      <c r="H48" s="379"/>
    </row>
    <row r="49" spans="2:8" s="39" customFormat="1">
      <c r="B49" s="379"/>
      <c r="C49" s="379"/>
      <c r="D49" s="379"/>
      <c r="E49" s="379"/>
      <c r="F49" s="379"/>
      <c r="G49" s="379"/>
      <c r="H49" s="379"/>
    </row>
    <row r="50" spans="2:8" s="39" customFormat="1">
      <c r="B50" s="379"/>
      <c r="C50" s="379"/>
      <c r="D50" s="379"/>
      <c r="E50" s="379"/>
      <c r="F50" s="379"/>
      <c r="G50" s="379"/>
      <c r="H50" s="379"/>
    </row>
    <row r="51" spans="2:8" s="39" customFormat="1">
      <c r="B51" s="379"/>
      <c r="C51" s="379"/>
      <c r="D51" s="379"/>
      <c r="E51" s="379"/>
      <c r="F51" s="379"/>
      <c r="G51" s="379"/>
      <c r="H51" s="379"/>
    </row>
    <row r="52" spans="2:8" s="39" customFormat="1">
      <c r="B52" s="379"/>
      <c r="C52" s="379"/>
      <c r="D52" s="379"/>
      <c r="E52" s="379"/>
      <c r="F52" s="379"/>
      <c r="G52" s="379"/>
      <c r="H52" s="379"/>
    </row>
    <row r="53" spans="2:8" s="39" customFormat="1">
      <c r="B53" s="379"/>
      <c r="C53" s="379"/>
      <c r="D53" s="379"/>
      <c r="E53" s="379"/>
      <c r="F53" s="379"/>
      <c r="G53" s="379"/>
      <c r="H53" s="379"/>
    </row>
    <row r="54" spans="2:8" s="39" customFormat="1">
      <c r="B54" s="379"/>
      <c r="C54" s="379"/>
      <c r="D54" s="379"/>
      <c r="E54" s="379"/>
      <c r="F54" s="379"/>
      <c r="G54" s="379"/>
      <c r="H54" s="379"/>
    </row>
  </sheetData>
  <mergeCells count="4">
    <mergeCell ref="B1:F1"/>
    <mergeCell ref="B11:D11"/>
    <mergeCell ref="B12:D12"/>
    <mergeCell ref="B13:D13"/>
  </mergeCells>
  <pageMargins left="0.7" right="0.7" top="0.75" bottom="0.75" header="0.3" footer="0.3"/>
  <pageSetup paperSize="9" scale="76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79F90-9EC0-4504-9EC4-CAB76DAFD64A}">
  <sheetPr>
    <pageSetUpPr fitToPage="1"/>
  </sheetPr>
  <dimension ref="A1:AP61"/>
  <sheetViews>
    <sheetView view="pageBreakPreview" topLeftCell="A45" zoomScale="60" zoomScaleNormal="100" workbookViewId="0">
      <selection activeCell="E5" sqref="E5"/>
    </sheetView>
  </sheetViews>
  <sheetFormatPr baseColWidth="10" defaultColWidth="11.42578125" defaultRowHeight="18"/>
  <cols>
    <col min="1" max="1" width="3.7109375" customWidth="1"/>
    <col min="2" max="2" width="19.140625" style="377" customWidth="1"/>
    <col min="3" max="3" width="27.85546875" style="378" customWidth="1"/>
    <col min="4" max="4" width="21.5703125" style="377" customWidth="1"/>
    <col min="5" max="9" width="20.7109375" style="377" customWidth="1"/>
    <col min="10" max="10" width="16.5703125" style="377" customWidth="1"/>
  </cols>
  <sheetData>
    <row r="1" spans="1:42" ht="57.75" customHeight="1" thickBot="1">
      <c r="A1" s="39"/>
      <c r="B1" s="1190" t="s">
        <v>1001</v>
      </c>
      <c r="C1" s="1191"/>
      <c r="D1" s="1191"/>
      <c r="E1" s="1191"/>
      <c r="F1" s="1191"/>
      <c r="G1" s="1191"/>
      <c r="H1" s="1191"/>
      <c r="I1" s="1191"/>
      <c r="J1" s="1192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</row>
    <row r="2" spans="1:42" s="39" customFormat="1" ht="10.5" customHeight="1" thickBot="1">
      <c r="B2" s="331"/>
      <c r="C2" s="332"/>
      <c r="D2" s="331"/>
      <c r="E2" s="331"/>
      <c r="F2" s="331"/>
      <c r="G2" s="331"/>
      <c r="H2" s="331"/>
      <c r="I2" s="331"/>
      <c r="J2" s="331"/>
    </row>
    <row r="3" spans="1:42" ht="22.5" customHeight="1">
      <c r="B3" s="1193" t="s">
        <v>1002</v>
      </c>
      <c r="C3" s="333" t="s">
        <v>1003</v>
      </c>
      <c r="D3" s="334" t="s">
        <v>793</v>
      </c>
      <c r="E3" s="335" t="s">
        <v>1004</v>
      </c>
      <c r="F3" s="335" t="s">
        <v>914</v>
      </c>
      <c r="G3" s="335" t="s">
        <v>944</v>
      </c>
      <c r="H3" s="335" t="s">
        <v>789</v>
      </c>
      <c r="I3" s="335" t="s">
        <v>787</v>
      </c>
      <c r="J3" s="335" t="s">
        <v>998</v>
      </c>
    </row>
    <row r="4" spans="1:42" ht="22.5" customHeight="1" thickBot="1">
      <c r="B4" s="1194"/>
      <c r="C4" s="336" t="s">
        <v>1005</v>
      </c>
      <c r="D4" s="337" t="e">
        <f>+'Fórmula Reajuste '!F4</f>
        <v>#DIV/0!</v>
      </c>
      <c r="E4" s="338" t="e">
        <f>+'Fórmula Reajuste '!F5</f>
        <v>#DIV/0!</v>
      </c>
      <c r="F4" s="338" t="e">
        <f>+'Fórmula Reajuste '!F6</f>
        <v>#DIV/0!</v>
      </c>
      <c r="G4" s="338" t="e">
        <f>+'Fórmula Reajuste '!F7</f>
        <v>#DIV/0!</v>
      </c>
      <c r="H4" s="338" t="e">
        <f>+'Fórmula Reajuste '!F8</f>
        <v>#DIV/0!</v>
      </c>
      <c r="I4" s="338" t="e">
        <f>+'Fórmula Reajuste '!F9</f>
        <v>#DIV/0!</v>
      </c>
      <c r="J4" s="338" t="e">
        <f>+'Fórmula Reajuste '!F10</f>
        <v>#DIV/0!</v>
      </c>
    </row>
    <row r="5" spans="1:42" ht="21.75" customHeight="1">
      <c r="B5" s="1188">
        <v>2005</v>
      </c>
      <c r="C5" s="339" t="s">
        <v>1006</v>
      </c>
      <c r="D5" s="340">
        <v>28.5</v>
      </c>
      <c r="E5" s="340">
        <v>-2.4</v>
      </c>
      <c r="F5" s="340">
        <v>7.14</v>
      </c>
      <c r="G5" s="340">
        <v>16.36</v>
      </c>
      <c r="H5" s="340">
        <v>19.690000000000001</v>
      </c>
      <c r="I5" s="340">
        <v>8.2200000000000006</v>
      </c>
      <c r="J5" s="340">
        <v>6.53</v>
      </c>
    </row>
    <row r="6" spans="1:42" ht="21.75" customHeight="1" thickBot="1">
      <c r="B6" s="1189"/>
      <c r="C6" s="341" t="s">
        <v>1007</v>
      </c>
      <c r="D6" s="342">
        <f t="shared" ref="D6:J6" si="0">D5/12</f>
        <v>2.375</v>
      </c>
      <c r="E6" s="342">
        <f t="shared" si="0"/>
        <v>-0.19999999999999998</v>
      </c>
      <c r="F6" s="342">
        <f t="shared" si="0"/>
        <v>0.59499999999999997</v>
      </c>
      <c r="G6" s="342">
        <f t="shared" si="0"/>
        <v>1.3633333333333333</v>
      </c>
      <c r="H6" s="342">
        <f t="shared" si="0"/>
        <v>1.6408333333333334</v>
      </c>
      <c r="I6" s="342">
        <f t="shared" si="0"/>
        <v>0.68500000000000005</v>
      </c>
      <c r="J6" s="342">
        <f t="shared" si="0"/>
        <v>0.54416666666666669</v>
      </c>
    </row>
    <row r="7" spans="1:42" ht="21.75" customHeight="1">
      <c r="B7" s="1188">
        <v>2006</v>
      </c>
      <c r="C7" s="339" t="s">
        <v>1006</v>
      </c>
      <c r="D7" s="340">
        <v>9.08</v>
      </c>
      <c r="E7" s="340">
        <v>17.940000000000001</v>
      </c>
      <c r="F7" s="340">
        <v>7.34</v>
      </c>
      <c r="G7" s="340">
        <v>0</v>
      </c>
      <c r="H7" s="340">
        <v>3.22</v>
      </c>
      <c r="I7" s="340">
        <v>13.23</v>
      </c>
      <c r="J7" s="340">
        <v>7.48</v>
      </c>
    </row>
    <row r="8" spans="1:42" ht="21.75" customHeight="1" thickBot="1">
      <c r="B8" s="1189"/>
      <c r="C8" s="341" t="s">
        <v>1007</v>
      </c>
      <c r="D8" s="342">
        <f t="shared" ref="D8:J8" si="1">D7/12</f>
        <v>0.75666666666666671</v>
      </c>
      <c r="E8" s="342">
        <f t="shared" si="1"/>
        <v>1.4950000000000001</v>
      </c>
      <c r="F8" s="342">
        <f t="shared" si="1"/>
        <v>0.61166666666666669</v>
      </c>
      <c r="G8" s="342">
        <f t="shared" si="1"/>
        <v>0</v>
      </c>
      <c r="H8" s="342">
        <f t="shared" si="1"/>
        <v>0.26833333333333337</v>
      </c>
      <c r="I8" s="342">
        <f t="shared" si="1"/>
        <v>1.1025</v>
      </c>
      <c r="J8" s="342">
        <f t="shared" si="1"/>
        <v>0.62333333333333341</v>
      </c>
    </row>
    <row r="9" spans="1:42" ht="21.75" customHeight="1">
      <c r="B9" s="1188">
        <v>2007</v>
      </c>
      <c r="C9" s="339" t="s">
        <v>1006</v>
      </c>
      <c r="D9" s="340">
        <v>13.54</v>
      </c>
      <c r="E9" s="340">
        <v>8.5500000000000007</v>
      </c>
      <c r="F9" s="340">
        <v>6.04</v>
      </c>
      <c r="G9" s="340">
        <v>8.9700000000000006</v>
      </c>
      <c r="H9" s="340">
        <v>-10.69</v>
      </c>
      <c r="I9" s="340">
        <v>4.68</v>
      </c>
      <c r="J9" s="340">
        <v>6.48</v>
      </c>
    </row>
    <row r="10" spans="1:42" ht="21.75" customHeight="1" thickBot="1">
      <c r="B10" s="1189"/>
      <c r="C10" s="341" t="s">
        <v>1007</v>
      </c>
      <c r="D10" s="342">
        <f t="shared" ref="D10:J10" si="2">D9/12</f>
        <v>1.1283333333333332</v>
      </c>
      <c r="E10" s="342">
        <f t="shared" si="2"/>
        <v>0.71250000000000002</v>
      </c>
      <c r="F10" s="342">
        <f t="shared" si="2"/>
        <v>0.5033333333333333</v>
      </c>
      <c r="G10" s="342">
        <f t="shared" si="2"/>
        <v>0.74750000000000005</v>
      </c>
      <c r="H10" s="342">
        <f t="shared" si="2"/>
        <v>-0.89083333333333325</v>
      </c>
      <c r="I10" s="342">
        <f t="shared" si="2"/>
        <v>0.38999999999999996</v>
      </c>
      <c r="J10" s="342">
        <f t="shared" si="2"/>
        <v>0.54</v>
      </c>
    </row>
    <row r="11" spans="1:42" ht="21.75" customHeight="1">
      <c r="B11" s="1188">
        <v>2008</v>
      </c>
      <c r="C11" s="339" t="s">
        <v>1006</v>
      </c>
      <c r="D11" s="340">
        <v>20.98</v>
      </c>
      <c r="E11" s="340">
        <v>4.51</v>
      </c>
      <c r="F11" s="340">
        <v>5.39</v>
      </c>
      <c r="G11" s="340">
        <v>0</v>
      </c>
      <c r="H11" s="340">
        <v>19.61</v>
      </c>
      <c r="I11" s="340">
        <v>8.19</v>
      </c>
      <c r="J11" s="340">
        <v>2.33</v>
      </c>
    </row>
    <row r="12" spans="1:42" ht="21.75" customHeight="1" thickBot="1">
      <c r="B12" s="1189"/>
      <c r="C12" s="341" t="s">
        <v>1007</v>
      </c>
      <c r="D12" s="342">
        <f t="shared" ref="D12:J14" si="3">D11/12</f>
        <v>1.7483333333333333</v>
      </c>
      <c r="E12" s="342">
        <f t="shared" si="3"/>
        <v>0.3758333333333333</v>
      </c>
      <c r="F12" s="342">
        <f t="shared" si="3"/>
        <v>0.44916666666666666</v>
      </c>
      <c r="G12" s="342">
        <f t="shared" si="3"/>
        <v>0</v>
      </c>
      <c r="H12" s="342">
        <f t="shared" si="3"/>
        <v>1.6341666666666665</v>
      </c>
      <c r="I12" s="342">
        <f t="shared" si="3"/>
        <v>0.6825</v>
      </c>
      <c r="J12" s="342">
        <f t="shared" si="3"/>
        <v>0.19416666666666668</v>
      </c>
    </row>
    <row r="13" spans="1:42" ht="21.75" customHeight="1">
      <c r="B13" s="1188">
        <v>2009</v>
      </c>
      <c r="C13" s="339" t="s">
        <v>1006</v>
      </c>
      <c r="D13" s="340">
        <v>-1.47</v>
      </c>
      <c r="E13" s="340">
        <v>-10.28</v>
      </c>
      <c r="F13" s="340">
        <v>4.6500000000000004</v>
      </c>
      <c r="G13" s="340">
        <v>0</v>
      </c>
      <c r="H13" s="340">
        <v>15.01</v>
      </c>
      <c r="I13" s="340">
        <v>2.19</v>
      </c>
      <c r="J13" s="340">
        <v>3.69</v>
      </c>
    </row>
    <row r="14" spans="1:42" ht="21.75" customHeight="1" thickBot="1">
      <c r="B14" s="1189"/>
      <c r="C14" s="341" t="s">
        <v>1007</v>
      </c>
      <c r="D14" s="342">
        <f t="shared" si="3"/>
        <v>-0.1225</v>
      </c>
      <c r="E14" s="342">
        <f t="shared" si="3"/>
        <v>-0.85666666666666658</v>
      </c>
      <c r="F14" s="342">
        <f t="shared" si="3"/>
        <v>0.38750000000000001</v>
      </c>
      <c r="G14" s="342">
        <f t="shared" si="3"/>
        <v>0</v>
      </c>
      <c r="H14" s="342">
        <f t="shared" si="3"/>
        <v>1.2508333333333332</v>
      </c>
      <c r="I14" s="342">
        <f t="shared" si="3"/>
        <v>0.1825</v>
      </c>
      <c r="J14" s="342">
        <f t="shared" si="3"/>
        <v>0.3075</v>
      </c>
    </row>
    <row r="15" spans="1:42" ht="21.75" customHeight="1">
      <c r="B15" s="1188">
        <v>2010</v>
      </c>
      <c r="C15" s="339" t="s">
        <v>1006</v>
      </c>
      <c r="D15" s="340">
        <v>4.01</v>
      </c>
      <c r="E15" s="340">
        <v>4.0199999999999996</v>
      </c>
      <c r="F15" s="340">
        <v>4.59</v>
      </c>
      <c r="G15" s="340">
        <v>-11.11</v>
      </c>
      <c r="H15" s="340">
        <v>7.58</v>
      </c>
      <c r="I15" s="340">
        <v>1.85</v>
      </c>
      <c r="J15" s="340">
        <v>2.4300000000000002</v>
      </c>
    </row>
    <row r="16" spans="1:42" ht="21.75" customHeight="1" thickBot="1">
      <c r="B16" s="1189"/>
      <c r="C16" s="341" t="s">
        <v>1007</v>
      </c>
      <c r="D16" s="342">
        <f t="shared" ref="D16:J16" si="4">D15/12</f>
        <v>0.33416666666666667</v>
      </c>
      <c r="E16" s="342">
        <f t="shared" si="4"/>
        <v>0.33499999999999996</v>
      </c>
      <c r="F16" s="342">
        <f t="shared" si="4"/>
        <v>0.38250000000000001</v>
      </c>
      <c r="G16" s="342">
        <f t="shared" si="4"/>
        <v>-0.92583333333333329</v>
      </c>
      <c r="H16" s="342">
        <f t="shared" si="4"/>
        <v>0.63166666666666671</v>
      </c>
      <c r="I16" s="342">
        <f t="shared" si="4"/>
        <v>0.15416666666666667</v>
      </c>
      <c r="J16" s="342">
        <f t="shared" si="4"/>
        <v>0.20250000000000001</v>
      </c>
    </row>
    <row r="17" spans="2:10" ht="21.75" customHeight="1">
      <c r="B17" s="1188">
        <v>2011</v>
      </c>
      <c r="C17" s="339" t="s">
        <v>1006</v>
      </c>
      <c r="D17" s="340">
        <v>2.73</v>
      </c>
      <c r="E17" s="340">
        <v>1.91</v>
      </c>
      <c r="F17" s="340">
        <v>4.92</v>
      </c>
      <c r="G17" s="340">
        <v>0</v>
      </c>
      <c r="H17" s="340">
        <v>9.56</v>
      </c>
      <c r="I17" s="340">
        <v>1.1299999999999999</v>
      </c>
      <c r="J17" s="340">
        <v>2.83</v>
      </c>
    </row>
    <row r="18" spans="2:10" ht="21.75" customHeight="1" thickBot="1">
      <c r="B18" s="1189"/>
      <c r="C18" s="341" t="s">
        <v>1007</v>
      </c>
      <c r="D18" s="342">
        <f t="shared" ref="D18:J18" si="5">D17/12</f>
        <v>0.22750000000000001</v>
      </c>
      <c r="E18" s="342">
        <f t="shared" si="5"/>
        <v>0.15916666666666665</v>
      </c>
      <c r="F18" s="342">
        <f t="shared" si="5"/>
        <v>0.41</v>
      </c>
      <c r="G18" s="342">
        <f t="shared" si="5"/>
        <v>0</v>
      </c>
      <c r="H18" s="342">
        <f t="shared" si="5"/>
        <v>0.79666666666666675</v>
      </c>
      <c r="I18" s="342">
        <f t="shared" si="5"/>
        <v>9.4166666666666662E-2</v>
      </c>
      <c r="J18" s="342">
        <f t="shared" si="5"/>
        <v>0.23583333333333334</v>
      </c>
    </row>
    <row r="19" spans="2:10" ht="21.75" customHeight="1">
      <c r="B19" s="1188">
        <v>2012</v>
      </c>
      <c r="C19" s="339" t="s">
        <v>1006</v>
      </c>
      <c r="D19" s="496">
        <v>5.64</v>
      </c>
      <c r="E19" s="496">
        <v>-7.88</v>
      </c>
      <c r="F19" s="496">
        <v>11.75</v>
      </c>
      <c r="G19" s="496">
        <v>0</v>
      </c>
      <c r="H19" s="496">
        <v>1.97</v>
      </c>
      <c r="I19" s="496">
        <v>2.8</v>
      </c>
      <c r="J19" s="496">
        <v>10.65</v>
      </c>
    </row>
    <row r="20" spans="2:10" ht="21.75" customHeight="1" thickBot="1">
      <c r="B20" s="1189"/>
      <c r="C20" s="341" t="s">
        <v>1007</v>
      </c>
      <c r="D20" s="342">
        <f t="shared" ref="D20:J20" si="6">D19/12</f>
        <v>0.47</v>
      </c>
      <c r="E20" s="342">
        <f t="shared" si="6"/>
        <v>-0.65666666666666662</v>
      </c>
      <c r="F20" s="342">
        <f t="shared" si="6"/>
        <v>0.97916666666666663</v>
      </c>
      <c r="G20" s="342">
        <f t="shared" si="6"/>
        <v>0</v>
      </c>
      <c r="H20" s="342">
        <f t="shared" si="6"/>
        <v>0.16416666666666666</v>
      </c>
      <c r="I20" s="342">
        <f t="shared" si="6"/>
        <v>0.23333333333333331</v>
      </c>
      <c r="J20" s="342">
        <f t="shared" si="6"/>
        <v>0.88750000000000007</v>
      </c>
    </row>
    <row r="21" spans="2:10" ht="21.75" customHeight="1">
      <c r="B21" s="1188">
        <v>2013</v>
      </c>
      <c r="C21" s="339" t="s">
        <v>1006</v>
      </c>
      <c r="D21" s="340">
        <v>1.08</v>
      </c>
      <c r="E21" s="340">
        <v>0.22</v>
      </c>
      <c r="F21" s="340">
        <v>3.29</v>
      </c>
      <c r="G21" s="340">
        <v>0</v>
      </c>
      <c r="H21" s="340">
        <v>9.1300000000000008</v>
      </c>
      <c r="I21" s="340">
        <v>2.4500000000000002</v>
      </c>
      <c r="J21" s="340">
        <v>4.76</v>
      </c>
    </row>
    <row r="22" spans="2:10" ht="21.75" customHeight="1" thickBot="1">
      <c r="B22" s="1189"/>
      <c r="C22" s="341" t="s">
        <v>1007</v>
      </c>
      <c r="D22" s="342">
        <f t="shared" ref="D22:J22" si="7">D21/12</f>
        <v>9.0000000000000011E-2</v>
      </c>
      <c r="E22" s="342">
        <f t="shared" si="7"/>
        <v>1.8333333333333333E-2</v>
      </c>
      <c r="F22" s="342">
        <f t="shared" si="7"/>
        <v>0.27416666666666667</v>
      </c>
      <c r="G22" s="342">
        <f t="shared" si="7"/>
        <v>0</v>
      </c>
      <c r="H22" s="342">
        <f t="shared" si="7"/>
        <v>0.76083333333333336</v>
      </c>
      <c r="I22" s="342">
        <f t="shared" si="7"/>
        <v>0.20416666666666669</v>
      </c>
      <c r="J22" s="342">
        <f t="shared" si="7"/>
        <v>0.39666666666666667</v>
      </c>
    </row>
    <row r="23" spans="2:10" ht="21.75" customHeight="1">
      <c r="B23" s="1188">
        <v>2014</v>
      </c>
      <c r="C23" s="339" t="s">
        <v>1006</v>
      </c>
      <c r="D23" s="340">
        <v>-0.89</v>
      </c>
      <c r="E23" s="340">
        <v>11.99</v>
      </c>
      <c r="F23" s="340">
        <v>8.7899999999999991</v>
      </c>
      <c r="G23" s="340">
        <v>0</v>
      </c>
      <c r="H23" s="340">
        <v>8.93</v>
      </c>
      <c r="I23" s="340">
        <v>5.55</v>
      </c>
      <c r="J23" s="340">
        <v>0.12</v>
      </c>
    </row>
    <row r="24" spans="2:10" ht="21.75" customHeight="1" thickBot="1">
      <c r="B24" s="1189"/>
      <c r="C24" s="341" t="s">
        <v>1007</v>
      </c>
      <c r="D24" s="342">
        <f t="shared" ref="D24:J24" si="8">D23/12</f>
        <v>-7.4166666666666672E-2</v>
      </c>
      <c r="E24" s="342">
        <f t="shared" si="8"/>
        <v>0.99916666666666665</v>
      </c>
      <c r="F24" s="342">
        <f t="shared" si="8"/>
        <v>0.73249999999999993</v>
      </c>
      <c r="G24" s="342">
        <f t="shared" si="8"/>
        <v>0</v>
      </c>
      <c r="H24" s="342">
        <f t="shared" si="8"/>
        <v>0.74416666666666664</v>
      </c>
      <c r="I24" s="342">
        <f t="shared" si="8"/>
        <v>0.46249999999999997</v>
      </c>
      <c r="J24" s="342">
        <f t="shared" si="8"/>
        <v>0.01</v>
      </c>
    </row>
    <row r="25" spans="2:10" ht="21.75" customHeight="1">
      <c r="B25" s="1195">
        <v>2015</v>
      </c>
      <c r="C25" s="343" t="s">
        <v>1006</v>
      </c>
      <c r="D25" s="344">
        <v>-1.22</v>
      </c>
      <c r="E25" s="344">
        <v>15.63</v>
      </c>
      <c r="F25" s="344">
        <v>3.94</v>
      </c>
      <c r="G25" s="344">
        <v>10.84</v>
      </c>
      <c r="H25" s="344">
        <v>14.63</v>
      </c>
      <c r="I25" s="344">
        <v>15.13</v>
      </c>
      <c r="J25" s="344">
        <v>4.13</v>
      </c>
    </row>
    <row r="26" spans="2:10" ht="21.75" customHeight="1" thickBot="1">
      <c r="B26" s="1196"/>
      <c r="C26" s="345" t="s">
        <v>1007</v>
      </c>
      <c r="D26" s="346">
        <f t="shared" ref="D26:J26" si="9">D25/12</f>
        <v>-0.10166666666666667</v>
      </c>
      <c r="E26" s="346">
        <f t="shared" si="9"/>
        <v>1.3025</v>
      </c>
      <c r="F26" s="346">
        <f t="shared" si="9"/>
        <v>0.32833333333333331</v>
      </c>
      <c r="G26" s="346">
        <f t="shared" si="9"/>
        <v>0.90333333333333332</v>
      </c>
      <c r="H26" s="346">
        <f t="shared" si="9"/>
        <v>1.2191666666666667</v>
      </c>
      <c r="I26" s="346">
        <f t="shared" si="9"/>
        <v>1.2608333333333335</v>
      </c>
      <c r="J26" s="346">
        <f t="shared" si="9"/>
        <v>0.34416666666666668</v>
      </c>
    </row>
    <row r="27" spans="2:10" ht="21.75" customHeight="1">
      <c r="B27" s="1195">
        <v>2016</v>
      </c>
      <c r="C27" s="343" t="s">
        <v>1006</v>
      </c>
      <c r="D27" s="344">
        <v>11.16</v>
      </c>
      <c r="E27" s="344">
        <v>5.17</v>
      </c>
      <c r="F27" s="344">
        <v>1.22</v>
      </c>
      <c r="G27" s="344">
        <v>41.56</v>
      </c>
      <c r="H27" s="344">
        <v>6.51</v>
      </c>
      <c r="I27" s="344">
        <v>8.59</v>
      </c>
      <c r="J27" s="344">
        <v>6.2</v>
      </c>
    </row>
    <row r="28" spans="2:10" ht="21.75" customHeight="1" thickBot="1">
      <c r="B28" s="1196"/>
      <c r="C28" s="345" t="s">
        <v>1007</v>
      </c>
      <c r="D28" s="346">
        <f t="shared" ref="D28:J28" si="10">D27/12</f>
        <v>0.93</v>
      </c>
      <c r="E28" s="346">
        <f t="shared" si="10"/>
        <v>0.43083333333333335</v>
      </c>
      <c r="F28" s="346">
        <f t="shared" si="10"/>
        <v>0.10166666666666667</v>
      </c>
      <c r="G28" s="346">
        <f t="shared" si="10"/>
        <v>3.4633333333333334</v>
      </c>
      <c r="H28" s="346">
        <f t="shared" si="10"/>
        <v>0.54249999999999998</v>
      </c>
      <c r="I28" s="346">
        <f t="shared" si="10"/>
        <v>0.71583333333333332</v>
      </c>
      <c r="J28" s="346">
        <f t="shared" si="10"/>
        <v>0.51666666666666672</v>
      </c>
    </row>
    <row r="29" spans="2:10" ht="21.75" customHeight="1">
      <c r="B29" s="1195">
        <v>2017</v>
      </c>
      <c r="C29" s="343" t="s">
        <v>1006</v>
      </c>
      <c r="D29" s="344">
        <v>2.85</v>
      </c>
      <c r="E29" s="344">
        <v>14.66</v>
      </c>
      <c r="F29" s="344">
        <v>3.75</v>
      </c>
      <c r="G29" s="344">
        <v>0</v>
      </c>
      <c r="H29" s="344">
        <v>13.85</v>
      </c>
      <c r="I29" s="344">
        <v>6.43</v>
      </c>
      <c r="J29" s="344">
        <v>1.2</v>
      </c>
    </row>
    <row r="30" spans="2:10" ht="21.75" customHeight="1" thickBot="1">
      <c r="B30" s="1196"/>
      <c r="C30" s="345" t="s">
        <v>1007</v>
      </c>
      <c r="D30" s="346">
        <f t="shared" ref="D30:J30" si="11">D29/12</f>
        <v>0.23750000000000002</v>
      </c>
      <c r="E30" s="346">
        <f t="shared" si="11"/>
        <v>1.2216666666666667</v>
      </c>
      <c r="F30" s="346">
        <f t="shared" si="11"/>
        <v>0.3125</v>
      </c>
      <c r="G30" s="346">
        <f t="shared" si="11"/>
        <v>0</v>
      </c>
      <c r="H30" s="346">
        <f t="shared" si="11"/>
        <v>1.1541666666666666</v>
      </c>
      <c r="I30" s="346">
        <f t="shared" si="11"/>
        <v>0.53583333333333327</v>
      </c>
      <c r="J30" s="346">
        <f t="shared" si="11"/>
        <v>9.9999999999999992E-2</v>
      </c>
    </row>
    <row r="31" spans="2:10" ht="21.75" customHeight="1">
      <c r="B31" s="1195">
        <v>2018</v>
      </c>
      <c r="C31" s="343" t="s">
        <v>1006</v>
      </c>
      <c r="D31" s="344">
        <v>0.65</v>
      </c>
      <c r="E31" s="344">
        <v>3.76</v>
      </c>
      <c r="F31" s="344">
        <v>3.06</v>
      </c>
      <c r="G31" s="344">
        <v>0</v>
      </c>
      <c r="H31" s="344">
        <v>-3.1</v>
      </c>
      <c r="I31" s="344">
        <v>2.4</v>
      </c>
      <c r="J31" s="344">
        <v>-0.06</v>
      </c>
    </row>
    <row r="32" spans="2:10" ht="21.75" customHeight="1" thickBot="1">
      <c r="B32" s="1196"/>
      <c r="C32" s="345" t="s">
        <v>1007</v>
      </c>
      <c r="D32" s="346">
        <f t="shared" ref="D32:J34" si="12">D31/12</f>
        <v>5.4166666666666669E-2</v>
      </c>
      <c r="E32" s="346">
        <f t="shared" si="12"/>
        <v>0.3133333333333333</v>
      </c>
      <c r="F32" s="346">
        <f t="shared" si="12"/>
        <v>0.255</v>
      </c>
      <c r="G32" s="346">
        <f t="shared" si="12"/>
        <v>0</v>
      </c>
      <c r="H32" s="346">
        <f t="shared" si="12"/>
        <v>-0.25833333333333336</v>
      </c>
      <c r="I32" s="346">
        <f t="shared" si="12"/>
        <v>0.19999999999999998</v>
      </c>
      <c r="J32" s="346">
        <f t="shared" si="12"/>
        <v>-5.0000000000000001E-3</v>
      </c>
    </row>
    <row r="33" spans="2:10" ht="21.75" customHeight="1">
      <c r="B33" s="1195">
        <v>2019</v>
      </c>
      <c r="C33" s="343" t="s">
        <v>1006</v>
      </c>
      <c r="D33" s="344">
        <v>0.72</v>
      </c>
      <c r="E33" s="344">
        <v>3.45</v>
      </c>
      <c r="F33" s="344">
        <v>3.14</v>
      </c>
      <c r="G33" s="344">
        <v>1.88</v>
      </c>
      <c r="H33" s="344">
        <v>6.15</v>
      </c>
      <c r="I33" s="344">
        <v>3.2</v>
      </c>
      <c r="J33" s="344">
        <v>1.72</v>
      </c>
    </row>
    <row r="34" spans="2:10" ht="21.75" customHeight="1" thickBot="1">
      <c r="B34" s="1196"/>
      <c r="C34" s="345" t="s">
        <v>1007</v>
      </c>
      <c r="D34" s="346">
        <f>D33/12</f>
        <v>0.06</v>
      </c>
      <c r="E34" s="346">
        <f>E33/12</f>
        <v>0.28750000000000003</v>
      </c>
      <c r="F34" s="346">
        <f>F33/12</f>
        <v>0.26166666666666666</v>
      </c>
      <c r="G34" s="346">
        <f t="shared" si="12"/>
        <v>0.15666666666666665</v>
      </c>
      <c r="H34" s="346">
        <f t="shared" si="12"/>
        <v>0.51250000000000007</v>
      </c>
      <c r="I34" s="346">
        <f t="shared" si="12"/>
        <v>0.26666666666666666</v>
      </c>
      <c r="J34" s="346">
        <f t="shared" si="12"/>
        <v>0.14333333333333334</v>
      </c>
    </row>
    <row r="35" spans="2:10" ht="21.75" customHeight="1">
      <c r="B35" s="1195">
        <v>2020</v>
      </c>
      <c r="C35" s="343" t="s">
        <v>1006</v>
      </c>
      <c r="D35" s="344">
        <v>4.38</v>
      </c>
      <c r="E35" s="344">
        <v>9.81</v>
      </c>
      <c r="F35" s="344">
        <v>2.91</v>
      </c>
      <c r="G35" s="344">
        <v>0</v>
      </c>
      <c r="H35" s="344">
        <v>12.52</v>
      </c>
      <c r="I35" s="344">
        <v>5.08</v>
      </c>
      <c r="J35" s="344">
        <v>1.74</v>
      </c>
    </row>
    <row r="36" spans="2:10" ht="21.75" customHeight="1" thickBot="1">
      <c r="B36" s="1196"/>
      <c r="C36" s="345" t="s">
        <v>1007</v>
      </c>
      <c r="D36" s="346">
        <f t="shared" ref="D36:J36" si="13">D35/12</f>
        <v>0.36499999999999999</v>
      </c>
      <c r="E36" s="346">
        <f t="shared" si="13"/>
        <v>0.8175</v>
      </c>
      <c r="F36" s="346">
        <f t="shared" si="13"/>
        <v>0.24250000000000002</v>
      </c>
      <c r="G36" s="346">
        <f t="shared" si="13"/>
        <v>0</v>
      </c>
      <c r="H36" s="346">
        <f t="shared" si="13"/>
        <v>1.0433333333333332</v>
      </c>
      <c r="I36" s="346">
        <f t="shared" si="13"/>
        <v>0.42333333333333334</v>
      </c>
      <c r="J36" s="346">
        <f t="shared" si="13"/>
        <v>0.14499999999999999</v>
      </c>
    </row>
    <row r="37" spans="2:10" ht="21.75" customHeight="1">
      <c r="B37" s="1195">
        <v>2021</v>
      </c>
      <c r="C37" s="343" t="s">
        <v>1006</v>
      </c>
      <c r="D37" s="344">
        <v>-1.77</v>
      </c>
      <c r="E37" s="344">
        <v>27.11</v>
      </c>
      <c r="F37" s="344">
        <v>1.19</v>
      </c>
      <c r="G37" s="344">
        <v>0</v>
      </c>
      <c r="H37" s="344">
        <v>32.74</v>
      </c>
      <c r="I37" s="344">
        <v>0.31</v>
      </c>
      <c r="J37" s="344">
        <v>18.96</v>
      </c>
    </row>
    <row r="38" spans="2:10" ht="21.75" customHeight="1" thickBot="1">
      <c r="B38" s="1196"/>
      <c r="C38" s="345" t="s">
        <v>1007</v>
      </c>
      <c r="D38" s="346">
        <f t="shared" ref="D38:J38" si="14">D37/12</f>
        <v>-0.14749999999999999</v>
      </c>
      <c r="E38" s="346">
        <f t="shared" si="14"/>
        <v>2.2591666666666668</v>
      </c>
      <c r="F38" s="346">
        <f t="shared" si="14"/>
        <v>9.9166666666666667E-2</v>
      </c>
      <c r="G38" s="346">
        <f t="shared" si="14"/>
        <v>0</v>
      </c>
      <c r="H38" s="346">
        <f t="shared" si="14"/>
        <v>2.7283333333333335</v>
      </c>
      <c r="I38" s="346">
        <f t="shared" si="14"/>
        <v>2.5833333333333333E-2</v>
      </c>
      <c r="J38" s="346">
        <f t="shared" si="14"/>
        <v>1.58</v>
      </c>
    </row>
    <row r="39" spans="2:10" ht="21.75" customHeight="1">
      <c r="B39" s="1195">
        <v>2022</v>
      </c>
      <c r="C39" s="343" t="s">
        <v>1006</v>
      </c>
      <c r="D39" s="344">
        <v>11.01</v>
      </c>
      <c r="E39" s="344">
        <v>0.65</v>
      </c>
      <c r="F39" s="344">
        <v>8.5399999999999991</v>
      </c>
      <c r="G39" s="344">
        <v>0</v>
      </c>
      <c r="H39" s="344">
        <v>8.14</v>
      </c>
      <c r="I39" s="344">
        <v>23.24</v>
      </c>
      <c r="J39" s="344">
        <v>10.46</v>
      </c>
    </row>
    <row r="40" spans="2:10" ht="21.75" customHeight="1" thickBot="1">
      <c r="B40" s="1196"/>
      <c r="C40" s="345" t="s">
        <v>1007</v>
      </c>
      <c r="D40" s="346">
        <f t="shared" ref="D40:J40" si="15">D39/12</f>
        <v>0.91749999999999998</v>
      </c>
      <c r="E40" s="346">
        <f t="shared" si="15"/>
        <v>5.4166666666666669E-2</v>
      </c>
      <c r="F40" s="346">
        <f t="shared" si="15"/>
        <v>0.71166666666666656</v>
      </c>
      <c r="G40" s="346">
        <f t="shared" si="15"/>
        <v>0</v>
      </c>
      <c r="H40" s="346">
        <f t="shared" si="15"/>
        <v>0.67833333333333334</v>
      </c>
      <c r="I40" s="346">
        <f t="shared" si="15"/>
        <v>1.9366666666666665</v>
      </c>
      <c r="J40" s="346">
        <f t="shared" si="15"/>
        <v>0.8716666666666667</v>
      </c>
    </row>
    <row r="41" spans="2:10" ht="21.75" customHeight="1">
      <c r="B41" s="1195">
        <v>2023</v>
      </c>
      <c r="C41" s="343" t="s">
        <v>1006</v>
      </c>
      <c r="D41" s="344">
        <v>2.6</v>
      </c>
      <c r="E41" s="344">
        <v>2.61</v>
      </c>
      <c r="F41" s="344">
        <v>9.11</v>
      </c>
      <c r="G41" s="344">
        <v>0</v>
      </c>
      <c r="H41" s="344">
        <v>-4.21</v>
      </c>
      <c r="I41" s="344">
        <v>12.38</v>
      </c>
      <c r="J41" s="344">
        <v>7.65</v>
      </c>
    </row>
    <row r="42" spans="2:10" ht="21.75" customHeight="1" thickBot="1">
      <c r="B42" s="1196"/>
      <c r="C42" s="345" t="s">
        <v>1007</v>
      </c>
      <c r="D42" s="346">
        <f t="shared" ref="D42:J42" si="16">D41/12</f>
        <v>0.21666666666666667</v>
      </c>
      <c r="E42" s="346">
        <f t="shared" si="16"/>
        <v>0.2175</v>
      </c>
      <c r="F42" s="346">
        <f t="shared" si="16"/>
        <v>0.75916666666666666</v>
      </c>
      <c r="G42" s="346">
        <f t="shared" si="16"/>
        <v>0</v>
      </c>
      <c r="H42" s="346">
        <f t="shared" si="16"/>
        <v>-0.35083333333333333</v>
      </c>
      <c r="I42" s="346">
        <f t="shared" si="16"/>
        <v>1.0316666666666667</v>
      </c>
      <c r="J42" s="346">
        <f t="shared" si="16"/>
        <v>0.63750000000000007</v>
      </c>
    </row>
    <row r="43" spans="2:10" ht="21.75" customHeight="1">
      <c r="B43" s="347">
        <v>2024</v>
      </c>
      <c r="C43" s="343" t="s">
        <v>1006</v>
      </c>
      <c r="D43" s="344">
        <v>-3.74</v>
      </c>
      <c r="E43" s="344">
        <v>4.13</v>
      </c>
      <c r="F43" s="344">
        <v>3.37</v>
      </c>
      <c r="G43" s="344">
        <v>0</v>
      </c>
      <c r="H43" s="344">
        <v>5.61</v>
      </c>
      <c r="I43" s="344">
        <v>5.01</v>
      </c>
      <c r="J43" s="344">
        <v>5</v>
      </c>
    </row>
    <row r="44" spans="2:10" ht="21.75" customHeight="1" thickBot="1">
      <c r="B44" s="347"/>
      <c r="C44" s="345" t="s">
        <v>1007</v>
      </c>
      <c r="D44" s="346">
        <f t="shared" ref="D44:J44" si="17">D43/12</f>
        <v>-0.3116666666666667</v>
      </c>
      <c r="E44" s="346">
        <f t="shared" si="17"/>
        <v>0.34416666666666668</v>
      </c>
      <c r="F44" s="346">
        <f t="shared" si="17"/>
        <v>0.28083333333333332</v>
      </c>
      <c r="G44" s="346">
        <f t="shared" si="17"/>
        <v>0</v>
      </c>
      <c r="H44" s="346">
        <f t="shared" si="17"/>
        <v>0.46750000000000003</v>
      </c>
      <c r="I44" s="346">
        <f t="shared" si="17"/>
        <v>0.41749999999999998</v>
      </c>
      <c r="J44" s="346">
        <f t="shared" si="17"/>
        <v>0.41666666666666669</v>
      </c>
    </row>
    <row r="45" spans="2:10" ht="18.75" thickBot="1">
      <c r="B45" s="1197" t="s">
        <v>1008</v>
      </c>
      <c r="C45" s="348" t="s">
        <v>1006</v>
      </c>
      <c r="D45" s="349">
        <f>AVERAGE(D15,D17,D21,D23,D25,D27,D29,D31,D33,D35,D37,D39,D41,D43,D11,D13,D19,D9,D7,D5)</f>
        <v>5.4919999999999991</v>
      </c>
      <c r="E45" s="349">
        <f>AVERAGE(E15,E17,E21,E23,E25,E27,E29,E31,E33,E35,E37,E39,E41,E43,E11,E13,E19,E9,E7,E5)</f>
        <v>5.7780000000000005</v>
      </c>
      <c r="F45" s="349">
        <f>AVERAGE(F15,F17,F21,F23,F25,F27,F29,F31,F33,F35,F37,F39,F41,F43,F11,F13,F19,F9,F7,F5)</f>
        <v>5.2065000000000001</v>
      </c>
      <c r="G45" s="349">
        <f t="shared" ref="G45:J45" si="18">AVERAGE(G15,G17,G21,G23,G25,G27,G29,G31,G33,G35,G37,G39,G41,G43,G11,G13,G19,G9,G7,G5)</f>
        <v>3.4249999999999998</v>
      </c>
      <c r="H45" s="349">
        <f t="shared" si="18"/>
        <v>8.8425000000000011</v>
      </c>
      <c r="I45" s="349">
        <f t="shared" si="18"/>
        <v>6.6029999999999998</v>
      </c>
      <c r="J45" s="349">
        <f t="shared" si="18"/>
        <v>5.2150000000000007</v>
      </c>
    </row>
    <row r="46" spans="2:10" ht="18.75" thickBot="1">
      <c r="B46" s="1198"/>
      <c r="C46" s="350" t="s">
        <v>1007</v>
      </c>
      <c r="D46" s="349">
        <f>AVERAGE(D16,D18,D22,D24,D26,D28,D30,D32,D34,D36,D38,D40,D42,D44,D12,D14,D20,D10,D8,D6)</f>
        <v>0.45766666666666661</v>
      </c>
      <c r="E46" s="349">
        <f t="shared" ref="E46:I46" si="19">AVERAGE(E16,E18,E22,E24,E26,E28,E30,E32,E34,E36,E38,E40,E42,E44,E12,E14,E20,E10,E8,E6)</f>
        <v>0.48149999999999993</v>
      </c>
      <c r="F46" s="349">
        <f t="shared" si="19"/>
        <v>0.43387500000000001</v>
      </c>
      <c r="G46" s="349">
        <f t="shared" si="19"/>
        <v>0.28541666666666671</v>
      </c>
      <c r="H46" s="349">
        <f t="shared" si="19"/>
        <v>0.73687499999999984</v>
      </c>
      <c r="I46" s="349">
        <f t="shared" si="19"/>
        <v>0.55024999999999991</v>
      </c>
      <c r="J46" s="349">
        <f>AVERAGE(J16,J18,J22,J24,J26,J28,J30,J32,J34,J36,J38,J40,J42,J44,J12,J14,J20,J10,J8,J6)</f>
        <v>0.43458333333333343</v>
      </c>
    </row>
    <row r="47" spans="2:10" s="39" customFormat="1">
      <c r="B47" s="351" t="s">
        <v>1009</v>
      </c>
      <c r="C47" s="332" t="s">
        <v>1010</v>
      </c>
      <c r="D47" s="331"/>
      <c r="E47" s="331"/>
      <c r="F47" s="331"/>
      <c r="G47" s="331"/>
      <c r="H47" s="331"/>
      <c r="I47" s="331"/>
      <c r="J47" s="331"/>
    </row>
    <row r="48" spans="2:10" s="39" customFormat="1" ht="18.75" thickBot="1">
      <c r="B48" s="331"/>
      <c r="C48" s="332"/>
      <c r="D48" s="331"/>
      <c r="E48" s="331"/>
      <c r="F48" s="331"/>
      <c r="G48" s="331"/>
      <c r="H48" s="331"/>
      <c r="I48" s="331"/>
      <c r="J48" s="331"/>
    </row>
    <row r="49" spans="2:10" ht="54.75" thickBot="1">
      <c r="B49" s="352"/>
      <c r="C49" s="353" t="s">
        <v>1011</v>
      </c>
      <c r="D49" s="354" t="str">
        <f>+D3</f>
        <v>MC</v>
      </c>
      <c r="E49" s="354" t="str">
        <f t="shared" ref="E49:J49" si="20">+E3</f>
        <v>CM</v>
      </c>
      <c r="F49" s="354" t="str">
        <f t="shared" si="20"/>
        <v>MOOP</v>
      </c>
      <c r="G49" s="354" t="str">
        <f t="shared" si="20"/>
        <v>TA</v>
      </c>
      <c r="H49" s="354" t="str">
        <f t="shared" si="20"/>
        <v>IHS</v>
      </c>
      <c r="I49" s="354" t="str">
        <f t="shared" si="20"/>
        <v>MM</v>
      </c>
      <c r="J49" s="354" t="str">
        <f t="shared" si="20"/>
        <v>PI</v>
      </c>
    </row>
    <row r="50" spans="2:10" ht="29.25" customHeight="1" thickBot="1">
      <c r="B50" s="355" t="s">
        <v>1008</v>
      </c>
      <c r="C50" s="356" t="e">
        <f>SUM(D50:J50)</f>
        <v>#DIV/0!</v>
      </c>
      <c r="D50" s="357" t="e">
        <f>D46*D4/100</f>
        <v>#DIV/0!</v>
      </c>
      <c r="E50" s="357" t="e">
        <f>E46*E4/100</f>
        <v>#DIV/0!</v>
      </c>
      <c r="F50" s="357" t="e">
        <f>F46*F4/100</f>
        <v>#DIV/0!</v>
      </c>
      <c r="G50" s="357" t="e">
        <f t="shared" ref="G50:J50" si="21">G46*G4/100</f>
        <v>#DIV/0!</v>
      </c>
      <c r="H50" s="357" t="e">
        <f t="shared" si="21"/>
        <v>#DIV/0!</v>
      </c>
      <c r="I50" s="357" t="e">
        <f t="shared" si="21"/>
        <v>#DIV/0!</v>
      </c>
      <c r="J50" s="358" t="e">
        <f t="shared" si="21"/>
        <v>#DIV/0!</v>
      </c>
    </row>
    <row r="51" spans="2:10" s="39" customFormat="1">
      <c r="B51" s="331"/>
      <c r="C51" s="332"/>
      <c r="D51" s="331"/>
      <c r="E51" s="331"/>
      <c r="F51" s="331"/>
      <c r="G51" s="331"/>
      <c r="H51" s="331"/>
      <c r="I51" s="331"/>
      <c r="J51" s="331"/>
    </row>
    <row r="52" spans="2:10" s="39" customFormat="1" ht="18.75" thickBot="1">
      <c r="B52" s="331"/>
      <c r="C52" s="332"/>
      <c r="D52" s="331"/>
      <c r="E52" s="331"/>
      <c r="F52" s="331"/>
      <c r="G52" s="331"/>
      <c r="H52" s="331"/>
      <c r="I52" s="331"/>
      <c r="J52" s="331"/>
    </row>
    <row r="53" spans="2:10" ht="36.75" thickBot="1">
      <c r="B53" s="359" t="s">
        <v>1012</v>
      </c>
      <c r="C53" s="360" t="s">
        <v>1013</v>
      </c>
      <c r="D53" s="360" t="s">
        <v>1014</v>
      </c>
      <c r="E53" s="361" t="s">
        <v>1015</v>
      </c>
      <c r="F53" s="331"/>
      <c r="G53" s="331"/>
      <c r="H53" s="331"/>
      <c r="I53" s="331"/>
      <c r="J53" s="331"/>
    </row>
    <row r="54" spans="2:10" ht="26.25" customHeight="1">
      <c r="B54" s="362">
        <v>1</v>
      </c>
      <c r="C54" s="363">
        <f>+'Flujo de caja '!D7</f>
        <v>0</v>
      </c>
      <c r="D54" s="364" t="e">
        <f>$C$50*B54</f>
        <v>#DIV/0!</v>
      </c>
      <c r="E54" s="365" t="e">
        <f>C54*D54</f>
        <v>#DIV/0!</v>
      </c>
      <c r="F54" s="331"/>
      <c r="G54" s="331"/>
      <c r="H54" s="331"/>
      <c r="I54" s="331"/>
      <c r="J54" s="331"/>
    </row>
    <row r="55" spans="2:10" ht="26.25" customHeight="1">
      <c r="B55" s="366">
        <v>2</v>
      </c>
      <c r="C55" s="367">
        <f>+'Flujo de caja '!E7</f>
        <v>0</v>
      </c>
      <c r="D55" s="368" t="e">
        <f>$C$50*B55</f>
        <v>#DIV/0!</v>
      </c>
      <c r="E55" s="369" t="e">
        <f>C55*D55</f>
        <v>#DIV/0!</v>
      </c>
      <c r="F55" s="331"/>
      <c r="G55" s="331"/>
      <c r="H55" s="331"/>
      <c r="I55" s="331"/>
      <c r="J55" s="331"/>
    </row>
    <row r="56" spans="2:10" ht="26.25" customHeight="1">
      <c r="B56" s="370">
        <v>3</v>
      </c>
      <c r="C56" s="371">
        <f>+'Flujo de caja '!F7</f>
        <v>0</v>
      </c>
      <c r="D56" s="372" t="e">
        <f>$C$50*B56</f>
        <v>#DIV/0!</v>
      </c>
      <c r="E56" s="373" t="e">
        <f>C56*D56</f>
        <v>#DIV/0!</v>
      </c>
      <c r="F56" s="331"/>
      <c r="G56" s="331"/>
      <c r="H56" s="331"/>
      <c r="I56" s="331"/>
      <c r="J56" s="331"/>
    </row>
    <row r="57" spans="2:10" ht="26.25" customHeight="1" thickBot="1">
      <c r="B57" s="370">
        <v>4</v>
      </c>
      <c r="C57" s="371">
        <f>+'Flujo de caja '!G7</f>
        <v>0</v>
      </c>
      <c r="D57" s="372" t="e">
        <f>$C$50*B57</f>
        <v>#DIV/0!</v>
      </c>
      <c r="E57" s="373" t="e">
        <f>C57*D57</f>
        <v>#DIV/0!</v>
      </c>
      <c r="F57" s="331"/>
      <c r="G57" s="331"/>
      <c r="H57" s="331"/>
      <c r="I57" s="331"/>
      <c r="J57" s="331"/>
    </row>
    <row r="58" spans="2:10" ht="23.25" customHeight="1" thickBot="1">
      <c r="B58" s="1199" t="s">
        <v>1016</v>
      </c>
      <c r="C58" s="1200"/>
      <c r="D58" s="1201"/>
      <c r="E58" s="374" t="e">
        <f>SUM(E54:E57)</f>
        <v>#DIV/0!</v>
      </c>
      <c r="F58" s="725"/>
      <c r="G58" s="331"/>
      <c r="H58" s="331"/>
      <c r="I58" s="331"/>
      <c r="J58" s="331"/>
    </row>
    <row r="59" spans="2:10" ht="23.25" customHeight="1" thickBot="1">
      <c r="B59" s="1202" t="s">
        <v>1017</v>
      </c>
      <c r="C59" s="1203"/>
      <c r="D59" s="1204"/>
      <c r="E59" s="375">
        <f>+'OFERTA ECONOMICA'!F99</f>
        <v>0</v>
      </c>
      <c r="F59" s="726"/>
      <c r="G59" s="331"/>
      <c r="H59" s="331"/>
      <c r="I59" s="331"/>
      <c r="J59" s="331"/>
    </row>
    <row r="60" spans="2:10" ht="23.25" customHeight="1" thickBot="1">
      <c r="B60" s="1202" t="s">
        <v>1018</v>
      </c>
      <c r="C60" s="1203"/>
      <c r="D60" s="1204"/>
      <c r="E60" s="376" t="e">
        <f>+E58/E59</f>
        <v>#DIV/0!</v>
      </c>
      <c r="F60" s="331"/>
      <c r="G60" s="331"/>
      <c r="H60" s="331"/>
      <c r="I60" s="331"/>
      <c r="J60" s="331"/>
    </row>
    <row r="61" spans="2:10" s="39" customFormat="1">
      <c r="B61" s="331"/>
      <c r="C61" s="332"/>
      <c r="D61" s="331"/>
      <c r="E61" s="331"/>
      <c r="F61" s="331"/>
      <c r="G61" s="331"/>
      <c r="H61" s="331"/>
      <c r="I61" s="331"/>
      <c r="J61" s="331"/>
    </row>
  </sheetData>
  <mergeCells count="25">
    <mergeCell ref="B41:B42"/>
    <mergeCell ref="B45:B46"/>
    <mergeCell ref="B58:D58"/>
    <mergeCell ref="B59:D59"/>
    <mergeCell ref="B60:D60"/>
    <mergeCell ref="B39:B40"/>
    <mergeCell ref="B15:B16"/>
    <mergeCell ref="B17:B18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19:B20"/>
    <mergeCell ref="B13:B14"/>
    <mergeCell ref="B11:B12"/>
    <mergeCell ref="B1:J1"/>
    <mergeCell ref="B3:B4"/>
    <mergeCell ref="B5:B6"/>
    <mergeCell ref="B7:B8"/>
    <mergeCell ref="B9:B10"/>
  </mergeCells>
  <pageMargins left="0.7" right="0.7" top="0.75" bottom="0.75" header="0.3" footer="0.3"/>
  <pageSetup paperSize="9" scale="3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67377-4F52-48DB-856B-135120E7552B}">
  <dimension ref="A1:J22"/>
  <sheetViews>
    <sheetView workbookViewId="0">
      <selection activeCell="E5" sqref="E5"/>
    </sheetView>
  </sheetViews>
  <sheetFormatPr baseColWidth="10" defaultColWidth="11.42578125" defaultRowHeight="18"/>
  <cols>
    <col min="1" max="1" width="32" style="495" customWidth="1"/>
    <col min="2" max="2" width="13.5703125" style="495" customWidth="1"/>
    <col min="3" max="3" width="3.140625" style="495" bestFit="1" customWidth="1"/>
    <col min="4" max="4" width="21.140625" style="495" bestFit="1" customWidth="1"/>
    <col min="5" max="7" width="24.42578125" style="495" bestFit="1" customWidth="1"/>
    <col min="8" max="8" width="24.42578125" style="495" customWidth="1"/>
    <col min="9" max="9" width="17.7109375" style="495" customWidth="1"/>
    <col min="10" max="10" width="24.42578125" style="495" bestFit="1" customWidth="1"/>
    <col min="11" max="16384" width="11.42578125" style="466"/>
  </cols>
  <sheetData>
    <row r="1" spans="1:10" ht="51.6" customHeight="1" thickBot="1">
      <c r="A1" s="1209" t="s">
        <v>1019</v>
      </c>
      <c r="B1" s="1210"/>
      <c r="C1" s="1210"/>
      <c r="D1" s="1210"/>
      <c r="E1" s="1210"/>
      <c r="F1" s="1210"/>
      <c r="G1" s="1210"/>
      <c r="H1" s="1210"/>
      <c r="I1" s="1210"/>
      <c r="J1" s="1211"/>
    </row>
    <row r="2" spans="1:10" s="468" customFormat="1" ht="13.9" customHeight="1" thickBot="1">
      <c r="A2" s="467"/>
      <c r="B2" s="467"/>
      <c r="C2" s="467"/>
      <c r="D2" s="467"/>
      <c r="E2" s="467"/>
      <c r="F2" s="467"/>
      <c r="G2" s="467"/>
      <c r="H2" s="467"/>
      <c r="I2" s="467"/>
      <c r="J2" s="467"/>
    </row>
    <row r="3" spans="1:10" ht="13.9" customHeight="1">
      <c r="A3" s="1212" t="s">
        <v>610</v>
      </c>
      <c r="B3" s="1213"/>
      <c r="C3" s="1213"/>
      <c r="D3" s="1215" t="s">
        <v>1020</v>
      </c>
      <c r="E3" s="1215" t="s">
        <v>1021</v>
      </c>
      <c r="F3" s="1215" t="s">
        <v>1022</v>
      </c>
      <c r="G3" s="1215" t="s">
        <v>1023</v>
      </c>
      <c r="H3" s="1215" t="s">
        <v>1024</v>
      </c>
      <c r="I3" s="1205" t="s">
        <v>1025</v>
      </c>
      <c r="J3" s="1207" t="s">
        <v>1026</v>
      </c>
    </row>
    <row r="4" spans="1:10" ht="15.75" thickBot="1">
      <c r="A4" s="1214"/>
      <c r="B4" s="1206"/>
      <c r="C4" s="1206"/>
      <c r="D4" s="1216"/>
      <c r="E4" s="1216"/>
      <c r="F4" s="1216"/>
      <c r="G4" s="1216"/>
      <c r="H4" s="1216"/>
      <c r="I4" s="1206"/>
      <c r="J4" s="1208"/>
    </row>
    <row r="5" spans="1:10" ht="18.75" thickBot="1">
      <c r="A5" s="469" t="s">
        <v>728</v>
      </c>
      <c r="B5" s="470"/>
      <c r="C5" s="470"/>
      <c r="D5" s="470"/>
      <c r="E5" s="470"/>
      <c r="F5" s="470"/>
      <c r="G5" s="470"/>
      <c r="H5" s="470"/>
      <c r="I5" s="470"/>
      <c r="J5" s="471"/>
    </row>
    <row r="6" spans="1:10" s="474" customFormat="1" ht="13.9" customHeight="1">
      <c r="A6" s="1217" t="s">
        <v>1027</v>
      </c>
      <c r="B6" s="1218"/>
      <c r="C6" s="1221" t="s">
        <v>1028</v>
      </c>
      <c r="D6" s="472">
        <v>0.2</v>
      </c>
      <c r="E6" s="472">
        <v>0.3</v>
      </c>
      <c r="F6" s="472">
        <v>0.3</v>
      </c>
      <c r="G6" s="473">
        <v>0.2</v>
      </c>
      <c r="H6" s="473"/>
      <c r="I6" s="1223">
        <f>SUM(D6:G6)</f>
        <v>1</v>
      </c>
      <c r="J6" s="1225">
        <f>+'OFERTA ECONOMICA'!F99</f>
        <v>0</v>
      </c>
    </row>
    <row r="7" spans="1:10" s="474" customFormat="1">
      <c r="A7" s="1219"/>
      <c r="B7" s="1220"/>
      <c r="C7" s="1222"/>
      <c r="D7" s="475">
        <f>+$J$6*D6</f>
        <v>0</v>
      </c>
      <c r="E7" s="475">
        <f>+$J$6*E6</f>
        <v>0</v>
      </c>
      <c r="F7" s="475">
        <f>+$J$6*F6</f>
        <v>0</v>
      </c>
      <c r="G7" s="475">
        <f>+$J$6*G6</f>
        <v>0</v>
      </c>
      <c r="H7" s="475"/>
      <c r="I7" s="1224"/>
      <c r="J7" s="1226"/>
    </row>
    <row r="8" spans="1:10" s="474" customFormat="1" ht="13.9" customHeight="1">
      <c r="A8" s="1219" t="s">
        <v>1029</v>
      </c>
      <c r="B8" s="1220"/>
      <c r="C8" s="1222" t="s">
        <v>1028</v>
      </c>
      <c r="D8" s="476">
        <f>+D6</f>
        <v>0.2</v>
      </c>
      <c r="E8" s="476">
        <f>+E6+D8</f>
        <v>0.5</v>
      </c>
      <c r="F8" s="476">
        <f t="shared" ref="F8:G9" si="0">+F6+E8</f>
        <v>0.8</v>
      </c>
      <c r="G8" s="476">
        <f t="shared" si="0"/>
        <v>1</v>
      </c>
      <c r="H8" s="476"/>
      <c r="I8" s="1224">
        <f>+G8</f>
        <v>1</v>
      </c>
      <c r="J8" s="1226">
        <f>+J6</f>
        <v>0</v>
      </c>
    </row>
    <row r="9" spans="1:10" s="474" customFormat="1">
      <c r="A9" s="1219"/>
      <c r="B9" s="1220"/>
      <c r="C9" s="1222"/>
      <c r="D9" s="475">
        <f>+D7</f>
        <v>0</v>
      </c>
      <c r="E9" s="475">
        <f>+E7+D9</f>
        <v>0</v>
      </c>
      <c r="F9" s="475">
        <f t="shared" si="0"/>
        <v>0</v>
      </c>
      <c r="G9" s="475">
        <f t="shared" si="0"/>
        <v>0</v>
      </c>
      <c r="H9" s="475"/>
      <c r="I9" s="1224"/>
      <c r="J9" s="1226"/>
    </row>
    <row r="10" spans="1:10" s="474" customFormat="1">
      <c r="A10" s="477"/>
      <c r="B10" s="478"/>
      <c r="C10" s="478"/>
      <c r="D10" s="478"/>
      <c r="E10" s="478"/>
      <c r="F10" s="478"/>
      <c r="G10" s="478"/>
      <c r="H10" s="478"/>
      <c r="I10" s="478"/>
      <c r="J10" s="479"/>
    </row>
    <row r="11" spans="1:10" s="474" customFormat="1">
      <c r="A11" s="480" t="s">
        <v>1030</v>
      </c>
      <c r="B11" s="481">
        <v>0</v>
      </c>
      <c r="C11" s="482" t="s">
        <v>1028</v>
      </c>
      <c r="D11" s="475">
        <f>+ROUND(D7*$B$11,0)</f>
        <v>0</v>
      </c>
      <c r="E11" s="475">
        <f>+ROUND(E7*$B$11,0)</f>
        <v>0</v>
      </c>
      <c r="F11" s="475">
        <f t="shared" ref="F11" si="1">+ROUND(F7*$B$11,0)</f>
        <v>0</v>
      </c>
      <c r="G11" s="483"/>
      <c r="H11" s="483"/>
      <c r="I11" s="484" t="e">
        <f>+J11/J6</f>
        <v>#DIV/0!</v>
      </c>
      <c r="J11" s="485">
        <f>+SUM(D11:G11)</f>
        <v>0</v>
      </c>
    </row>
    <row r="12" spans="1:10" s="474" customFormat="1">
      <c r="A12" s="477"/>
      <c r="B12" s="478"/>
      <c r="C12" s="478"/>
      <c r="D12" s="478"/>
      <c r="E12" s="478"/>
      <c r="F12" s="478"/>
      <c r="G12" s="478"/>
      <c r="H12" s="478"/>
      <c r="I12" s="478"/>
      <c r="J12" s="479"/>
    </row>
    <row r="13" spans="1:10" s="474" customFormat="1">
      <c r="A13" s="1219" t="s">
        <v>1031</v>
      </c>
      <c r="B13" s="1220"/>
      <c r="C13" s="1222" t="s">
        <v>1028</v>
      </c>
      <c r="D13" s="476" t="e">
        <f>+D14/$J$8</f>
        <v>#DIV/0!</v>
      </c>
      <c r="E13" s="476" t="e">
        <f>+E14/$J$8</f>
        <v>#DIV/0!</v>
      </c>
      <c r="F13" s="476" t="e">
        <f>+F14/$J$8</f>
        <v>#DIV/0!</v>
      </c>
      <c r="G13" s="476" t="e">
        <f>+G14/$J$8</f>
        <v>#DIV/0!</v>
      </c>
      <c r="H13" s="476"/>
      <c r="I13" s="1224" t="e">
        <f>SUM(D13:G13)</f>
        <v>#DIV/0!</v>
      </c>
      <c r="J13" s="1226">
        <f>SUM(D14:G14)</f>
        <v>0</v>
      </c>
    </row>
    <row r="14" spans="1:10" s="474" customFormat="1">
      <c r="A14" s="1219"/>
      <c r="B14" s="1220"/>
      <c r="C14" s="1222"/>
      <c r="D14" s="475">
        <f>+D7-D11</f>
        <v>0</v>
      </c>
      <c r="E14" s="475">
        <f>+E7-E11</f>
        <v>0</v>
      </c>
      <c r="F14" s="475">
        <f t="shared" ref="F14:G14" si="2">+F7-F11</f>
        <v>0</v>
      </c>
      <c r="G14" s="475">
        <f t="shared" si="2"/>
        <v>0</v>
      </c>
      <c r="H14" s="475"/>
      <c r="I14" s="1224"/>
      <c r="J14" s="1226"/>
    </row>
    <row r="15" spans="1:10" s="474" customFormat="1">
      <c r="A15" s="1219" t="s">
        <v>1032</v>
      </c>
      <c r="B15" s="1220"/>
      <c r="C15" s="1222" t="s">
        <v>1028</v>
      </c>
      <c r="D15" s="476" t="e">
        <f>+D13</f>
        <v>#DIV/0!</v>
      </c>
      <c r="E15" s="476" t="e">
        <f>+E13+D15</f>
        <v>#DIV/0!</v>
      </c>
      <c r="F15" s="476" t="e">
        <f t="shared" ref="F15:G16" si="3">+F13+E15</f>
        <v>#DIV/0!</v>
      </c>
      <c r="G15" s="476" t="e">
        <f t="shared" si="3"/>
        <v>#DIV/0!</v>
      </c>
      <c r="H15" s="476"/>
      <c r="I15" s="1224" t="e">
        <f>+G15</f>
        <v>#DIV/0!</v>
      </c>
      <c r="J15" s="1226">
        <f>+G16</f>
        <v>0</v>
      </c>
    </row>
    <row r="16" spans="1:10" s="474" customFormat="1">
      <c r="A16" s="1219"/>
      <c r="B16" s="1220"/>
      <c r="C16" s="1222"/>
      <c r="D16" s="475">
        <f>+D14</f>
        <v>0</v>
      </c>
      <c r="E16" s="475">
        <f>+E14+D16</f>
        <v>0</v>
      </c>
      <c r="F16" s="475">
        <f t="shared" si="3"/>
        <v>0</v>
      </c>
      <c r="G16" s="475">
        <f t="shared" si="3"/>
        <v>0</v>
      </c>
      <c r="H16" s="475"/>
      <c r="I16" s="1224"/>
      <c r="J16" s="1226"/>
    </row>
    <row r="17" spans="1:10" s="474" customFormat="1">
      <c r="A17" s="477"/>
      <c r="B17" s="478"/>
      <c r="C17" s="478"/>
      <c r="D17" s="478"/>
      <c r="E17" s="478"/>
      <c r="F17" s="478"/>
      <c r="G17" s="478"/>
      <c r="H17" s="478"/>
      <c r="I17" s="478"/>
      <c r="J17" s="479"/>
    </row>
    <row r="18" spans="1:10" s="474" customFormat="1">
      <c r="A18" s="1227" t="s">
        <v>1033</v>
      </c>
      <c r="B18" s="1228"/>
      <c r="C18" s="1222" t="s">
        <v>1028</v>
      </c>
      <c r="D18" s="627">
        <v>0</v>
      </c>
      <c r="E18" s="475">
        <f>+D7</f>
        <v>0</v>
      </c>
      <c r="F18" s="475">
        <f>+E7</f>
        <v>0</v>
      </c>
      <c r="G18" s="475">
        <f>+F7</f>
        <v>0</v>
      </c>
      <c r="H18" s="475">
        <f>+G7</f>
        <v>0</v>
      </c>
      <c r="I18" s="486"/>
      <c r="J18" s="487">
        <f>SUM(E18:H18)</f>
        <v>0</v>
      </c>
    </row>
    <row r="19" spans="1:10" s="474" customFormat="1" ht="18.75" thickBot="1">
      <c r="A19" s="1230" t="s">
        <v>1034</v>
      </c>
      <c r="B19" s="1231"/>
      <c r="C19" s="1229"/>
      <c r="D19" s="627">
        <v>0</v>
      </c>
      <c r="E19" s="475">
        <f>+E18</f>
        <v>0</v>
      </c>
      <c r="F19" s="488">
        <f t="shared" ref="F19:G19" si="4">+F18+E19</f>
        <v>0</v>
      </c>
      <c r="G19" s="488">
        <f t="shared" si="4"/>
        <v>0</v>
      </c>
      <c r="H19" s="488">
        <f>+H18+G19</f>
        <v>0</v>
      </c>
      <c r="I19" s="489"/>
      <c r="J19" s="490">
        <f>+H19</f>
        <v>0</v>
      </c>
    </row>
    <row r="20" spans="1:10">
      <c r="A20" s="491"/>
      <c r="B20" s="492"/>
      <c r="C20" s="492"/>
      <c r="D20" s="493"/>
      <c r="E20" s="493"/>
      <c r="F20" s="492"/>
      <c r="G20" s="493"/>
      <c r="H20" s="493"/>
      <c r="I20" s="493"/>
      <c r="J20" s="494"/>
    </row>
    <row r="21" spans="1:10" ht="17.45" hidden="1" customHeight="1"/>
    <row r="22" spans="1:10" ht="17.45" hidden="1" customHeight="1"/>
  </sheetData>
  <mergeCells count="28">
    <mergeCell ref="I13:I14"/>
    <mergeCell ref="J13:J14"/>
    <mergeCell ref="I15:I16"/>
    <mergeCell ref="J15:J16"/>
    <mergeCell ref="A18:B18"/>
    <mergeCell ref="C18:C19"/>
    <mergeCell ref="A19:B19"/>
    <mergeCell ref="A13:B14"/>
    <mergeCell ref="C13:C14"/>
    <mergeCell ref="A15:B16"/>
    <mergeCell ref="C15:C16"/>
    <mergeCell ref="A6:B7"/>
    <mergeCell ref="C6:C7"/>
    <mergeCell ref="I6:I7"/>
    <mergeCell ref="J6:J7"/>
    <mergeCell ref="A8:B9"/>
    <mergeCell ref="C8:C9"/>
    <mergeCell ref="I8:I9"/>
    <mergeCell ref="J8:J9"/>
    <mergeCell ref="I3:I4"/>
    <mergeCell ref="J3:J4"/>
    <mergeCell ref="A1:J1"/>
    <mergeCell ref="A3:C4"/>
    <mergeCell ref="D3:D4"/>
    <mergeCell ref="E3:E4"/>
    <mergeCell ref="F3:F4"/>
    <mergeCell ref="G3:G4"/>
    <mergeCell ref="H3:H4"/>
  </mergeCells>
  <phoneticPr fontId="10" type="noConversion"/>
  <conditionalFormatting sqref="B11">
    <cfRule type="expression" dxfId="0" priority="1">
      <formula>ISBLANK(#REF!)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CDB0C28B04AC4491201F8E10CBCDC2" ma:contentTypeVersion="20" ma:contentTypeDescription="Crear nuevo documento." ma:contentTypeScope="" ma:versionID="11bfdea1b6a5d5d173819d52df805b30">
  <xsd:schema xmlns:xsd="http://www.w3.org/2001/XMLSchema" xmlns:xs="http://www.w3.org/2001/XMLSchema" xmlns:p="http://schemas.microsoft.com/office/2006/metadata/properties" xmlns:ns2="a22275f5-d255-40c4-a29f-53e989c8914e" xmlns:ns3="737039f0-166a-4173-975a-2d2fbfebe0ce" targetNamespace="http://schemas.microsoft.com/office/2006/metadata/properties" ma:root="true" ma:fieldsID="9ec00d82d555a681ddb6dc34df5d0d27" ns2:_="" ns3:_="">
    <xsd:import namespace="a22275f5-d255-40c4-a29f-53e989c8914e"/>
    <xsd:import namespace="737039f0-166a-4173-975a-2d2fbfebe0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fech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_x00f1_o" minOccurs="0"/>
                <xsd:element ref="ns2:Tipo_x002e_" minOccurs="0"/>
                <xsd:element ref="ns2:Supervisor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2275f5-d255-40c4-a29f-53e989c891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echa" ma:index="12" nillable="true" ma:displayName="Fecha Fin" ma:default="[today]" ma:format="DateOnly" ma:internalName="fecha">
      <xsd:simpleType>
        <xsd:restriction base="dms:DateTim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b76bf12-2dd1-421c-85c1-6cbd122a11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A_x00f1_o" ma:index="22" nillable="true" ma:displayName="Nº Contrato" ma:format="Dropdown" ma:internalName="A_x00f1_o">
      <xsd:simpleType>
        <xsd:restriction base="dms:Text">
          <xsd:maxLength value="255"/>
        </xsd:restriction>
      </xsd:simpleType>
    </xsd:element>
    <xsd:element name="Tipo_x002e_" ma:index="23" nillable="true" ma:displayName="Tipo" ma:format="Dropdown" ma:internalName="Tipo_x002e_">
      <xsd:simpleType>
        <xsd:restriction base="dms:Choice">
          <xsd:enumeration value="Diseño"/>
          <xsd:enumeration value="Diseño y Obra"/>
          <xsd:enumeration value="Interventoría"/>
          <xsd:enumeration value="Otro"/>
          <xsd:enumeration value="Seguridad"/>
          <xsd:enumeration value="Construccion"/>
        </xsd:restriction>
      </xsd:simpleType>
    </xsd:element>
    <xsd:element name="Supervisor" ma:index="24" nillable="true" ma:displayName="Supervisor" ma:format="Dropdown" ma:internalName="Supervisor">
      <xsd:simpleType>
        <xsd:restriction base="dms:Text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039f0-166a-4173-975a-2d2fbfebe0c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7f661d38-919c-4059-84ad-4787a183d489}" ma:internalName="TaxCatchAll" ma:showField="CatchAllData" ma:web="737039f0-166a-4173-975a-2d2fbfebe0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e_ xmlns="a22275f5-d255-40c4-a29f-53e989c8914e" xsi:nil="true"/>
    <lcf76f155ced4ddcb4097134ff3c332f xmlns="a22275f5-d255-40c4-a29f-53e989c8914e">
      <Terms xmlns="http://schemas.microsoft.com/office/infopath/2007/PartnerControls"/>
    </lcf76f155ced4ddcb4097134ff3c332f>
    <A_x00f1_o xmlns="a22275f5-d255-40c4-a29f-53e989c8914e" xsi:nil="true"/>
    <Supervisor xmlns="a22275f5-d255-40c4-a29f-53e989c8914e" xsi:nil="true"/>
    <fecha xmlns="a22275f5-d255-40c4-a29f-53e989c8914e">2024-12-12T19:44:43+00:00</fecha>
    <TaxCatchAll xmlns="737039f0-166a-4173-975a-2d2fbfebe0ce" xsi:nil="true"/>
  </documentManagement>
</p:properties>
</file>

<file path=customXml/itemProps1.xml><?xml version="1.0" encoding="utf-8"?>
<ds:datastoreItem xmlns:ds="http://schemas.openxmlformats.org/officeDocument/2006/customXml" ds:itemID="{A7E7A7DB-DFFF-4F55-9C34-750956D4D0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2275f5-d255-40c4-a29f-53e989c8914e"/>
    <ds:schemaRef ds:uri="737039f0-166a-4173-975a-2d2fbfebe0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ADA3CF-E9EA-43AA-BB13-1196C7DD50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398DA7-FD52-4028-8671-0203AE308CD9}">
  <ds:schemaRefs>
    <ds:schemaRef ds:uri="http://schemas.microsoft.com/office/2006/metadata/properties"/>
    <ds:schemaRef ds:uri="http://schemas.microsoft.com/office/infopath/2007/PartnerControls"/>
    <ds:schemaRef ds:uri="a22275f5-d255-40c4-a29f-53e989c8914e"/>
    <ds:schemaRef ds:uri="737039f0-166a-4173-975a-2d2fbfebe0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6</vt:i4>
      </vt:variant>
    </vt:vector>
  </HeadingPairs>
  <TitlesOfParts>
    <vt:vector size="17" baseType="lpstr">
      <vt:lpstr>OFERTA ECONOMICA</vt:lpstr>
      <vt:lpstr>AU </vt:lpstr>
      <vt:lpstr>Subanalisis AU </vt:lpstr>
      <vt:lpstr>A.P.U</vt:lpstr>
      <vt:lpstr>sub M. DE OBRA</vt:lpstr>
      <vt:lpstr>Tabla Salarial </vt:lpstr>
      <vt:lpstr>Póliza </vt:lpstr>
      <vt:lpstr>INDICES DE CAMACOL</vt:lpstr>
      <vt:lpstr>Fórmula Reajuste </vt:lpstr>
      <vt:lpstr>Cálculo reajuste</vt:lpstr>
      <vt:lpstr>Flujo de caja </vt:lpstr>
      <vt:lpstr>'AU '!Área_de_impresión</vt:lpstr>
      <vt:lpstr>'Cálculo reajuste'!Área_de_impresión</vt:lpstr>
      <vt:lpstr>'Fórmula Reajuste '!Área_de_impresión</vt:lpstr>
      <vt:lpstr>'OFERTA ECONOMICA'!Área_de_impresión</vt:lpstr>
      <vt:lpstr>'Póliza '!Área_de_impresión</vt:lpstr>
      <vt:lpstr>'Tabla Salarial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JTaborda21</dc:creator>
  <cp:keywords/>
  <dc:description/>
  <cp:lastModifiedBy>JUAN  DAVID CARMONA</cp:lastModifiedBy>
  <cp:revision/>
  <dcterms:created xsi:type="dcterms:W3CDTF">2021-05-19T22:40:32Z</dcterms:created>
  <dcterms:modified xsi:type="dcterms:W3CDTF">2026-02-18T21:07:46Z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0x01010034CDB0C28B04AC4491201F8E10CBCDC2</vt:lpwstr>
  </property>
  <property fmtid="{D5CDD505-2E9C-101B-9397-08002B2CF9AE}" pid="3" name="MediaServiceImageTags">
    <vt:lpwstr/>
  </property>
</Properties>
</file>