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201"/>
  <workbookPr defaultThemeVersion="166925"/>
  <mc:AlternateContent xmlns:mc="http://schemas.openxmlformats.org/markup-compatibility/2006">
    <mc:Choice Requires="x15">
      <x15ac:absPath xmlns:x15ac="http://schemas.microsoft.com/office/spreadsheetml/2010/11/ac" url="/Users/macbook/Documents/2026/la paz/minimas/via bodega/"/>
    </mc:Choice>
  </mc:AlternateContent>
  <xr:revisionPtr revIDLastSave="0" documentId="8_{64637596-1D09-BE46-935F-068B16A0AB66}" xr6:coauthVersionLast="47" xr6:coauthVersionMax="47" xr10:uidLastSave="{00000000-0000-0000-0000-000000000000}"/>
  <bookViews>
    <workbookView xWindow="0" yWindow="740" windowWidth="20740" windowHeight="11160" tabRatio="632" activeTab="4" xr2:uid="{00000000-000D-0000-FFFF-FFFF00000000}"/>
  </bookViews>
  <sheets>
    <sheet name="H1" sheetId="13" r:id="rId1"/>
    <sheet name="CRONOGRAMA" sheetId="14" r:id="rId2"/>
    <sheet name="H2" sheetId="15" r:id="rId3"/>
    <sheet name="PRESUPUESTO" sheetId="21" r:id="rId4"/>
    <sheet name="AIU" sheetId="23" r:id="rId5"/>
    <sheet name="H3" sheetId="16" r:id="rId6"/>
    <sheet name="APU " sheetId="4" r:id="rId7"/>
    <sheet name="H4" sheetId="18" r:id="rId8"/>
    <sheet name="CANTIDADES" sheetId="22" r:id="rId9"/>
    <sheet name="H5" sheetId="19" r:id="rId10"/>
    <sheet name="MANO DE OBRA" sheetId="17" r:id="rId11"/>
    <sheet name="PPTO 2" sheetId="8" state="hidden" r:id="rId12"/>
    <sheet name="APU 2" sheetId="10" state="hidden" r:id="rId13"/>
    <sheet name="Cantidad 2" sheetId="9" state="hidden" r:id="rId14"/>
    <sheet name="Cronograma 2" sheetId="12" state="hidden" r:id="rId15"/>
    <sheet name="APU VIADUCTO" sheetId="5" state="hidden" r:id="rId16"/>
    <sheet name="ANALISIS BASICOS E INSUMOS" sheetId="7" state="hidden" r:id="rId17"/>
  </sheets>
  <externalReferences>
    <externalReference r:id="rId18"/>
    <externalReference r:id="rId19"/>
    <externalReference r:id="rId20"/>
    <externalReference r:id="rId21"/>
    <externalReference r:id="rId22"/>
    <externalReference r:id="rId23"/>
    <externalReference r:id="rId24"/>
  </externalReferences>
  <definedNames>
    <definedName name="Adm">'[1]cantidades caseta'!#REF!</definedName>
    <definedName name="_xlnm.Print_Area" localSheetId="4">AIU!$A$1:$J$63</definedName>
    <definedName name="_xlnm.Print_Area" localSheetId="16">'ANALISIS BASICOS E INSUMOS'!$A$1:$F$587</definedName>
    <definedName name="_xlnm.Print_Area" localSheetId="6">'APU '!$A$1:$F$103</definedName>
    <definedName name="_xlnm.Print_Area" localSheetId="12">'APU 2'!$A$1:$F$285</definedName>
    <definedName name="_xlnm.Print_Area" localSheetId="15">'APU VIADUCTO'!$A$1:$F$322</definedName>
    <definedName name="_xlnm.Print_Area" localSheetId="13">'Cantidad 2'!$A$1:$G$24</definedName>
    <definedName name="_xlnm.Print_Area" localSheetId="8">CANTIDADES!$A$1:$H$25</definedName>
    <definedName name="_xlnm.Print_Area" localSheetId="1">CRONOGRAMA!$A$1:$H$34</definedName>
    <definedName name="_xlnm.Print_Area" localSheetId="14">'Cronograma 2'!$A$1:$F$26</definedName>
    <definedName name="_xlnm.Print_Area" localSheetId="0">'H1'!$A$1:$G$37</definedName>
    <definedName name="_xlnm.Print_Area" localSheetId="2">'H2'!$A$1:$G$37</definedName>
    <definedName name="_xlnm.Print_Area" localSheetId="10">'MANO DE OBRA'!$A$1:$H$121</definedName>
    <definedName name="_xlnm.Print_Area" localSheetId="11">'PPTO 2'!$A$1:$F$26</definedName>
    <definedName name="Imprev">'[1]cantidades caseta'!#REF!</definedName>
    <definedName name="IvaSUtl">'[1]cantidades caseta'!#REF!</definedName>
    <definedName name="_xlnm.Print_Titles" localSheetId="16">'ANALISIS BASICOS E INSUMOS'!$1:$192</definedName>
    <definedName name="Utilidad">'[1]cantidades caseta'!#REF!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12" i="14" l="1"/>
  <c r="B13" i="14"/>
  <c r="F65" i="4"/>
  <c r="A65" i="4"/>
  <c r="A86" i="4"/>
  <c r="F80" i="4"/>
  <c r="F83" i="4" s="1"/>
  <c r="F77" i="4"/>
  <c r="H11" i="22"/>
  <c r="D12" i="21" s="1"/>
  <c r="B10" i="22"/>
  <c r="B11" i="22"/>
  <c r="B13" i="17" l="1"/>
  <c r="B16" i="17" s="1"/>
  <c r="A58" i="4" l="1"/>
  <c r="F36" i="4"/>
  <c r="A36" i="4"/>
  <c r="A6" i="4"/>
  <c r="F52" i="4"/>
  <c r="F55" i="4" s="1"/>
  <c r="F46" i="4"/>
  <c r="F49" i="4" s="1"/>
  <c r="F40" i="4"/>
  <c r="A29" i="4"/>
  <c r="F17" i="4"/>
  <c r="F11" i="4"/>
  <c r="F10" i="4"/>
  <c r="H10" i="22"/>
  <c r="D11" i="21" s="1"/>
  <c r="B12" i="14"/>
  <c r="H9" i="22"/>
  <c r="D10" i="21" s="1"/>
  <c r="D46" i="23"/>
  <c r="L40" i="23"/>
  <c r="F25" i="23"/>
  <c r="F24" i="23"/>
  <c r="G20" i="23"/>
  <c r="H20" i="23" s="1"/>
  <c r="J20" i="23" s="1"/>
  <c r="F26" i="23" l="1"/>
  <c r="L29" i="23" s="1"/>
  <c r="F6" i="4"/>
  <c r="B11" i="14" l="1"/>
  <c r="B10" i="14"/>
  <c r="B9" i="22"/>
  <c r="A8" i="22"/>
  <c r="F23" i="4"/>
  <c r="E104" i="17"/>
  <c r="E98" i="17"/>
  <c r="G89" i="17"/>
  <c r="G88" i="17"/>
  <c r="E84" i="17"/>
  <c r="E77" i="17"/>
  <c r="E69" i="17"/>
  <c r="E64" i="17"/>
  <c r="E60" i="17"/>
  <c r="E53" i="17"/>
  <c r="E46" i="17"/>
  <c r="E39" i="17"/>
  <c r="E32" i="17"/>
  <c r="C19" i="17"/>
  <c r="C20" i="17" s="1"/>
  <c r="D20" i="17" s="1"/>
  <c r="C15" i="17"/>
  <c r="C16" i="17" s="1"/>
  <c r="D16" i="17" s="1"/>
  <c r="A13" i="17"/>
  <c r="A16" i="17" s="1"/>
  <c r="A20" i="17" s="1"/>
  <c r="C12" i="17"/>
  <c r="C13" i="17" s="1"/>
  <c r="D13" i="17" s="1"/>
  <c r="A10" i="17"/>
  <c r="C9" i="17"/>
  <c r="C10" i="17" s="1"/>
  <c r="D10" i="17" s="1"/>
  <c r="F81" i="17" s="1"/>
  <c r="G81" i="17" s="1"/>
  <c r="C6" i="17"/>
  <c r="C7" i="17" s="1"/>
  <c r="D7" i="17" s="1"/>
  <c r="B86" i="4" s="1"/>
  <c r="D86" i="4" s="1"/>
  <c r="F86" i="4" s="1"/>
  <c r="F89" i="4" s="1"/>
  <c r="D69" i="4" s="1"/>
  <c r="F69" i="4" s="1"/>
  <c r="F71" i="4" s="1"/>
  <c r="F91" i="4" s="1"/>
  <c r="E12" i="21" s="1"/>
  <c r="F12" i="21" s="1"/>
  <c r="C13" i="14" s="1"/>
  <c r="G13" i="14" l="1"/>
  <c r="F13" i="14"/>
  <c r="G90" i="17"/>
  <c r="G91" i="17" s="1"/>
  <c r="G92" i="17" s="1"/>
  <c r="F65" i="17"/>
  <c r="G65" i="17" s="1"/>
  <c r="F58" i="17"/>
  <c r="G58" i="17" s="1"/>
  <c r="F51" i="17"/>
  <c r="G51" i="17" s="1"/>
  <c r="F44" i="17"/>
  <c r="G44" i="17" s="1"/>
  <c r="F37" i="17"/>
  <c r="G37" i="17" s="1"/>
  <c r="F96" i="17"/>
  <c r="G96" i="17" s="1"/>
  <c r="F74" i="17"/>
  <c r="G74" i="17" s="1"/>
  <c r="F30" i="17"/>
  <c r="G30" i="17" s="1"/>
  <c r="F73" i="17"/>
  <c r="G73" i="17" s="1"/>
  <c r="F29" i="17"/>
  <c r="F102" i="17"/>
  <c r="G102" i="17" s="1"/>
  <c r="G103" i="17" s="1"/>
  <c r="F95" i="17"/>
  <c r="G95" i="17" s="1"/>
  <c r="F50" i="17"/>
  <c r="G50" i="17" s="1"/>
  <c r="F43" i="17"/>
  <c r="G43" i="17" s="1"/>
  <c r="F64" i="17"/>
  <c r="G64" i="17" s="1"/>
  <c r="F57" i="17"/>
  <c r="G57" i="17" s="1"/>
  <c r="F36" i="17"/>
  <c r="G36" i="17" s="1"/>
  <c r="F82" i="17"/>
  <c r="G82" i="17" s="1"/>
  <c r="G83" i="17" s="1"/>
  <c r="F75" i="17"/>
  <c r="G75" i="17" s="1"/>
  <c r="B1" i="14"/>
  <c r="H70" i="14"/>
  <c r="H71" i="14" s="1"/>
  <c r="D70" i="14"/>
  <c r="D71" i="14" s="1"/>
  <c r="I69" i="14"/>
  <c r="H65" i="14"/>
  <c r="H66" i="14" s="1"/>
  <c r="D65" i="14"/>
  <c r="D66" i="14" s="1"/>
  <c r="I64" i="14"/>
  <c r="H60" i="14"/>
  <c r="H61" i="14" s="1"/>
  <c r="D60" i="14"/>
  <c r="D61" i="14" s="1"/>
  <c r="I59" i="14"/>
  <c r="H55" i="14"/>
  <c r="H56" i="14" s="1"/>
  <c r="D55" i="14"/>
  <c r="D56" i="14" s="1"/>
  <c r="I54" i="14"/>
  <c r="G29" i="17" l="1"/>
  <c r="B58" i="4"/>
  <c r="D58" i="4" s="1"/>
  <c r="F58" i="4" s="1"/>
  <c r="F61" i="4" s="1"/>
  <c r="D41" i="4" s="1"/>
  <c r="F41" i="4" s="1"/>
  <c r="F43" i="4" s="1"/>
  <c r="F63" i="4" s="1"/>
  <c r="B29" i="4"/>
  <c r="D29" i="4" s="1"/>
  <c r="F29" i="4" s="1"/>
  <c r="B1" i="21"/>
  <c r="C2" i="23" s="1"/>
  <c r="B7" i="16" s="1"/>
  <c r="B7" i="15"/>
  <c r="G59" i="17"/>
  <c r="G60" i="17" s="1"/>
  <c r="G61" i="17" s="1"/>
  <c r="G38" i="17"/>
  <c r="G39" i="17" s="1"/>
  <c r="G40" i="17" s="1"/>
  <c r="G66" i="17"/>
  <c r="G67" i="17" s="1"/>
  <c r="G68" i="17" s="1"/>
  <c r="C1" i="22"/>
  <c r="B7" i="19" s="1"/>
  <c r="B1" i="4"/>
  <c r="G97" i="17"/>
  <c r="G98" i="17" s="1"/>
  <c r="G99" i="17" s="1"/>
  <c r="G52" i="17"/>
  <c r="G53" i="17" s="1"/>
  <c r="G54" i="17" s="1"/>
  <c r="G104" i="17"/>
  <c r="G105" i="17" s="1"/>
  <c r="G45" i="17"/>
  <c r="G31" i="17"/>
  <c r="G84" i="17"/>
  <c r="G85" i="17" s="1"/>
  <c r="G76" i="17"/>
  <c r="E11" i="21" l="1"/>
  <c r="F11" i="21" s="1"/>
  <c r="B1" i="17"/>
  <c r="B7" i="18"/>
  <c r="G69" i="17"/>
  <c r="G70" i="17" s="1"/>
  <c r="G32" i="17"/>
  <c r="I31" i="17" s="1"/>
  <c r="G46" i="17"/>
  <c r="G47" i="17" s="1"/>
  <c r="G77" i="17"/>
  <c r="G78" i="17" s="1"/>
  <c r="G33" i="17" l="1"/>
  <c r="A1" i="12" l="1"/>
  <c r="B26" i="12"/>
  <c r="B25" i="12"/>
  <c r="B248" i="10"/>
  <c r="B217" i="10"/>
  <c r="A230" i="10" s="1"/>
  <c r="B186" i="10"/>
  <c r="A199" i="10" s="1"/>
  <c r="B155" i="10"/>
  <c r="A168" i="10" s="1"/>
  <c r="B124" i="10"/>
  <c r="A137" i="10" s="1"/>
  <c r="B93" i="10"/>
  <c r="F62" i="10"/>
  <c r="B62" i="10"/>
  <c r="A75" i="10" s="1"/>
  <c r="B35" i="10"/>
  <c r="B2" i="10"/>
  <c r="A1" i="9"/>
  <c r="A284" i="10"/>
  <c r="A283" i="10"/>
  <c r="F269" i="10"/>
  <c r="F271" i="10" s="1"/>
  <c r="F262" i="10"/>
  <c r="F261" i="10"/>
  <c r="F238" i="10"/>
  <c r="F240" i="10" s="1"/>
  <c r="D230" i="10"/>
  <c r="F230" i="10" s="1"/>
  <c r="F207" i="10"/>
  <c r="F209" i="10" s="1"/>
  <c r="E202" i="10"/>
  <c r="F202" i="10" s="1"/>
  <c r="D199" i="10"/>
  <c r="F199" i="10" s="1"/>
  <c r="F176" i="10"/>
  <c r="F178" i="10" s="1"/>
  <c r="D168" i="10"/>
  <c r="F168" i="10" s="1"/>
  <c r="D169" i="10" s="1"/>
  <c r="F169" i="10" s="1"/>
  <c r="F145" i="10"/>
  <c r="F147" i="10" s="1"/>
  <c r="E140" i="10"/>
  <c r="F140" i="10" s="1"/>
  <c r="D137" i="10"/>
  <c r="F137" i="10" s="1"/>
  <c r="D138" i="10" s="1"/>
  <c r="F138" i="10" s="1"/>
  <c r="F114" i="10"/>
  <c r="F116" i="10" s="1"/>
  <c r="D106" i="10"/>
  <c r="F106" i="10" s="1"/>
  <c r="A106" i="10"/>
  <c r="F83" i="10"/>
  <c r="F85" i="10" s="1"/>
  <c r="D75" i="10"/>
  <c r="F75" i="10" s="1"/>
  <c r="F54" i="10"/>
  <c r="F55" i="10" s="1"/>
  <c r="D48" i="10"/>
  <c r="F48" i="10" s="1"/>
  <c r="F24" i="10"/>
  <c r="F28" i="10" s="1"/>
  <c r="D15" i="10"/>
  <c r="F15" i="10" s="1"/>
  <c r="D14" i="10"/>
  <c r="F14" i="10" s="1"/>
  <c r="A10" i="9"/>
  <c r="B10" i="9"/>
  <c r="A11" i="9"/>
  <c r="B11" i="9"/>
  <c r="A12" i="9"/>
  <c r="B12" i="9"/>
  <c r="A13" i="9"/>
  <c r="B13" i="9"/>
  <c r="A14" i="9"/>
  <c r="B14" i="9"/>
  <c r="A15" i="9"/>
  <c r="B15" i="9"/>
  <c r="B9" i="9"/>
  <c r="A9" i="9"/>
  <c r="A8" i="9"/>
  <c r="B7" i="9"/>
  <c r="B6" i="9"/>
  <c r="A7" i="9"/>
  <c r="A6" i="9"/>
  <c r="A5" i="9"/>
  <c r="G15" i="9"/>
  <c r="D15" i="8" s="1"/>
  <c r="C14" i="9"/>
  <c r="G14" i="9" s="1"/>
  <c r="D14" i="8" s="1"/>
  <c r="G13" i="9"/>
  <c r="D13" i="8" s="1"/>
  <c r="C12" i="9"/>
  <c r="G12" i="9" s="1"/>
  <c r="D12" i="8" s="1"/>
  <c r="G11" i="9"/>
  <c r="D11" i="8" s="1"/>
  <c r="C10" i="9"/>
  <c r="G10" i="9" s="1"/>
  <c r="D10" i="8" s="1"/>
  <c r="G9" i="9"/>
  <c r="D9" i="8" s="1"/>
  <c r="G6" i="9"/>
  <c r="G7" i="9" s="1"/>
  <c r="D7" i="8" s="1"/>
  <c r="B26" i="8"/>
  <c r="B25" i="8"/>
  <c r="F20" i="4"/>
  <c r="F295" i="5"/>
  <c r="B295" i="5"/>
  <c r="A295" i="5"/>
  <c r="F276" i="5"/>
  <c r="B276" i="5"/>
  <c r="A276" i="5"/>
  <c r="F257" i="5"/>
  <c r="B257" i="5"/>
  <c r="A257" i="5"/>
  <c r="F238" i="5"/>
  <c r="B238" i="5"/>
  <c r="A238" i="5"/>
  <c r="F216" i="5"/>
  <c r="B216" i="5"/>
  <c r="A216" i="5"/>
  <c r="A197" i="5"/>
  <c r="D206" i="5"/>
  <c r="F206" i="5" s="1"/>
  <c r="F207" i="5" s="1"/>
  <c r="F210" i="5"/>
  <c r="F212" i="5" s="1"/>
  <c r="D226" i="5"/>
  <c r="F226" i="5" s="1"/>
  <c r="D247" i="5"/>
  <c r="F247" i="5" s="1"/>
  <c r="F248" i="5" s="1"/>
  <c r="D266" i="5"/>
  <c r="F266" i="5" s="1"/>
  <c r="F267" i="5" s="1"/>
  <c r="D285" i="5"/>
  <c r="F285" i="5" s="1"/>
  <c r="F286" i="5" s="1"/>
  <c r="D305" i="5"/>
  <c r="F305" i="5" s="1"/>
  <c r="D304" i="5"/>
  <c r="F304" i="5" s="1"/>
  <c r="A576" i="7"/>
  <c r="A575" i="7"/>
  <c r="A574" i="7"/>
  <c r="A321" i="5"/>
  <c r="A320" i="5"/>
  <c r="A319" i="5"/>
  <c r="F197" i="5"/>
  <c r="B197" i="5"/>
  <c r="D17" i="7"/>
  <c r="D262" i="7" s="1"/>
  <c r="E262" i="7" s="1"/>
  <c r="D16" i="7"/>
  <c r="D282" i="7" s="1"/>
  <c r="E282" i="7" s="1"/>
  <c r="D15" i="7"/>
  <c r="A1" i="5"/>
  <c r="D14" i="7"/>
  <c r="D238" i="7" s="1"/>
  <c r="E238" i="7" s="1"/>
  <c r="C530" i="7"/>
  <c r="C519" i="7"/>
  <c r="C496" i="7"/>
  <c r="C473" i="7"/>
  <c r="C453" i="7"/>
  <c r="C451" i="7"/>
  <c r="F444" i="7"/>
  <c r="C389" i="7"/>
  <c r="C390" i="7" s="1"/>
  <c r="D386" i="7"/>
  <c r="C386" i="7"/>
  <c r="E385" i="7"/>
  <c r="D380" i="7"/>
  <c r="D390" i="7" s="1"/>
  <c r="D379" i="7"/>
  <c r="D389" i="7" s="1"/>
  <c r="D378" i="7"/>
  <c r="D388" i="7" s="1"/>
  <c r="E388" i="7" s="1"/>
  <c r="D377" i="7"/>
  <c r="D387" i="7" s="1"/>
  <c r="E387" i="7" s="1"/>
  <c r="C376" i="7"/>
  <c r="E375" i="7"/>
  <c r="C372" i="7"/>
  <c r="C370" i="7"/>
  <c r="C366" i="7"/>
  <c r="C365" i="7"/>
  <c r="C364" i="7"/>
  <c r="C363" i="7"/>
  <c r="C362" i="7"/>
  <c r="C361" i="7"/>
  <c r="C359" i="7"/>
  <c r="C358" i="7"/>
  <c r="C357" i="7"/>
  <c r="C356" i="7"/>
  <c r="C355" i="7"/>
  <c r="C353" i="7"/>
  <c r="C352" i="7"/>
  <c r="C351" i="7"/>
  <c r="C350" i="7"/>
  <c r="C348" i="7"/>
  <c r="E348" i="7" s="1"/>
  <c r="C347" i="7"/>
  <c r="C346" i="7"/>
  <c r="E346" i="7" s="1"/>
  <c r="C344" i="7"/>
  <c r="D343" i="7"/>
  <c r="C343" i="7"/>
  <c r="D341" i="7"/>
  <c r="D347" i="7" s="1"/>
  <c r="E340" i="7"/>
  <c r="D338" i="7"/>
  <c r="D344" i="7" s="1"/>
  <c r="C337" i="7"/>
  <c r="C336" i="7"/>
  <c r="C335" i="7"/>
  <c r="C334" i="7"/>
  <c r="C332" i="7"/>
  <c r="E332" i="7" s="1"/>
  <c r="C331" i="7"/>
  <c r="C330" i="7"/>
  <c r="C328" i="7"/>
  <c r="C327" i="7"/>
  <c r="C322" i="7"/>
  <c r="C315" i="7"/>
  <c r="D314" i="7"/>
  <c r="D318" i="7" s="1"/>
  <c r="D310" i="7"/>
  <c r="E310" i="7" s="1"/>
  <c r="D307" i="7" s="1"/>
  <c r="E307" i="7" s="1"/>
  <c r="C309" i="7"/>
  <c r="C308" i="7"/>
  <c r="D299" i="7"/>
  <c r="E299" i="7" s="1"/>
  <c r="D296" i="7" s="1"/>
  <c r="E296" i="7" s="1"/>
  <c r="C298" i="7"/>
  <c r="C297" i="7"/>
  <c r="D292" i="7"/>
  <c r="D303" i="7" s="1"/>
  <c r="E303" i="7" s="1"/>
  <c r="D288" i="7"/>
  <c r="E288" i="7" s="1"/>
  <c r="D285" i="7" s="1"/>
  <c r="E285" i="7" s="1"/>
  <c r="C287" i="7"/>
  <c r="C286" i="7"/>
  <c r="D281" i="7"/>
  <c r="E281" i="7" s="1"/>
  <c r="D277" i="7"/>
  <c r="E277" i="7" s="1"/>
  <c r="D274" i="7" s="1"/>
  <c r="E274" i="7" s="1"/>
  <c r="C276" i="7"/>
  <c r="C275" i="7"/>
  <c r="D270" i="7"/>
  <c r="E270" i="7" s="1"/>
  <c r="D267" i="7"/>
  <c r="E267" i="7" s="1"/>
  <c r="D264" i="7" s="1"/>
  <c r="E264" i="7" s="1"/>
  <c r="C266" i="7"/>
  <c r="C265" i="7"/>
  <c r="D260" i="7"/>
  <c r="E260" i="7" s="1"/>
  <c r="D256" i="7"/>
  <c r="E256" i="7" s="1"/>
  <c r="D253" i="7" s="1"/>
  <c r="E253" i="7" s="1"/>
  <c r="C255" i="7"/>
  <c r="C254" i="7"/>
  <c r="D249" i="7"/>
  <c r="E249" i="7" s="1"/>
  <c r="D246" i="7"/>
  <c r="E246" i="7" s="1"/>
  <c r="D243" i="7" s="1"/>
  <c r="E243" i="7" s="1"/>
  <c r="C245" i="7"/>
  <c r="D244" i="7"/>
  <c r="D254" i="7" s="1"/>
  <c r="C244" i="7"/>
  <c r="D242" i="7"/>
  <c r="D252" i="7" s="1"/>
  <c r="D239" i="7"/>
  <c r="E239" i="7" s="1"/>
  <c r="D235" i="7"/>
  <c r="E235" i="7" s="1"/>
  <c r="D232" i="7" s="1"/>
  <c r="E232" i="7" s="1"/>
  <c r="D233" i="7"/>
  <c r="C233" i="7"/>
  <c r="D231" i="7"/>
  <c r="E231" i="7" s="1"/>
  <c r="D229" i="7"/>
  <c r="E229" i="7" s="1"/>
  <c r="D225" i="7"/>
  <c r="E225" i="7" s="1"/>
  <c r="D222" i="7" s="1"/>
  <c r="E222" i="7" s="1"/>
  <c r="D223" i="7"/>
  <c r="C223" i="7"/>
  <c r="D220" i="7"/>
  <c r="E220" i="7" s="1"/>
  <c r="D216" i="7"/>
  <c r="E216" i="7" s="1"/>
  <c r="D213" i="7" s="1"/>
  <c r="E213" i="7" s="1"/>
  <c r="C214" i="7"/>
  <c r="D211" i="7"/>
  <c r="E211" i="7" s="1"/>
  <c r="D207" i="7"/>
  <c r="E207" i="7" s="1"/>
  <c r="D204" i="7" s="1"/>
  <c r="E204" i="7" s="1"/>
  <c r="D206" i="7"/>
  <c r="D276" i="7" s="1"/>
  <c r="D205" i="7"/>
  <c r="D214" i="7" s="1"/>
  <c r="E214" i="7" s="1"/>
  <c r="C205" i="7"/>
  <c r="D202" i="7"/>
  <c r="E202" i="7" s="1"/>
  <c r="D185" i="7"/>
  <c r="D184" i="7"/>
  <c r="D183" i="7"/>
  <c r="D182" i="7"/>
  <c r="D181" i="7"/>
  <c r="D322" i="7" s="1"/>
  <c r="D328" i="7" s="1"/>
  <c r="D180" i="7"/>
  <c r="D179" i="7"/>
  <c r="D178" i="7"/>
  <c r="D325" i="7" s="1"/>
  <c r="E325" i="7" s="1"/>
  <c r="D175" i="7"/>
  <c r="D173" i="7"/>
  <c r="D171" i="7"/>
  <c r="D315" i="7" s="1"/>
  <c r="D319" i="7" s="1"/>
  <c r="D170" i="7"/>
  <c r="D169" i="7"/>
  <c r="D313" i="7" s="1"/>
  <c r="D166" i="7"/>
  <c r="D165" i="7"/>
  <c r="D160" i="7"/>
  <c r="D159" i="7"/>
  <c r="D157" i="7"/>
  <c r="D155" i="7"/>
  <c r="D153" i="7"/>
  <c r="D152" i="7"/>
  <c r="D150" i="7"/>
  <c r="D141" i="7"/>
  <c r="D140" i="7"/>
  <c r="D138" i="7"/>
  <c r="D137" i="7"/>
  <c r="D135" i="7"/>
  <c r="D134" i="7"/>
  <c r="D133" i="7"/>
  <c r="G132" i="7"/>
  <c r="D132" i="7"/>
  <c r="D131" i="7"/>
  <c r="D130" i="7"/>
  <c r="D129" i="7"/>
  <c r="D128" i="7"/>
  <c r="D127" i="7"/>
  <c r="D126" i="7"/>
  <c r="D125" i="7"/>
  <c r="D124" i="7"/>
  <c r="D123" i="7"/>
  <c r="D122" i="7"/>
  <c r="D121" i="7"/>
  <c r="D120" i="7"/>
  <c r="G119" i="7"/>
  <c r="D119" i="7"/>
  <c r="D118" i="7"/>
  <c r="D117" i="7"/>
  <c r="D116" i="7"/>
  <c r="D115" i="7"/>
  <c r="D114" i="7"/>
  <c r="D113" i="7"/>
  <c r="D112" i="7"/>
  <c r="D111" i="7"/>
  <c r="D110" i="7"/>
  <c r="D109" i="7"/>
  <c r="D108" i="7"/>
  <c r="D107" i="7"/>
  <c r="D106" i="7"/>
  <c r="D105" i="7"/>
  <c r="D104" i="7"/>
  <c r="D103" i="7"/>
  <c r="D102" i="7"/>
  <c r="D101" i="7"/>
  <c r="D100" i="7"/>
  <c r="D99" i="7"/>
  <c r="D98" i="7"/>
  <c r="D97" i="7"/>
  <c r="D136" i="7" s="1"/>
  <c r="D95" i="7"/>
  <c r="D158" i="7" s="1"/>
  <c r="D94" i="7"/>
  <c r="D93" i="7"/>
  <c r="D89" i="7"/>
  <c r="D87" i="7"/>
  <c r="D86" i="7"/>
  <c r="D151" i="7" s="1"/>
  <c r="D84" i="7"/>
  <c r="D74" i="7"/>
  <c r="D73" i="7"/>
  <c r="D72" i="7"/>
  <c r="D71" i="7"/>
  <c r="D70" i="7"/>
  <c r="D68" i="7"/>
  <c r="D67" i="7"/>
  <c r="G63" i="7"/>
  <c r="E58" i="7"/>
  <c r="E57" i="7"/>
  <c r="E56" i="7"/>
  <c r="D52" i="7"/>
  <c r="D51" i="7"/>
  <c r="D91" i="7" s="1"/>
  <c r="D50" i="7"/>
  <c r="D92" i="7" s="1"/>
  <c r="D49" i="7"/>
  <c r="D48" i="7"/>
  <c r="D47" i="7"/>
  <c r="G46" i="7"/>
  <c r="D40" i="7"/>
  <c r="D88" i="7" s="1"/>
  <c r="D96" i="7" s="1"/>
  <c r="D39" i="7"/>
  <c r="D90" i="7" s="1"/>
  <c r="D85" i="7" s="1"/>
  <c r="D33" i="7"/>
  <c r="D376" i="7"/>
  <c r="F29" i="7"/>
  <c r="D29" i="7"/>
  <c r="F28" i="7"/>
  <c r="D22" i="7"/>
  <c r="D23" i="7" s="1"/>
  <c r="D21" i="7"/>
  <c r="D13" i="7"/>
  <c r="D12" i="7"/>
  <c r="D11" i="7"/>
  <c r="D10" i="7"/>
  <c r="D9" i="7"/>
  <c r="D8" i="7"/>
  <c r="D7" i="7"/>
  <c r="F227" i="5"/>
  <c r="C191" i="5"/>
  <c r="F191" i="5" s="1"/>
  <c r="D186" i="5"/>
  <c r="F186" i="5" s="1"/>
  <c r="D185" i="5"/>
  <c r="F185" i="5" s="1"/>
  <c r="F175" i="5"/>
  <c r="B175" i="5"/>
  <c r="A175" i="5"/>
  <c r="D169" i="5"/>
  <c r="F169" i="5" s="1"/>
  <c r="F171" i="5" s="1"/>
  <c r="D164" i="5"/>
  <c r="F164" i="5" s="1"/>
  <c r="F163" i="5"/>
  <c r="F162" i="5"/>
  <c r="D161" i="5"/>
  <c r="F161" i="5" s="1"/>
  <c r="D160" i="5"/>
  <c r="F160" i="5" s="1"/>
  <c r="D159" i="5"/>
  <c r="F159" i="5" s="1"/>
  <c r="D158" i="5"/>
  <c r="F158" i="5" s="1"/>
  <c r="F148" i="5"/>
  <c r="B148" i="5"/>
  <c r="A148" i="5"/>
  <c r="D142" i="5"/>
  <c r="F142" i="5" s="1"/>
  <c r="D137" i="5"/>
  <c r="F137" i="5" s="1"/>
  <c r="F136" i="5"/>
  <c r="F135" i="5"/>
  <c r="D134" i="5"/>
  <c r="F134" i="5" s="1"/>
  <c r="D133" i="5"/>
  <c r="F133" i="5" s="1"/>
  <c r="D132" i="5"/>
  <c r="F132" i="5" s="1"/>
  <c r="D131" i="5"/>
  <c r="F131" i="5" s="1"/>
  <c r="F121" i="5"/>
  <c r="B121" i="5"/>
  <c r="A121" i="5"/>
  <c r="C115" i="5"/>
  <c r="F115" i="5" s="1"/>
  <c r="D101" i="5" s="1"/>
  <c r="F101" i="5" s="1"/>
  <c r="F104" i="5" s="1"/>
  <c r="D110" i="5"/>
  <c r="F110" i="5" s="1"/>
  <c r="D109" i="5"/>
  <c r="F109" i="5" s="1"/>
  <c r="D108" i="5"/>
  <c r="F108" i="5" s="1"/>
  <c r="D107" i="5"/>
  <c r="F107" i="5" s="1"/>
  <c r="F97" i="5"/>
  <c r="B97" i="5"/>
  <c r="A97" i="5"/>
  <c r="C91" i="5"/>
  <c r="F91" i="5" s="1"/>
  <c r="F93" i="5" s="1"/>
  <c r="F86" i="5"/>
  <c r="F85" i="5"/>
  <c r="F84" i="5"/>
  <c r="F74" i="5"/>
  <c r="B74" i="5"/>
  <c r="A74" i="5"/>
  <c r="C68" i="5"/>
  <c r="F68" i="5" s="1"/>
  <c r="D63" i="5"/>
  <c r="F63" i="5" s="1"/>
  <c r="F62" i="5"/>
  <c r="F61" i="5"/>
  <c r="F51" i="5"/>
  <c r="B51" i="5"/>
  <c r="A51" i="5"/>
  <c r="D45" i="5"/>
  <c r="C45" i="5"/>
  <c r="F45" i="5" s="1"/>
  <c r="D32" i="5" s="1"/>
  <c r="F32" i="5" s="1"/>
  <c r="F35" i="5" s="1"/>
  <c r="F39" i="5"/>
  <c r="F38" i="5"/>
  <c r="F28" i="5"/>
  <c r="B28" i="5"/>
  <c r="A28" i="5"/>
  <c r="C22" i="5"/>
  <c r="F22" i="5" s="1"/>
  <c r="F16" i="5"/>
  <c r="F15" i="5"/>
  <c r="F5" i="5"/>
  <c r="B5" i="5"/>
  <c r="A5" i="5"/>
  <c r="E205" i="7" l="1"/>
  <c r="D19" i="7"/>
  <c r="E314" i="7"/>
  <c r="E223" i="7"/>
  <c r="D294" i="7"/>
  <c r="D305" i="7" s="1"/>
  <c r="E305" i="7" s="1"/>
  <c r="E389" i="7"/>
  <c r="F141" i="10"/>
  <c r="D6" i="8"/>
  <c r="E347" i="7"/>
  <c r="E345" i="7" s="1"/>
  <c r="F265" i="10"/>
  <c r="D41" i="10"/>
  <c r="F41" i="10" s="1"/>
  <c r="F44" i="10" s="1"/>
  <c r="D231" i="10"/>
  <c r="F231" i="10" s="1"/>
  <c r="F234" i="10" s="1"/>
  <c r="D161" i="10"/>
  <c r="F161" i="10" s="1"/>
  <c r="F164" i="10" s="1"/>
  <c r="D254" i="10"/>
  <c r="F254" i="10" s="1"/>
  <c r="F257" i="10" s="1"/>
  <c r="F274" i="10" s="1"/>
  <c r="E15" i="8" s="1"/>
  <c r="F15" i="8" s="1"/>
  <c r="C15" i="12" s="1"/>
  <c r="D49" i="10"/>
  <c r="F49" i="10" s="1"/>
  <c r="F50" i="10" s="1"/>
  <c r="F58" i="10" s="1"/>
  <c r="E7" i="8" s="1"/>
  <c r="F7" i="8" s="1"/>
  <c r="C7" i="12" s="1"/>
  <c r="D223" i="10"/>
  <c r="F223" i="10" s="1"/>
  <c r="F226" i="10" s="1"/>
  <c r="D16" i="10"/>
  <c r="F16" i="10" s="1"/>
  <c r="F20" i="10" s="1"/>
  <c r="D107" i="10"/>
  <c r="F107" i="10" s="1"/>
  <c r="F110" i="10" s="1"/>
  <c r="D76" i="10"/>
  <c r="F76" i="10" s="1"/>
  <c r="F79" i="10" s="1"/>
  <c r="D99" i="10"/>
  <c r="F99" i="10" s="1"/>
  <c r="F102" i="10" s="1"/>
  <c r="D200" i="10"/>
  <c r="F200" i="10" s="1"/>
  <c r="F203" i="10" s="1"/>
  <c r="D192" i="10"/>
  <c r="F192" i="10" s="1"/>
  <c r="F195" i="10" s="1"/>
  <c r="D130" i="10"/>
  <c r="F130" i="10" s="1"/>
  <c r="F133" i="10" s="1"/>
  <c r="F150" i="10" s="1"/>
  <c r="E11" i="8" s="1"/>
  <c r="F11" i="8" s="1"/>
  <c r="C11" i="12" s="1"/>
  <c r="D7" i="10"/>
  <c r="F7" i="10" s="1"/>
  <c r="F10" i="10" s="1"/>
  <c r="D68" i="10"/>
  <c r="F68" i="10" s="1"/>
  <c r="F71" i="10" s="1"/>
  <c r="F172" i="10"/>
  <c r="F32" i="4"/>
  <c r="F26" i="4"/>
  <c r="E276" i="7"/>
  <c r="E343" i="7"/>
  <c r="D172" i="7"/>
  <c r="E233" i="7"/>
  <c r="D240" i="7"/>
  <c r="E240" i="7" s="1"/>
  <c r="E338" i="7"/>
  <c r="E386" i="7"/>
  <c r="E315" i="7"/>
  <c r="E206" i="7"/>
  <c r="D245" i="7"/>
  <c r="E245" i="7" s="1"/>
  <c r="D287" i="7"/>
  <c r="E287" i="7" s="1"/>
  <c r="E292" i="7"/>
  <c r="E344" i="7"/>
  <c r="E380" i="7"/>
  <c r="D271" i="7"/>
  <c r="E271" i="7" s="1"/>
  <c r="E376" i="7"/>
  <c r="E244" i="7"/>
  <c r="E341" i="7"/>
  <c r="E339" i="7" s="1"/>
  <c r="E378" i="7"/>
  <c r="D201" i="5"/>
  <c r="F201" i="5" s="1"/>
  <c r="F203" i="5" s="1"/>
  <c r="F213" i="5" s="1"/>
  <c r="H22" i="5"/>
  <c r="F229" i="5"/>
  <c r="D152" i="5"/>
  <c r="F152" i="5" s="1"/>
  <c r="F155" i="5" s="1"/>
  <c r="F19" i="5"/>
  <c r="F42" i="5"/>
  <c r="F47" i="5"/>
  <c r="F65" i="5"/>
  <c r="F88" i="5"/>
  <c r="F117" i="5"/>
  <c r="F139" i="5"/>
  <c r="F306" i="5"/>
  <c r="D280" i="7"/>
  <c r="E280" i="7" s="1"/>
  <c r="D269" i="7"/>
  <c r="E269" i="7" s="1"/>
  <c r="E294" i="7"/>
  <c r="D263" i="7"/>
  <c r="E252" i="7"/>
  <c r="E328" i="7"/>
  <c r="D317" i="7"/>
  <c r="E313" i="7"/>
  <c r="D336" i="7"/>
  <c r="E336" i="7" s="1"/>
  <c r="E319" i="7"/>
  <c r="E390" i="7"/>
  <c r="D265" i="7"/>
  <c r="E254" i="7"/>
  <c r="E318" i="7"/>
  <c r="D335" i="7"/>
  <c r="E335" i="7" s="1"/>
  <c r="E322" i="7"/>
  <c r="D215" i="7"/>
  <c r="E215" i="7" s="1"/>
  <c r="D224" i="7"/>
  <c r="E224" i="7" s="1"/>
  <c r="E242" i="7"/>
  <c r="D248" i="7"/>
  <c r="E248" i="7" s="1"/>
  <c r="D250" i="7"/>
  <c r="E250" i="7" s="1"/>
  <c r="D255" i="7"/>
  <c r="E255" i="7" s="1"/>
  <c r="D272" i="7"/>
  <c r="E272" i="7" s="1"/>
  <c r="D291" i="7"/>
  <c r="D293" i="7"/>
  <c r="D298" i="7"/>
  <c r="E298" i="7" s="1"/>
  <c r="E377" i="7"/>
  <c r="E379" i="7"/>
  <c r="D201" i="7"/>
  <c r="E201" i="7" s="1"/>
  <c r="D203" i="7"/>
  <c r="E203" i="7" s="1"/>
  <c r="D210" i="7"/>
  <c r="E210" i="7" s="1"/>
  <c r="D212" i="7"/>
  <c r="E212" i="7" s="1"/>
  <c r="D219" i="7"/>
  <c r="E219" i="7" s="1"/>
  <c r="D221" i="7"/>
  <c r="E221" i="7" s="1"/>
  <c r="D228" i="7"/>
  <c r="E228" i="7" s="1"/>
  <c r="D230" i="7"/>
  <c r="E230" i="7" s="1"/>
  <c r="D241" i="7"/>
  <c r="E241" i="7" s="1"/>
  <c r="D259" i="7"/>
  <c r="E259" i="7" s="1"/>
  <c r="D261" i="7"/>
  <c r="E261" i="7" s="1"/>
  <c r="D266" i="7"/>
  <c r="E266" i="7" s="1"/>
  <c r="D283" i="7"/>
  <c r="E283" i="7" s="1"/>
  <c r="D309" i="7"/>
  <c r="E309" i="7" s="1"/>
  <c r="D234" i="7"/>
  <c r="E234" i="7" s="1"/>
  <c r="D251" i="7"/>
  <c r="E251" i="7" s="1"/>
  <c r="F24" i="5"/>
  <c r="D9" i="5"/>
  <c r="F9" i="5" s="1"/>
  <c r="F12" i="5" s="1"/>
  <c r="F70" i="5"/>
  <c r="D55" i="5"/>
  <c r="F55" i="5" s="1"/>
  <c r="F58" i="5" s="1"/>
  <c r="D78" i="5"/>
  <c r="F78" i="5" s="1"/>
  <c r="F81" i="5" s="1"/>
  <c r="F166" i="5"/>
  <c r="F144" i="5"/>
  <c r="D125" i="5"/>
  <c r="F125" i="5" s="1"/>
  <c r="F128" i="5" s="1"/>
  <c r="D179" i="5"/>
  <c r="F179" i="5" s="1"/>
  <c r="F182" i="5" s="1"/>
  <c r="F193" i="5"/>
  <c r="F112" i="5"/>
  <c r="F188" i="5"/>
  <c r="D12" i="4" l="1"/>
  <c r="F12" i="4" s="1"/>
  <c r="F14" i="4" s="1"/>
  <c r="F34" i="4" s="1"/>
  <c r="F94" i="5"/>
  <c r="F11" i="12"/>
  <c r="D11" i="12"/>
  <c r="E11" i="12"/>
  <c r="D7" i="12"/>
  <c r="E7" i="12"/>
  <c r="F7" i="12"/>
  <c r="F15" i="12"/>
  <c r="E15" i="12"/>
  <c r="D15" i="12"/>
  <c r="E312" i="7"/>
  <c r="F88" i="10"/>
  <c r="E9" i="8" s="1"/>
  <c r="F9" i="8" s="1"/>
  <c r="C9" i="12" s="1"/>
  <c r="F181" i="10"/>
  <c r="E12" i="8" s="1"/>
  <c r="F12" i="8" s="1"/>
  <c r="C12" i="12" s="1"/>
  <c r="F31" i="10"/>
  <c r="E6" i="8" s="1"/>
  <c r="F6" i="8" s="1"/>
  <c r="F119" i="10"/>
  <c r="E10" i="8" s="1"/>
  <c r="F10" i="8" s="1"/>
  <c r="C10" i="12" s="1"/>
  <c r="F243" i="10"/>
  <c r="E14" i="8" s="1"/>
  <c r="F14" i="8" s="1"/>
  <c r="C14" i="12" s="1"/>
  <c r="F212" i="10"/>
  <c r="E13" i="8" s="1"/>
  <c r="F13" i="8" s="1"/>
  <c r="C13" i="12" s="1"/>
  <c r="E342" i="7"/>
  <c r="D337" i="7"/>
  <c r="E337" i="7" s="1"/>
  <c r="D331" i="7"/>
  <c r="E331" i="7" s="1"/>
  <c r="C381" i="7"/>
  <c r="E381" i="7" s="1"/>
  <c r="C382" i="7" s="1"/>
  <c r="E382" i="7" s="1"/>
  <c r="E237" i="7"/>
  <c r="F118" i="5"/>
  <c r="F172" i="5"/>
  <c r="F48" i="5"/>
  <c r="E218" i="7"/>
  <c r="E200" i="7"/>
  <c r="E265" i="7"/>
  <c r="D275" i="7"/>
  <c r="D304" i="7"/>
  <c r="E304" i="7" s="1"/>
  <c r="E293" i="7"/>
  <c r="D324" i="7"/>
  <c r="D321" i="7"/>
  <c r="E321" i="7" s="1"/>
  <c r="E320" i="7" s="1"/>
  <c r="E317" i="7"/>
  <c r="E316" i="7" s="1"/>
  <c r="E227" i="7"/>
  <c r="E209" i="7"/>
  <c r="D302" i="7"/>
  <c r="E302" i="7" s="1"/>
  <c r="E291" i="7"/>
  <c r="E247" i="7"/>
  <c r="C391" i="7"/>
  <c r="E391" i="7" s="1"/>
  <c r="C392" i="7" s="1"/>
  <c r="E392" i="7" s="1"/>
  <c r="D273" i="7"/>
  <c r="E263" i="7"/>
  <c r="F145" i="5"/>
  <c r="F194" i="5"/>
  <c r="F71" i="5"/>
  <c r="F25" i="5"/>
  <c r="E10" i="21" l="1"/>
  <c r="F9" i="12"/>
  <c r="E9" i="12"/>
  <c r="D9" i="12"/>
  <c r="E10" i="12"/>
  <c r="F10" i="12"/>
  <c r="D10" i="12"/>
  <c r="F5" i="8"/>
  <c r="C6" i="12"/>
  <c r="E14" i="12"/>
  <c r="F14" i="12"/>
  <c r="D14" i="12"/>
  <c r="F13" i="12"/>
  <c r="D13" i="12"/>
  <c r="E13" i="12"/>
  <c r="D12" i="12"/>
  <c r="E12" i="12"/>
  <c r="F12" i="12"/>
  <c r="F8" i="8"/>
  <c r="E374" i="7"/>
  <c r="E258" i="7"/>
  <c r="E273" i="7"/>
  <c r="D284" i="7"/>
  <c r="D327" i="7"/>
  <c r="E324" i="7"/>
  <c r="E323" i="7" s="1"/>
  <c r="D286" i="7"/>
  <c r="E275" i="7"/>
  <c r="E384" i="7"/>
  <c r="F221" i="5"/>
  <c r="F232" i="5"/>
  <c r="F10" i="21" l="1"/>
  <c r="C11" i="14" s="1"/>
  <c r="F17" i="8"/>
  <c r="F18" i="8" s="1"/>
  <c r="F6" i="12"/>
  <c r="F17" i="12" s="1"/>
  <c r="D6" i="12"/>
  <c r="D17" i="12" s="1"/>
  <c r="D18" i="12" s="1"/>
  <c r="E6" i="12"/>
  <c r="E17" i="12" s="1"/>
  <c r="C17" i="12"/>
  <c r="C18" i="12" s="1"/>
  <c r="E327" i="7"/>
  <c r="E326" i="7" s="1"/>
  <c r="D330" i="7"/>
  <c r="D297" i="7"/>
  <c r="E286" i="7"/>
  <c r="D295" i="7"/>
  <c r="E284" i="7"/>
  <c r="E268" i="7"/>
  <c r="D220" i="5"/>
  <c r="F220" i="5" s="1"/>
  <c r="F223" i="5" s="1"/>
  <c r="F234" i="5"/>
  <c r="F9" i="21" l="1"/>
  <c r="F13" i="21" s="1"/>
  <c r="F6" i="23" s="1"/>
  <c r="F11" i="14"/>
  <c r="E18" i="12"/>
  <c r="F18" i="12"/>
  <c r="F235" i="5"/>
  <c r="D308" i="7"/>
  <c r="E308" i="7" s="1"/>
  <c r="E297" i="7"/>
  <c r="E279" i="7"/>
  <c r="D334" i="7"/>
  <c r="E334" i="7" s="1"/>
  <c r="E333" i="7" s="1"/>
  <c r="E330" i="7"/>
  <c r="E329" i="7" s="1"/>
  <c r="D306" i="7"/>
  <c r="E306" i="7" s="1"/>
  <c r="E295" i="7"/>
  <c r="F251" i="5"/>
  <c r="G11" i="14" l="1"/>
  <c r="C14" i="14"/>
  <c r="C17" i="14" s="1"/>
  <c r="F9" i="23"/>
  <c r="L26" i="23" s="1"/>
  <c r="D36" i="23"/>
  <c r="G12" i="14"/>
  <c r="F12" i="14"/>
  <c r="F17" i="14" s="1"/>
  <c r="F10" i="23"/>
  <c r="L32" i="23" s="1"/>
  <c r="F15" i="21"/>
  <c r="F44" i="23"/>
  <c r="F16" i="21"/>
  <c r="F11" i="23"/>
  <c r="L37" i="23" s="1"/>
  <c r="F42" i="23"/>
  <c r="F14" i="21"/>
  <c r="E301" i="7"/>
  <c r="E290" i="7"/>
  <c r="F253" i="5"/>
  <c r="D242" i="5"/>
  <c r="F242" i="5" s="1"/>
  <c r="F244" i="5" s="1"/>
  <c r="F270" i="5"/>
  <c r="G17" i="14" l="1"/>
  <c r="L44" i="23"/>
  <c r="L13" i="23" s="1"/>
  <c r="F13" i="23"/>
  <c r="F17" i="21"/>
  <c r="F19" i="21" s="1"/>
  <c r="F289" i="5"/>
  <c r="F254" i="5"/>
  <c r="F272" i="5"/>
  <c r="D261" i="5"/>
  <c r="F261" i="5" s="1"/>
  <c r="F263" i="5" s="1"/>
  <c r="F38" i="23" l="1"/>
  <c r="D30" i="23"/>
  <c r="F32" i="23" s="1"/>
  <c r="F273" i="5"/>
  <c r="F309" i="5"/>
  <c r="F291" i="5"/>
  <c r="D280" i="5"/>
  <c r="F280" i="5" s="1"/>
  <c r="F282" i="5" s="1"/>
  <c r="F40" i="23" l="1"/>
  <c r="L41" i="23" s="1"/>
  <c r="F292" i="5"/>
  <c r="D299" i="5"/>
  <c r="F299" i="5" s="1"/>
  <c r="F301" i="5" s="1"/>
  <c r="F311" i="5"/>
  <c r="F46" i="23" l="1"/>
  <c r="F312" i="5"/>
</calcChain>
</file>

<file path=xl/sharedStrings.xml><?xml version="1.0" encoding="utf-8"?>
<sst xmlns="http://schemas.openxmlformats.org/spreadsheetml/2006/main" count="2714" uniqueCount="753">
  <si>
    <t>CANTIDADES DE OBRA VIADUCTO</t>
  </si>
  <si>
    <t>DESCRIPCIÓN</t>
  </si>
  <si>
    <t>UNIDAD</t>
  </si>
  <si>
    <t>CANTIDAD</t>
  </si>
  <si>
    <t>M2</t>
  </si>
  <si>
    <t>EXCAVACION MANUAL EN MATERIAL CONGLOMERADO</t>
  </si>
  <si>
    <t>M3</t>
  </si>
  <si>
    <t>RELLENO SELECCIONADO CON MATERIAL DE LA MISMA EXCAVACION</t>
  </si>
  <si>
    <t>Kg</t>
  </si>
  <si>
    <t>ML</t>
  </si>
  <si>
    <t>UND</t>
  </si>
  <si>
    <t>SUBTOTAL COSTOS DIRECTOS</t>
  </si>
  <si>
    <t>TOTAL</t>
  </si>
  <si>
    <t>ANALISIS DE PRECIOS UNITARIOS</t>
  </si>
  <si>
    <t>OBRA:</t>
  </si>
  <si>
    <t xml:space="preserve">CONSTRUCCION DE LOS SISTEMAS DE VIADUCTOS PARA LA LINEA DE CONDUCCION DEL SISTEMA DE ACUEDUCTO PARA EL CAMPAMENTO TIERRAGRATA, CORREGIMIENTO DE SAN JOSE DE ORIENTE, MUNICIPIO DE LA PAZ, DEPARTAMENTO DEL CESAR. </t>
  </si>
  <si>
    <t>ITEM</t>
  </si>
  <si>
    <t>UNIDAD:</t>
  </si>
  <si>
    <t>1.- EQUIPOS</t>
  </si>
  <si>
    <t>Descripción</t>
  </si>
  <si>
    <t>Tipo</t>
  </si>
  <si>
    <t>Tarifa/Día</t>
  </si>
  <si>
    <t>Rendimiento</t>
  </si>
  <si>
    <t>Vr. Parcial</t>
  </si>
  <si>
    <t>Herramientas menores</t>
  </si>
  <si>
    <t>%MO</t>
  </si>
  <si>
    <t>Subtotal</t>
  </si>
  <si>
    <t>2.- MATERIALES</t>
  </si>
  <si>
    <t>Unidad</t>
  </si>
  <si>
    <t>Precio</t>
  </si>
  <si>
    <t>Cantidad</t>
  </si>
  <si>
    <t>3.- MANO DE OBRA</t>
  </si>
  <si>
    <t>Personal</t>
  </si>
  <si>
    <t>Jornal/h</t>
  </si>
  <si>
    <t>Jornal Total</t>
  </si>
  <si>
    <t>CUADRILLA AA</t>
  </si>
  <si>
    <t>TOTAL COSTO DIRECTO</t>
  </si>
  <si>
    <t>Llantas viejas</t>
  </si>
  <si>
    <t>U</t>
  </si>
  <si>
    <t>Leña</t>
  </si>
  <si>
    <t>Carga</t>
  </si>
  <si>
    <t>Agua</t>
  </si>
  <si>
    <t>litros</t>
  </si>
  <si>
    <t>Cemento gris</t>
  </si>
  <si>
    <t>Gravilla de sitio</t>
  </si>
  <si>
    <t>m3</t>
  </si>
  <si>
    <t>Arena del sitio</t>
  </si>
  <si>
    <t>Litro</t>
  </si>
  <si>
    <t>Gatos y puntales</t>
  </si>
  <si>
    <t>Gl</t>
  </si>
  <si>
    <t>Formaleta</t>
  </si>
  <si>
    <t>Acero de refuerzo</t>
  </si>
  <si>
    <t>Alambre</t>
  </si>
  <si>
    <t>Tensor de cable de acero</t>
  </si>
  <si>
    <t>dia</t>
  </si>
  <si>
    <t>Cable alma de acero 1070 tipo arado 1/2"</t>
  </si>
  <si>
    <t>ml</t>
  </si>
  <si>
    <t>CUADRILLA BB</t>
  </si>
  <si>
    <t>Cable alma de acero 1070 tipo arado 3/8"</t>
  </si>
  <si>
    <t>Perros de 3/8"</t>
  </si>
  <si>
    <t>Perros de 1/2" Galvanizados</t>
  </si>
  <si>
    <t>Guarda cable galvanizado 3/8"</t>
  </si>
  <si>
    <t>Guarda cable galvanizado 1/2"</t>
  </si>
  <si>
    <t>Polea para cable de 1/2"</t>
  </si>
  <si>
    <t>Cable alma de acero 1070 tipo arado 5/8"</t>
  </si>
  <si>
    <t>Cable alma de acero 1070 tipo arado 3/4"</t>
  </si>
  <si>
    <t>Perros de 5/8" Galvanizados</t>
  </si>
  <si>
    <t>Guarda cable galvanizado 5/8"</t>
  </si>
  <si>
    <t>Polea para cable de 5/8"</t>
  </si>
  <si>
    <t>Polea para cable de 3/4"</t>
  </si>
  <si>
    <t>Platina de 1/4 x 2" con grapas soldadas para soporte de la tuberia</t>
  </si>
  <si>
    <t xml:space="preserve">Pintura anticorrosiva </t>
  </si>
  <si>
    <t>gl</t>
  </si>
  <si>
    <t>Cable alma de acero 1070 tipo arado 7/8"</t>
  </si>
  <si>
    <t>Perros de 7/8" Galvanizados</t>
  </si>
  <si>
    <t>VR. PARCIAL</t>
  </si>
  <si>
    <t>VR. UNITARIO</t>
  </si>
  <si>
    <t>ITEMS</t>
  </si>
  <si>
    <t>HR</t>
  </si>
  <si>
    <t>VR PARCIAL</t>
  </si>
  <si>
    <t>VR UNITARIO</t>
  </si>
  <si>
    <t>DESCRIPCION</t>
  </si>
  <si>
    <t>3.- Mano de Obra</t>
  </si>
  <si>
    <t>%</t>
  </si>
  <si>
    <t>DESPERDICIO</t>
  </si>
  <si>
    <t>GAL</t>
  </si>
  <si>
    <t>Disolvente (3%) Acrilico</t>
  </si>
  <si>
    <t>Pintura Alumol (Aplicación 2 Manos)</t>
  </si>
  <si>
    <t>UN</t>
  </si>
  <si>
    <t>2.- Materiales</t>
  </si>
  <si>
    <t>DIA</t>
  </si>
  <si>
    <t>Planta Electrica de 5000 W</t>
  </si>
  <si>
    <t>Equipo para Termofusion, Tuberia PA, hasta 160 mm (6")</t>
  </si>
  <si>
    <t>1.- Equipos</t>
  </si>
  <si>
    <t>CUADRILLA 1*2</t>
  </si>
  <si>
    <t>KG</t>
  </si>
  <si>
    <t>VALVULA DE FONDO HD 8"</t>
  </si>
  <si>
    <t>COLUMNA DE MANIOBRA HF</t>
  </si>
  <si>
    <t>VASTAGO</t>
  </si>
  <si>
    <t>RUEDA DE MANEJO</t>
  </si>
  <si>
    <t>TORNILLO DE 8"X3/4</t>
  </si>
  <si>
    <r>
      <t>m</t>
    </r>
    <r>
      <rPr>
        <b/>
        <vertAlign val="superscript"/>
        <sz val="11"/>
        <rFont val="Verdana"/>
        <family val="2"/>
      </rPr>
      <t>3</t>
    </r>
  </si>
  <si>
    <t>GLOB</t>
  </si>
  <si>
    <t xml:space="preserve">FORMALETA </t>
  </si>
  <si>
    <t>PINTURA</t>
  </si>
  <si>
    <t>RELLENO MATERIAL DE RECEBO COMUN</t>
  </si>
  <si>
    <t>d</t>
  </si>
  <si>
    <t>CUADRILLA 1*3</t>
  </si>
  <si>
    <t>ESTACAS</t>
  </si>
  <si>
    <t>AYUDANTE</t>
  </si>
  <si>
    <t>lb</t>
  </si>
  <si>
    <t>PUNTILLA CON CABEZA 2</t>
  </si>
  <si>
    <t>GL</t>
  </si>
  <si>
    <t>ESCALONES DE 3/4 LISOS</t>
  </si>
  <si>
    <t>COMPUERTA LATERAL EN LAMINA 3/16 DE 0.15X0.30M</t>
  </si>
  <si>
    <t>und</t>
  </si>
  <si>
    <t>Valvula de compuerta D= 8", junta elastica</t>
  </si>
  <si>
    <t>VIBRADOR CON OPERADOR</t>
  </si>
  <si>
    <t xml:space="preserve">perros </t>
  </si>
  <si>
    <t>EQUIPO DE PERFORACION</t>
  </si>
  <si>
    <t>Motobomba 4 HP</t>
  </si>
  <si>
    <t xml:space="preserve">ANALISIS BASICOS CONSTRUCCION ACUEDUCTO VEREDA TIERRA GRATA Y MIRADOR. </t>
  </si>
  <si>
    <t>PROYECTO : CONSTRUCCION DE ACUEDUCTO VEREDA TIERRA GRATA Y MIRADOR, MUNICIPIO DE MANAURE, DEPARTAMENTO DEL CESAR.</t>
  </si>
  <si>
    <t>CONSULTOR: ING -  : YESID CERVANTES PADILLA.</t>
  </si>
  <si>
    <t>FECHA: FEBBRERO DE 2020.</t>
  </si>
  <si>
    <t>MARCO Y TAPA CAJA INSPECCION de 0.60 x 0.60 cM. (Marco en angulo 2 1/2 x 2 1/2 * 3/16", tapa reforzada en platina de 3 * 3/16" con parrilla en varilla 3/8 cada 10 cM.).</t>
  </si>
  <si>
    <t>MARCO Y TAPA CAJA INSPECCION de 0.80 x 0.80 cM. (Marco en angulo 2 1/2 x 2 1/2 * 3/16", tapa reforzada en platina de 3 * 3/16" con parrilla en varilla 3/8 cada 10 cM.).</t>
  </si>
  <si>
    <t>MARCO Y TAPA CAJA INSPECCION de 1.00 x 1.00 M. (Marco en angulo 2 1/2 x 2 1/2 * 3/16", tapa reforzada en platina de 3 * 3/16" con parrilla en varilla 3/8 cada 10 cM.).</t>
  </si>
  <si>
    <t>marco en ang. 1 1/2"x1 1/2x1/4" y refuerzo para tapa en platina 3x3/16" con parrilla en varilla 3/8 cada 10cm  para Caja distribución de 1.65x0.85m</t>
  </si>
  <si>
    <t>marco en ang. 1 1/2"x1 1/2x1/4" y refuerzo para tapa en platina 3x3/16" con parrilla en varilla 3/8 cada 10cm  para Caja distribución de 0,85x0,85m</t>
  </si>
  <si>
    <t>marco en ang. 1 1/2"x1 1/2x1/4" y refuerzo para tapa en platina 3x3/16" con parrilla en varilla 3/8 cada 10cm para trampa de grasas de 0.75x1.10m</t>
  </si>
  <si>
    <t>marco en ang. 1 1/2"x1 1/2x1/4" y refuerzo para tapa en platina 3x3/16" con parrilla en varilla 3/8 cada 10cm para Caja distribución de 0.65x0.65m</t>
  </si>
  <si>
    <t>CEMENTO GRIS</t>
  </si>
  <si>
    <t>kg</t>
  </si>
  <si>
    <t>FERROCALES Y CARBUROS</t>
  </si>
  <si>
    <t>INCLUYE TRANSPORTE EXTERNO E INTERNO</t>
  </si>
  <si>
    <t>PIEDRA</t>
  </si>
  <si>
    <t>MEGASFALTO</t>
  </si>
  <si>
    <t>INCLUYE TRANSPORTE EXTERNO</t>
  </si>
  <si>
    <t>ARENA</t>
  </si>
  <si>
    <t>GRAVILLA FINA</t>
  </si>
  <si>
    <t>AGUA</t>
  </si>
  <si>
    <t>lt</t>
  </si>
  <si>
    <t>TRITURADO 3/4</t>
  </si>
  <si>
    <t>ABONO</t>
  </si>
  <si>
    <t>REVUELTO</t>
  </si>
  <si>
    <t>RELLENO SELECCIONADO</t>
  </si>
  <si>
    <t>RELLENO GRANULAR SUBBASE</t>
  </si>
  <si>
    <t>LADRILLO CORRIENTE</t>
  </si>
  <si>
    <t>LADRILLO BOCADILLO</t>
  </si>
  <si>
    <t>HERRAMIENTAS MENORES</t>
  </si>
  <si>
    <t>ALGARROBILLO</t>
  </si>
  <si>
    <t>PIE</t>
  </si>
  <si>
    <t>MADERAS DEL CESAR</t>
  </si>
  <si>
    <t xml:space="preserve">RETIRO ESCOMBROS </t>
  </si>
  <si>
    <t>RELLENO GRANULAR BASE</t>
  </si>
  <si>
    <t>RECEBO COMUN</t>
  </si>
  <si>
    <t>ALAMBRE NEGRO</t>
  </si>
  <si>
    <t>ACERO DE REFUERZO PDR-60</t>
  </si>
  <si>
    <t>IMPERBEALIZANTE EN POLVO CON BASE CEMENTOSA</t>
  </si>
  <si>
    <t>malla electrosoldda m-335 de acero de refuerzo fy 60.000 psi</t>
  </si>
  <si>
    <t>sika 101 mortero</t>
  </si>
  <si>
    <t>Limpiador PVC x 1/4 de galón</t>
  </si>
  <si>
    <t>Soldadura PVC x 1/4 de galón</t>
  </si>
  <si>
    <t>un</t>
  </si>
  <si>
    <t>tubería drenaje de 4". Incluye Accesorios</t>
  </si>
  <si>
    <t>m</t>
  </si>
  <si>
    <t>tubería de 2"</t>
  </si>
  <si>
    <t>codo de 2" pvc</t>
  </si>
  <si>
    <t>codo de 3" pvc x90 union platino</t>
  </si>
  <si>
    <t>codo de 3" pvc x45 union platino</t>
  </si>
  <si>
    <t>codo de 4" pvc union platino</t>
  </si>
  <si>
    <t>Tee pvc 3" extremo liso</t>
  </si>
  <si>
    <t>RELLENO CON TIERRA DE LA EXCAVACION (compatado con pizón en capas de 15 cM.)</t>
  </si>
  <si>
    <t>LLAVE DE PASO PVC 1"</t>
  </si>
  <si>
    <t>BUJE AGUA POTABLE 1X1/2"</t>
  </si>
  <si>
    <t>LLAVE TERMINAL DE BRONCE DE 1/2"</t>
  </si>
  <si>
    <t>UNION SANITARIA TIPO PESADO 4"</t>
  </si>
  <si>
    <t>CODO SANITARIO TIPO PESADO 4"</t>
  </si>
  <si>
    <t>YEE DE 4"</t>
  </si>
  <si>
    <t>ESTACA DE MADERA</t>
  </si>
  <si>
    <t xml:space="preserve">EQUIPO DE TOPOGRAFIA </t>
  </si>
  <si>
    <t>MES</t>
  </si>
  <si>
    <t>INVIAS</t>
  </si>
  <si>
    <t xml:space="preserve">CADENERO 1 </t>
  </si>
  <si>
    <t xml:space="preserve">CADENERO 2 </t>
  </si>
  <si>
    <t xml:space="preserve">TOPOGRAFO </t>
  </si>
  <si>
    <t>MOTONIVELADORA CAT 12-F</t>
  </si>
  <si>
    <t>h</t>
  </si>
  <si>
    <t>VOLQUETA 6 M3</t>
  </si>
  <si>
    <t>vj</t>
  </si>
  <si>
    <t>CARGADOR FRONTAL</t>
  </si>
  <si>
    <t>TRANSPORTE MOTONIVELADORA</t>
  </si>
  <si>
    <t xml:space="preserve">TELA VERDE </t>
  </si>
  <si>
    <t>ALGARROBILLO 4X2"</t>
  </si>
  <si>
    <t>MATERIALES VARIOS</t>
  </si>
  <si>
    <t>TORRECILLA METALICA</t>
  </si>
  <si>
    <t>VALLAS METALICAS CAL 20</t>
  </si>
  <si>
    <t>VOLQUETA 6M3</t>
  </si>
  <si>
    <t>VJ</t>
  </si>
  <si>
    <t>REPISA ORDINARIO 3 M</t>
  </si>
  <si>
    <t>TABLA BURDA ORDINARIO 0.30</t>
  </si>
  <si>
    <t xml:space="preserve"> SEGUETA NICHOLSON</t>
  </si>
  <si>
    <t>VIBROCOMPACTADOR TIPO RANA</t>
  </si>
  <si>
    <t>COMPACTADOR TIPO RANA O CANGURO</t>
  </si>
  <si>
    <t>ANDAMIO TUBULAR</t>
  </si>
  <si>
    <t>CEMENTO BLANCO</t>
  </si>
  <si>
    <t>CERÁMICA CORONA EGEO</t>
  </si>
  <si>
    <t>PEGACOR BLANCO</t>
  </si>
  <si>
    <t>LAMINA ONDULADA ASBESTO CEMENTO  No. 6</t>
  </si>
  <si>
    <t>LAMINA ONDULADA ASBESTO CEMENTO  No. 8</t>
  </si>
  <si>
    <t>GANCHOS</t>
  </si>
  <si>
    <t>AMARRES</t>
  </si>
  <si>
    <t>YEE SANITARIA PVC REDUCIDA 4 X 2</t>
  </si>
  <si>
    <t>TUBO PVC SANITARIO 4</t>
  </si>
  <si>
    <t>CODO 90° 1/4 CXC SANITARIO 4</t>
  </si>
  <si>
    <t>CODO 45° 1/4 CXC SANITARIO 2</t>
  </si>
  <si>
    <t>TUBO PVC SANITARIO 2</t>
  </si>
  <si>
    <t>YEE SANITARIA 2</t>
  </si>
  <si>
    <t>CODO SANITARIO PVC CXC DE 45° DE 4</t>
  </si>
  <si>
    <t>UNIÓN PVC SANITARIA 4</t>
  </si>
  <si>
    <t>TEE SANITARIA PVC 2"</t>
  </si>
  <si>
    <t>TEE SANITARIA PVC 4"</t>
  </si>
  <si>
    <t>CODO SANITARIO 90 PVC  2"</t>
  </si>
  <si>
    <t>SIFON SANITARIO PVC  2"</t>
  </si>
  <si>
    <t>ok</t>
  </si>
  <si>
    <t>UNIÓN PVC SANIT  2</t>
  </si>
  <si>
    <t>SIFON SANITARIO PVC  4"</t>
  </si>
  <si>
    <t>TUBO PRESIÓN /21 PVC  1/2</t>
  </si>
  <si>
    <t>CODO 90° PRESIÓN PVC  1/2</t>
  </si>
  <si>
    <t>UNIÓN PRESIÓN PVC  1/2</t>
  </si>
  <si>
    <t>TUBO PRESIÓN / PVC 3/4</t>
  </si>
  <si>
    <t>TUBO PRESIÓN / PVC 1"</t>
  </si>
  <si>
    <t>CODO 90° PRESIÓN PVC 3/4</t>
  </si>
  <si>
    <t>TEE HIDRAULICO  PVC 1/2</t>
  </si>
  <si>
    <t>CODO DE 90° HIDRAULICO  PVC 1/2</t>
  </si>
  <si>
    <t>TANQUE PLASTICO 500 LT</t>
  </si>
  <si>
    <t>FLOTADOR Ø  3/4"</t>
  </si>
  <si>
    <t>CHEQUE DE PASO Ø  3/4" RED WITTE O SIMILAR</t>
  </si>
  <si>
    <t>LLAVE DE PASO Ø  3/4" RED WITTE O SIMILAR</t>
  </si>
  <si>
    <t>ADAPTADOR MACHO 3/4</t>
  </si>
  <si>
    <t>INT. SENC. PILOTO LUM</t>
  </si>
  <si>
    <t>CAL HIDRATADA</t>
  </si>
  <si>
    <t>TUBO CONDUIT PVC  1/2"</t>
  </si>
  <si>
    <t>CAJA RECTANGULAR 2 X 4 GALVANIZADA</t>
  </si>
  <si>
    <t>CAJA OCTAGONAL GALVANIZADA</t>
  </si>
  <si>
    <t>ADAPTADOR TERMINAL CONDUIT 1/2</t>
  </si>
  <si>
    <t>ROSETA  (PLAFON)</t>
  </si>
  <si>
    <t>ALAMBRE COBRE THW 12 AWG THHN/NN</t>
  </si>
  <si>
    <t>ALAMBRE COBRE THW 14 AWG THHN/NN</t>
  </si>
  <si>
    <t>TOMA DOBLE LEVINTON ORIG</t>
  </si>
  <si>
    <t>CURVA 90ºCXE CONDUIT 1/2"</t>
  </si>
  <si>
    <t>TUBO CONDUIT 1"</t>
  </si>
  <si>
    <t>CABLE COBRE THW 8 AWG</t>
  </si>
  <si>
    <t>CABLE COBRE THW 6 AWG</t>
  </si>
  <si>
    <t>TOMA DOBLE, CON POLO A TIERRA</t>
  </si>
  <si>
    <t>MANGUERA CONEXIÓN FLEXIBLE</t>
  </si>
  <si>
    <t>SANITARIO ACUACER</t>
  </si>
  <si>
    <t>LAVADERO PREFABRICADO EN GRANITO 80*60*50 CM</t>
  </si>
  <si>
    <t>LLAVE TERMINAL LAVADERO</t>
  </si>
  <si>
    <t>INCRUSTACIONES PORCELANA: TOALLERO, PAPELERA, JABONERA, GANCHO ELITE O SIMILAR</t>
  </si>
  <si>
    <t>jg</t>
  </si>
  <si>
    <t>DUCHA SENCILLA</t>
  </si>
  <si>
    <t>GRIFERIA PRYSMA 4" O SIMILAR</t>
  </si>
  <si>
    <t>LAVAMANOS ACUACER DE COLG</t>
  </si>
  <si>
    <t>SIFON 2"</t>
  </si>
  <si>
    <t>REJILLA SOSCO 3X2 ALUMINIO</t>
  </si>
  <si>
    <t>CERRADURA 20 MM</t>
  </si>
  <si>
    <t>PINTURA ESMALTE SINTETICO</t>
  </si>
  <si>
    <t>PUERTA METALICA EN ALUMINIO CAL 181.0X2.0</t>
  </si>
  <si>
    <t>VISOR EN VIDRIO</t>
  </si>
  <si>
    <t>SOLDADURA 6011X1/8"</t>
  </si>
  <si>
    <t>ANTICORROSIVO 507 GRIS</t>
  </si>
  <si>
    <t>LÁMINA COLD ROLLED 1.00X2.00 CAL.18</t>
  </si>
  <si>
    <t xml:space="preserve"> PINTURA ESMALTE SINTET</t>
  </si>
  <si>
    <t>TINNER</t>
  </si>
  <si>
    <t>PINTURA VINILO EXTERIOR TRES MANOS</t>
  </si>
  <si>
    <t>VENTANA CORREDERA ALUMINION NATURAL 5020</t>
  </si>
  <si>
    <t xml:space="preserve"> Tanque septico integrado horizontal de 10000 lts.</t>
  </si>
  <si>
    <t xml:space="preserve">UN </t>
  </si>
  <si>
    <t>Filtros Plasticos Para el Filtro Anaerobico tipo colmena</t>
  </si>
  <si>
    <t>Codo de 90° pvc sanitario D=4"</t>
  </si>
  <si>
    <t>Limpiador removedor 112 gm (1/32)</t>
  </si>
  <si>
    <t>Soldadura liquida 1/4 gal</t>
  </si>
  <si>
    <t>Tee de 4" union platino</t>
  </si>
  <si>
    <t>Niples de 4" * 29 cm</t>
  </si>
  <si>
    <t>Ml</t>
  </si>
  <si>
    <t xml:space="preserve">FLETE DESDE FABRICA HASTA ZONA URBANA </t>
  </si>
  <si>
    <t xml:space="preserve"> Trampa de grasa de 1000 lts.</t>
  </si>
  <si>
    <t>Codo de 90° pvc sanitario D=2"</t>
  </si>
  <si>
    <t>Niples de 2" * 12 cm</t>
  </si>
  <si>
    <t>FLETE DESDE FABRICA HASTA ZONA URBANA DE LA MINA</t>
  </si>
  <si>
    <t>SEGUETA NICKOLSON</t>
  </si>
  <si>
    <t>EPOXICO</t>
  </si>
  <si>
    <t>EQUIPOS</t>
  </si>
  <si>
    <t>EQUIPO BASICO HERRAMIENTA MENOR</t>
  </si>
  <si>
    <t>GLB</t>
  </si>
  <si>
    <t>CONSTRUEQUIPOS</t>
  </si>
  <si>
    <t>FORMALETA DE MADERA</t>
  </si>
  <si>
    <t>ANDAMIOS</t>
  </si>
  <si>
    <t>CERCHAS METALICAS</t>
  </si>
  <si>
    <t>PARALES  METALICOS 3 Y 4MT</t>
  </si>
  <si>
    <t>TABLONES</t>
  </si>
  <si>
    <t>TABLERO DE MADERA .70 X 1.40 (CHAZAS)</t>
  </si>
  <si>
    <t>GUARDERAS .40 X 1.40</t>
  </si>
  <si>
    <t>TABLEROS PARA MUROS .40 X 1.45</t>
  </si>
  <si>
    <t>CORTADORA PAVIMENTO 5CM</t>
  </si>
  <si>
    <t xml:space="preserve">MEZCLADORA, RANA, VIBRADOR, MOTOBOMBA </t>
  </si>
  <si>
    <t>MEZCLADORA, RANA, VIBRADOR, MOTOBOMBA CON OPERADOR</t>
  </si>
  <si>
    <r>
      <t xml:space="preserve">FORMALETA METALICA COLUMNA CIRCULAR  </t>
    </r>
    <r>
      <rPr>
        <sz val="12"/>
        <color indexed="8"/>
        <rFont val="Calibri"/>
        <family val="2"/>
      </rPr>
      <t>Ø .2 A .3 LONG. 3.00MT</t>
    </r>
  </si>
  <si>
    <r>
      <t xml:space="preserve">FORMALETA METALICA COLUMNA CIRCULAR </t>
    </r>
    <r>
      <rPr>
        <sz val="12"/>
        <color indexed="8"/>
        <rFont val="Calibri"/>
        <family val="2"/>
      </rPr>
      <t>Ø .4 A .5 LONG. 3.00MT</t>
    </r>
  </si>
  <si>
    <r>
      <t xml:space="preserve">FORMALETA METALICA COLUMNA CIRCULAR </t>
    </r>
    <r>
      <rPr>
        <sz val="12"/>
        <color indexed="8"/>
        <rFont val="Calibri"/>
        <family val="2"/>
      </rPr>
      <t>Ø .6 LONG. 3.00MT</t>
    </r>
  </si>
  <si>
    <r>
      <t>FORMALETA METALICA COLUMNA CUADRADA HASTA .40 X .40 L</t>
    </r>
    <r>
      <rPr>
        <sz val="12"/>
        <color indexed="8"/>
        <rFont val="Calibri"/>
        <family val="2"/>
      </rPr>
      <t>ONG. 2.90MT</t>
    </r>
  </si>
  <si>
    <t>FORMALETA PARA COLUMNAS</t>
  </si>
  <si>
    <t>FORMALETA PARA VIGAS SOBRE MURO 11.11ML O .3X.3</t>
  </si>
  <si>
    <t>FORMALETA PARA PLACAS AEREAS</t>
  </si>
  <si>
    <t xml:space="preserve">MANO DE OBRA </t>
  </si>
  <si>
    <t>MANO DE OBRA AA-ALBAÑILERIA</t>
  </si>
  <si>
    <t>HC</t>
  </si>
  <si>
    <t>MANO DE OBRA BB-PLOMERIA Y ELECTRICAS</t>
  </si>
  <si>
    <t>MANO DE OBRA CC-PINTURA</t>
  </si>
  <si>
    <t>MANO DE OBRA DD-CARPINTERIA MADERA Y METAL.</t>
  </si>
  <si>
    <t>MANO DE OBRA EE-CABLEADO ESTRUCTURAL</t>
  </si>
  <si>
    <t>SALARIO DIARIO AYUDANTE</t>
  </si>
  <si>
    <t>JORNAL DIARIO AYUDANTE</t>
  </si>
  <si>
    <t>OFICIAL</t>
  </si>
  <si>
    <t>TRANSPORTE MATERIAL DE ARENA INTERNO</t>
  </si>
  <si>
    <t>M3-KM</t>
  </si>
  <si>
    <t>ACARREO DE MATERIALES PETREOS POR KM</t>
  </si>
  <si>
    <t>TRANSPORTE MATERIAL DE GRAVILLA INTERNO</t>
  </si>
  <si>
    <t>MORTERO 1:3</t>
  </si>
  <si>
    <t>TRANSPORTE DE MATERIALES(ARENA) INTERNO</t>
  </si>
  <si>
    <t>TRANSPORTE DE MATERIALES(TRITURADO) INTERNO</t>
  </si>
  <si>
    <t>AYUDANTE ALBAÑILERÍA (A)</t>
  </si>
  <si>
    <t>hr</t>
  </si>
  <si>
    <t>MORTERO  1:4</t>
  </si>
  <si>
    <t>MORTERO  1:5</t>
  </si>
  <si>
    <t>MORTERO 1:4 IMPERMEABILIZADO</t>
  </si>
  <si>
    <t>SIKA 1 (20 KG)</t>
  </si>
  <si>
    <t>CONCRETO 1:1 1/2:2 ELABORADO EN OBRA</t>
  </si>
  <si>
    <t>MEZCLADORA CON OPERADOR</t>
  </si>
  <si>
    <t>CUADRILLA "AA" (ALBAÑILERÍA)</t>
  </si>
  <si>
    <t>CONCRETO 1: 2:2 ELABORADO EN OBRA</t>
  </si>
  <si>
    <t>CONCRETO 1:2:3 ELABORADO EN OBRA-3.000PSI</t>
  </si>
  <si>
    <t>CONCRETO 1:2:4 ELABORADO EN OBRA</t>
  </si>
  <si>
    <t>CONCRETO 1:4:5 ELABORADO EN OBRA</t>
  </si>
  <si>
    <t>CONCRETO 1:3:4 ELABORADO EN OBRA</t>
  </si>
  <si>
    <t>CONCRETO 1:3:5 ELABORADO EN OBRA</t>
  </si>
  <si>
    <t>D</t>
  </si>
  <si>
    <t>FORMALETA PARA MUROS DE CONTENCION</t>
  </si>
  <si>
    <t>FORMALETA PARA COLUMNAS CIRCULARES</t>
  </si>
  <si>
    <t>FORMALETA METALICA COLUMNA CIRCULAR  Ø .2 A .3 LONG. 3.00MT</t>
  </si>
  <si>
    <t>FORMALETA PARA PEDESTAL</t>
  </si>
  <si>
    <t>FORMALETA PARA VIGAS SOBRE MURO</t>
  </si>
  <si>
    <t>LISTON ALGARROBILLO 2 X 4"-4 USOS</t>
  </si>
  <si>
    <t>FORMALETA PARA VIGAS-VIGA CANAL-DESCOLGADO</t>
  </si>
  <si>
    <t xml:space="preserve">FORMALETA PARA DINTEL </t>
  </si>
  <si>
    <t>TABLA ALGARROBILLO 1 X 8"-4 USOS</t>
  </si>
  <si>
    <t>FORMALETA PARA ALFAJIAS</t>
  </si>
  <si>
    <t>FORMALETA PARA MESONES</t>
  </si>
  <si>
    <t>VIDRIO CLARO 4MM</t>
  </si>
  <si>
    <t>VIDRIO CLARO 5MM</t>
  </si>
  <si>
    <t>VIDRIO BRONCE 4MM</t>
  </si>
  <si>
    <t>VIDRIO BRONCE 5MM</t>
  </si>
  <si>
    <t>VENTANA 5020 1.2X1.0 2 HOJAS</t>
  </si>
  <si>
    <t>VENTANA 744 3.0X1.5 4 HOJAS</t>
  </si>
  <si>
    <t>VENTANA 744 2.0X2.0 4 HOJAS</t>
  </si>
  <si>
    <t>VENTANA 5020 0.70X.5  2 HOJAS</t>
  </si>
  <si>
    <t>DIVISION DE BAÑO ACRILICO 3MM Y ALUMINIO</t>
  </si>
  <si>
    <t>PUERTAS CAL 20</t>
  </si>
  <si>
    <t>PUERTAS CAL 18</t>
  </si>
  <si>
    <t>REJA TUBO 1"</t>
  </si>
  <si>
    <t>REJA VARILLA 1/2 10MM</t>
  </si>
  <si>
    <t>MARCO LAM CAL20</t>
  </si>
  <si>
    <t>DIV WC CAL 20 ENTAMBORADA</t>
  </si>
  <si>
    <t xml:space="preserve">MALLA ESLABONADA-TUBO 2" </t>
  </si>
  <si>
    <t>PORTERIAS FIJAS</t>
  </si>
  <si>
    <t>PORTERIAS RODANTES</t>
  </si>
  <si>
    <t>BARANDA AGUAS NEGRAS</t>
  </si>
  <si>
    <t>MOTONIVELADORA EN NIVELACION DE TERRAPLENES</t>
  </si>
  <si>
    <t>M2/DIA</t>
  </si>
  <si>
    <t>TAPA Y MARCO DE  1,20M  X  0,70  M EN ANGULO GALVANIZADO DE 2 X 3/16" TAPA EN CONCRETO DE 3500 PSI</t>
  </si>
  <si>
    <t>ANGULO 2" X 3/16"</t>
  </si>
  <si>
    <t>VARILLAS DE 3/8" CAD .10MT AMBOS SENTIDOS</t>
  </si>
  <si>
    <t>DISOLVENTE THINNER</t>
  </si>
  <si>
    <t>SUBCONTRATO ORNAMENTACION</t>
  </si>
  <si>
    <t>TAPA Y MARCO DE  .7/ M  X  0,70 M EN ANGULO GALVANIZADO DE 1 1/2" X 3/16" LAMINA ALFAJOR 1/8</t>
  </si>
  <si>
    <t>ANGULO 1 1/2" X 3/16"</t>
  </si>
  <si>
    <t>LAMINA ALFAJOR 1/8</t>
  </si>
  <si>
    <t>LEÑA</t>
  </si>
  <si>
    <t>CARGA</t>
  </si>
  <si>
    <t>LLANTAS VIEJAS</t>
  </si>
  <si>
    <t>PISON DE ACERO</t>
  </si>
  <si>
    <t>TUBERIA PAVCO RDE 26 DE 2" AGUA POTABLE</t>
  </si>
  <si>
    <t>PAVCO</t>
  </si>
  <si>
    <t>TUBERIA PAVCO RDE 26 DE 3" AGUA POTABLE</t>
  </si>
  <si>
    <t>TUBERIA PAVCO RDE 26 DE 4" AGUA POTABLE</t>
  </si>
  <si>
    <t>TUBERIA PAVCO RDE 26 DE 6" AGUA POTABLE</t>
  </si>
  <si>
    <t>TUBERIA PAVCO RDE 26 DE 8" AGUA POTABLE</t>
  </si>
  <si>
    <t>CODO PRESION PAVCO DE 90 2"</t>
  </si>
  <si>
    <t>CODO PRESION PAVCO DE 90 3" union platino</t>
  </si>
  <si>
    <t>CODO PRESION PAVCO DE 45 3" union platino</t>
  </si>
  <si>
    <t>CODO PRESION PAVCO DE 90 4" union platino</t>
  </si>
  <si>
    <t>TEE UNION PLATINO 4X4X2</t>
  </si>
  <si>
    <t>TEE UNION PLATINO 4X4X3</t>
  </si>
  <si>
    <t>TEE UNION PLATINO 3X3X2</t>
  </si>
  <si>
    <t>TEE UNION PLATINO 3X3X3</t>
  </si>
  <si>
    <t>TEE UNION PLATINO 4X4X4</t>
  </si>
  <si>
    <t xml:space="preserve"> UNION PLATINO RAPIDA 2"</t>
  </si>
  <si>
    <t xml:space="preserve"> UNION PLATINO RAPIDA 3"</t>
  </si>
  <si>
    <t xml:space="preserve"> UNION PLATINO RAPIDA 4"</t>
  </si>
  <si>
    <t>UNION PRESION PVC LISA 1"</t>
  </si>
  <si>
    <t>UNION PRESION PVC LISA 2"</t>
  </si>
  <si>
    <t>UNION PRESION PVC LISA 3"</t>
  </si>
  <si>
    <t>UNION PRESION PVC LISA 3/4"</t>
  </si>
  <si>
    <t>UNION PRESION PVC LISA 1/2"</t>
  </si>
  <si>
    <t>COLLARIN O COLLAR DE DERIVACION DE (3*1/2")</t>
  </si>
  <si>
    <t>TUBERIA PRESION PVC RDE 26 1 1/2"</t>
  </si>
  <si>
    <t>TUBERIA PRESION PVC RDE 13.5  1/2"</t>
  </si>
  <si>
    <t>TUBERIA PRESION PVC RDE 21 1"</t>
  </si>
  <si>
    <t>TUBERIA PRESION PVC RDE 26 2"</t>
  </si>
  <si>
    <t>TUBERIA PRESION PVC RDE 26 3"</t>
  </si>
  <si>
    <t>ADAPTADOR HEMBRA 20MMX1/2"</t>
  </si>
  <si>
    <t>UNION RAPIDA 110 MM</t>
  </si>
  <si>
    <t>UNION RAPIDA 90 MM</t>
  </si>
  <si>
    <t>UNION RAPIDA 63 MM</t>
  </si>
  <si>
    <t>ADAPTADOR MACHO 20MMX1/2"</t>
  </si>
  <si>
    <t>ADAPTADOR MACHO 32MMX1"</t>
  </si>
  <si>
    <t>ADAPTADOR MACHO 63MMX 2"</t>
  </si>
  <si>
    <t>ADAPTADOR MACHO 90MMX 3"</t>
  </si>
  <si>
    <t>XXXX</t>
  </si>
  <si>
    <t>TUBERIA PEAD PN10 PE 100 160MM</t>
  </si>
  <si>
    <t>TUBERIA PEAD PN10 PE 100 110MM</t>
  </si>
  <si>
    <t>TUBERIA PEAD PN10 PE 100 90MM</t>
  </si>
  <si>
    <t>TUBERIA PEAD PN10 PE 100 63MM</t>
  </si>
  <si>
    <t>SACOS DE PROLIPROLPILENO</t>
  </si>
  <si>
    <t>PLASTICO CALIBRE 5 HC 3</t>
  </si>
  <si>
    <t>ROLLO</t>
  </si>
  <si>
    <t xml:space="preserve">519900 calibre 3.5 </t>
  </si>
  <si>
    <t>EQUIPO PRUEBA HIDROSTATICA</t>
  </si>
  <si>
    <t>TEE DE 4" union platino</t>
  </si>
  <si>
    <t xml:space="preserve">115056 revista celta 2019 con iva </t>
  </si>
  <si>
    <t xml:space="preserve">274900 homecenter </t>
  </si>
  <si>
    <t>UNION UNIVERSAL 4"</t>
  </si>
  <si>
    <t xml:space="preserve">196593 revista celta 2019 con iva </t>
  </si>
  <si>
    <t>LISTON DE MADERA 2X2"</t>
  </si>
  <si>
    <t xml:space="preserve">5000 maderas y equipos valledupar </t>
  </si>
  <si>
    <t>PERFIL  PHR-C 120X60 CAL. 14</t>
  </si>
  <si>
    <t>EQUIPO DE SOLDADURA ELECTRICA</t>
  </si>
  <si>
    <t>ÁNGULO HIERRO 3/4 X 1/8</t>
  </si>
  <si>
    <t>BISAGRA ALUMINIO EXT 3</t>
  </si>
  <si>
    <t>CERRADURA YALE DE SOBREPONER</t>
  </si>
  <si>
    <t xml:space="preserve">103900 homecenter </t>
  </si>
  <si>
    <t>LIJA DE AGUA 965 SUPER</t>
  </si>
  <si>
    <t>PULIPLAST A TODO COSTO</t>
  </si>
  <si>
    <t>CÑTE</t>
  </si>
  <si>
    <t>76900 marca corona</t>
  </si>
  <si>
    <t xml:space="preserve">56900 marca topex </t>
  </si>
  <si>
    <t xml:space="preserve">homecenter </t>
  </si>
  <si>
    <t>PINTURA EPOXICA</t>
  </si>
  <si>
    <t>???</t>
  </si>
  <si>
    <t>DISOLVENTE PARA EPOXICAS</t>
  </si>
  <si>
    <t xml:space="preserve">46900 pintuco </t>
  </si>
  <si>
    <t>EQUIPO DE PROTECCION GAFAS, MASCARA CON FILTRO DE SEGURIDAD</t>
  </si>
  <si>
    <t>TUBERIA PEAD PN10 PE 100 75MM</t>
  </si>
  <si>
    <t>INSUMOS VIADUCTO</t>
  </si>
  <si>
    <t>EMCOCABLES MEDELLIN</t>
  </si>
  <si>
    <t xml:space="preserve">52000 g&amp;j valledupar </t>
  </si>
  <si>
    <t>31000 negro</t>
  </si>
  <si>
    <t>35000 blanco</t>
  </si>
  <si>
    <t>Valvula de compuerta elastica extremos bridas de 2"</t>
  </si>
  <si>
    <t>COVAL COMERCIAL SA</t>
  </si>
  <si>
    <t>válvulas de compuerta, junta ràpida VALVULA D= 3"</t>
  </si>
  <si>
    <t xml:space="preserve">  válvulas de compuerta D= 4"</t>
  </si>
  <si>
    <t>Valvula de compuerta D= 6"</t>
  </si>
  <si>
    <t>Valvula para Ventosa 2"</t>
  </si>
  <si>
    <t>Valvula para Ventosa 4"</t>
  </si>
  <si>
    <t>Valvula para Ventosa 3"</t>
  </si>
  <si>
    <t>Tee Partida 2"</t>
  </si>
  <si>
    <t>Válvula de compuerta de 4" para purga</t>
  </si>
  <si>
    <t>Válvula de compuerta de 2" para purga</t>
  </si>
  <si>
    <t xml:space="preserve">Tee Partida 4" </t>
  </si>
  <si>
    <t>CONSRUEQUIPOS</t>
  </si>
  <si>
    <t>Valvula de control de 1/2"</t>
  </si>
  <si>
    <t>Llave o pluma 1/2"</t>
  </si>
  <si>
    <t xml:space="preserve">27900 grival </t>
  </si>
  <si>
    <t>COMPUERTA LATERAL EN LAMINA 3/16 DE 0.20X0.20M</t>
  </si>
  <si>
    <t>COMPUERTA LATERAL EN LAMINA DE 3/16 DE 15X15</t>
  </si>
  <si>
    <t>CODO 4X4 BXB</t>
  </si>
  <si>
    <t>TORNILLOS DE 5/8X3"</t>
  </si>
  <si>
    <t>EMPAQUE DE NEOPRENO</t>
  </si>
  <si>
    <t xml:space="preserve"> VALVULA GARRA DE TIGRE PARA POLIETILENO D= 4"</t>
  </si>
  <si>
    <t>CINTA SIKA 22 (15,00 ML)</t>
  </si>
  <si>
    <t xml:space="preserve">39993 ml homecenter </t>
  </si>
  <si>
    <t>HIDRANTE MEGA DE 2 SALIDAS PARA CONEXION GARRA DE TIGRE 3" PE</t>
  </si>
  <si>
    <t>TEE DE JUNTA RAPIDA 3*3" P/PVC</t>
  </si>
  <si>
    <t>VALVULA DE CIERRE RAPIDO 3"</t>
  </si>
  <si>
    <t>TEE EXTREMO LISO PVC 3"</t>
  </si>
  <si>
    <t>UNION DE REPARACION DE 3"</t>
  </si>
  <si>
    <t>UNION DE REPARACION DE 2"</t>
  </si>
  <si>
    <t>TAPON DE 3" PVC union platino</t>
  </si>
  <si>
    <t>YEE DE 3" HD JUNTA RAPIDA</t>
  </si>
  <si>
    <t>CRUZ DE 3" JUNTA RAPIDA HD P/PVC</t>
  </si>
  <si>
    <t>TEE 3X2 union platino</t>
  </si>
  <si>
    <t>CODO 2"  PVC</t>
  </si>
  <si>
    <t xml:space="preserve">10940 con iva  celta </t>
  </si>
  <si>
    <t>MANGUERA CONTRA INCENDIO 2 1/2  L=30M</t>
  </si>
  <si>
    <t>VALVULA HF 3"</t>
  </si>
  <si>
    <t>TEE DE JUNTA RAPIDA 3*3"</t>
  </si>
  <si>
    <t>COLLAR DE DERIVACION DE 4"X1"</t>
  </si>
  <si>
    <t>NIPLE HG 1"X40CM</t>
  </si>
  <si>
    <t>LLAVE DE PASO DE DIAMETRO 1"</t>
  </si>
  <si>
    <t>VENTOSA DE TRIPLE ACCION DE 1"</t>
  </si>
  <si>
    <t xml:space="preserve">638000 apolo </t>
  </si>
  <si>
    <t>CODO DE JUNTA RAPIDA DE 3"X90°</t>
  </si>
  <si>
    <t>ALAMBRE PUAS CALIBRE 14</t>
  </si>
  <si>
    <t xml:space="preserve">379.8 cal.14 </t>
  </si>
  <si>
    <t>272.25 cal. 16.5</t>
  </si>
  <si>
    <t>459.71 cal. 12.5</t>
  </si>
  <si>
    <t>VALLA METALICA 3X2</t>
  </si>
  <si>
    <t>PLANTA DE POTABILIZACIÓN MODULAR PARA OPERACIÓN POR GRAVEDAD de 5 LPS (incluye un sistema de inyección de coagulante, clarificador ascendente, unidad de filtración descendente y un sistema de desinfección con cloro, incluye construccion de caseta de ( 2x4 m) y cerramiento en alambre púa y postes concreto</t>
  </si>
  <si>
    <t>Suministro e instalacion de Codo Polietileno Tope PE 100 - RDE 17 PN10 de 110mm x45° Union por Termofusion</t>
  </si>
  <si>
    <t>Suministro e instalacion de Codo Polietileno Tope PE 100 - RDE 17 PN10 de 110mm x90° Union por Termofusion</t>
  </si>
  <si>
    <t>Suministro e instalacion de Tee Polietileno Tope PE 100 - RDE 17 PN10 de 110mm  Union por Termofusion</t>
  </si>
  <si>
    <t>Suministro e instalacion de Tee Polietileno Tope PE 100 - RDE 17 PN10 de 90mm  Union por Termofusion</t>
  </si>
  <si>
    <t>Suministro e instalacion de Tee Polietileno Tope PE 100 - RDE 17 PN10 de 75mm  Union por Termofusion</t>
  </si>
  <si>
    <t xml:space="preserve">90 MM </t>
  </si>
  <si>
    <t>Suministro e instalacion de REDUCCION Polietileno Tope PE 100 - RDE 17 PN10 de 90 X 75mm  Union por Termofusion</t>
  </si>
  <si>
    <t>Suministro e instalacion de REDUCCION Polietileno Tope PE 100 - RDE 17 PN10 de 75 X 63mm  Union por Termofusion</t>
  </si>
  <si>
    <t>90X63</t>
  </si>
  <si>
    <t>Codo en acero al carbono de 6X90</t>
  </si>
  <si>
    <t>PASAMURO 4" L= 80 CMS B*B EN A/C SCH -40</t>
  </si>
  <si>
    <t>PASAMURO 3" L= 80 CMS B*B EN A/C SCH -40</t>
  </si>
  <si>
    <t>PASAMURO 6" L= 80 CMS B*B EN A/C SCH -40</t>
  </si>
  <si>
    <t>PASAMURO 6" L= 85 CMS B*B EN A/C SCH -40</t>
  </si>
  <si>
    <t>PASAMURO 6" L= 70 CMS B*B EN A/C SCH- 40</t>
  </si>
  <si>
    <t>NIPLE 6" L= 1,60 CMS B*B EN A/C SCH- 40</t>
  </si>
  <si>
    <t>NIPLE 3" L= 50 CMS R*R GALVANIZADO</t>
  </si>
  <si>
    <t>NIPLE 3" L= 15 CMS R*R GALVANIZADO</t>
  </si>
  <si>
    <t>BRIDA LOCA 3"</t>
  </si>
  <si>
    <t>BRIDA LOCA 4"</t>
  </si>
  <si>
    <t>BRIDA LOCA 6"</t>
  </si>
  <si>
    <t>CODO 4"*90 B*B EN A/C SCH-40</t>
  </si>
  <si>
    <t>CODO 6"*90 B*B EN A/C SCH-41</t>
  </si>
  <si>
    <t>CODO 3"*90 B*B ROSCADO GALVANIZADO</t>
  </si>
  <si>
    <t>TEE 4" B*B EN ACERO AL CARBONO SCH-40</t>
  </si>
  <si>
    <t>CAJA PLASTICA PARA MEDIDOR DIMENSIONES DE 364*172MM</t>
  </si>
  <si>
    <t>MICROMEDIDOR CHORRO UNICO METALICO CLASE C/ R 160</t>
  </si>
  <si>
    <t>REGISTRO DE CORTE O DE ACERA ANTIFRAUDE DE 3/4*1/2*3/4"</t>
  </si>
  <si>
    <t>REGISTRO DE CONTENCION DE USUARIO</t>
  </si>
  <si>
    <t>KIT EMPAQUETADURA DE 6" PARA PASAMURO</t>
  </si>
  <si>
    <t>KIT EMPAQUETADURA DE 4" PARA PASAMURO</t>
  </si>
  <si>
    <t>ADMINISTRACION</t>
  </si>
  <si>
    <t>IMPREVISTOS</t>
  </si>
  <si>
    <t>UTILIDAD</t>
  </si>
  <si>
    <t>PRESTACIONES</t>
  </si>
  <si>
    <t>SUBSIDIO DE TRANSPORTE</t>
  </si>
  <si>
    <t>MALLA ESLABONADA 2 1/4" X 2 1/4" X H= 2,00 M</t>
  </si>
  <si>
    <t>TUBO GALVANIZADO DE 2" CALIBRE 14</t>
  </si>
  <si>
    <t>TUBO GALVANIZADO DE 3/4" CALIBRE 14</t>
  </si>
  <si>
    <t>CARGO : SECRETARIO DE PLANEACION Y OBRAS</t>
  </si>
  <si>
    <t>Nombre:  DANIEL A. MAHECHA CALDERON</t>
  </si>
  <si>
    <t>Suministro e instalación de Rejilla metálica 1,0 m x 0,5 m, de acuerdo al diseño</t>
  </si>
  <si>
    <t>OK</t>
  </si>
  <si>
    <t>ALTO</t>
  </si>
  <si>
    <t>ANCHO</t>
  </si>
  <si>
    <t>LONGITUD</t>
  </si>
  <si>
    <t>CANTIDAD TOTAL</t>
  </si>
  <si>
    <t>I. EQUIPO</t>
  </si>
  <si>
    <t>Tarifa/Hora</t>
  </si>
  <si>
    <t>Valor-Unit.</t>
  </si>
  <si>
    <t>Motosierra, 93.6 cm3 - 7.1 HP, 45-90 cm - 7.9 kg</t>
  </si>
  <si>
    <t>Sub-Total</t>
  </si>
  <si>
    <t>II. MATERIALES EN OBRA</t>
  </si>
  <si>
    <t>Precio-Unit.</t>
  </si>
  <si>
    <t>III. TRANSPORTES</t>
  </si>
  <si>
    <t>Material</t>
  </si>
  <si>
    <t>IV. MANO DE OBRA</t>
  </si>
  <si>
    <t>Trabajador</t>
  </si>
  <si>
    <t>Prestaciones</t>
  </si>
  <si>
    <t>Total Costo Directo</t>
  </si>
  <si>
    <t>Jornal</t>
  </si>
  <si>
    <t xml:space="preserve">UNIDAD:    </t>
  </si>
  <si>
    <t>ITEM 2.1</t>
  </si>
  <si>
    <t xml:space="preserve">SUMINISTRO E INSTALACIÓN UNIONES ALTAPRESION EN PVC O SIMILAR DE 4" </t>
  </si>
  <si>
    <t>ITEM 2.2</t>
  </si>
  <si>
    <t>Transporte de tubería</t>
  </si>
  <si>
    <t>m3/km</t>
  </si>
  <si>
    <t xml:space="preserve">SUMINISTRO E INSTALACIÓN UNIONES ALTAPRESION EN PVC O SIMILAR DE 3" </t>
  </si>
  <si>
    <t xml:space="preserve">SUMINISTRO E INSTALACIÓN UNIONES ALTAPRESION EN PVC O SIMILAR DE 2" </t>
  </si>
  <si>
    <t>GBL</t>
  </si>
  <si>
    <t xml:space="preserve">MANTENIMIENTO DE MANGUERA EXISTENTE, PARA SU CORRECTO FUNCIONAMIENTO, REALIZANDO LABORES DE AJUSTE DE ACOPLES Y PUESTA EN SERVICIO DEL SISTEMA </t>
  </si>
  <si>
    <t>MOVIMENTOS DE TIERRA PARA MANTENIMIENTO DE DISTRITO DE RIEGO</t>
  </si>
  <si>
    <t>OBRAS DE REDES HIDRAULICAS PARA MANTENIMIENTO DE DISTRITO DE RIEGO</t>
  </si>
  <si>
    <t>ITEM 1.1</t>
  </si>
  <si>
    <t>ITEM 1.2</t>
  </si>
  <si>
    <t>ITEM 2.3</t>
  </si>
  <si>
    <t>ITEM 2.4</t>
  </si>
  <si>
    <t xml:space="preserve">SUMINISTRO E INSTALACION DE TUBERIA DE ALTA PRESIÓN EN PVC 4" </t>
  </si>
  <si>
    <t xml:space="preserve">SUMINISTRO E INSTALACION DE TUBERIA DE ALTA PRESIÓN EN PVC 3" </t>
  </si>
  <si>
    <t xml:space="preserve">SUMINISTRO E INSTALACION DE TUBERIA DE ALTA PRESIÓN EN PVC 2" </t>
  </si>
  <si>
    <t>ITEM 2.5</t>
  </si>
  <si>
    <t>ITEM 2.6</t>
  </si>
  <si>
    <t>ITEM 2.7</t>
  </si>
  <si>
    <t xml:space="preserve">LIMPIEZA Y MANTENIMIENTO DEL DISTRITO DE RIEGO DE LA PARTE BAJA DE SABANAS DE LEON, MUNICIPIO DE MANAURE, DEPARTAMENTO DEL CESAR. </t>
  </si>
  <si>
    <t>Cronograma de Flujo</t>
  </si>
  <si>
    <t>VALOR</t>
  </si>
  <si>
    <t>Semana 1</t>
  </si>
  <si>
    <t>Semana 2</t>
  </si>
  <si>
    <t>Semana 3</t>
  </si>
  <si>
    <t xml:space="preserve">ALCALDIA MUNICIPAL DE LA PAZ - CESAR </t>
  </si>
  <si>
    <t>SECRETARIA DE PLANEACION Y DESARROLLO TERRIRORIAL</t>
  </si>
  <si>
    <t>CRONOGRAMA DE ACTIVIDADES</t>
  </si>
  <si>
    <t>ALCALDIA MUNICIPAL DE LA PAZ - CESAR</t>
  </si>
  <si>
    <t>CONTIENE: CRONOGRAMA DE ACTIVIDADES</t>
  </si>
  <si>
    <t>VR. TOTAL</t>
  </si>
  <si>
    <t>PERIODO DE TIEMPO</t>
  </si>
  <si>
    <t>item</t>
  </si>
  <si>
    <t>DESCRIPCION DE OBJETO</t>
  </si>
  <si>
    <t>Valor Total</t>
  </si>
  <si>
    <t>1.1</t>
  </si>
  <si>
    <t>1.2</t>
  </si>
  <si>
    <t>SUBTOTAL</t>
  </si>
  <si>
    <t>EQUI</t>
  </si>
  <si>
    <t>TRANS</t>
  </si>
  <si>
    <t>SEMANA 1</t>
  </si>
  <si>
    <t>SEMANA 2</t>
  </si>
  <si>
    <t>PRESUPUESTO OFICIAL</t>
  </si>
  <si>
    <t>CONTIENE: PRESUPUESTO OFICIAL</t>
  </si>
  <si>
    <t>Elaboró:</t>
  </si>
  <si>
    <t>INGENIERO CIVIL</t>
  </si>
  <si>
    <t>M.P 20202-36795656 CES</t>
  </si>
  <si>
    <t>C.C 1.067.815.106</t>
  </si>
  <si>
    <t>ETAPA PRECONTRACTUAL</t>
  </si>
  <si>
    <t>ETAPA RECIBO Y LIQUIDACIÓN</t>
  </si>
  <si>
    <t>Cmioneta 4x4. Incluye todo lo necesario para prestar el servicio de trasporte</t>
  </si>
  <si>
    <t>ALCALDIA MUNICIPAL DE LA PAZ, DEPARTAMENTO DEL CESAR</t>
  </si>
  <si>
    <t>CONTIENE: ANALISIS DE PRECIOS DE CUADRILLAS</t>
  </si>
  <si>
    <t>FACTOR</t>
  </si>
  <si>
    <t>1 AYUDANTE A</t>
  </si>
  <si>
    <t>SALARIO</t>
  </si>
  <si>
    <t>día</t>
  </si>
  <si>
    <t xml:space="preserve">SALARIO </t>
  </si>
  <si>
    <t>1 OFICIAL A</t>
  </si>
  <si>
    <t>1 OFICIAL B</t>
  </si>
  <si>
    <t>1 OPERADOR DE MAQUINA AMARILLA</t>
  </si>
  <si>
    <t>Clave</t>
  </si>
  <si>
    <t>Precio con</t>
  </si>
  <si>
    <t>Total</t>
  </si>
  <si>
    <t>prestaciones</t>
  </si>
  <si>
    <t>O00050</t>
  </si>
  <si>
    <t>Cuadrilla AA (Albañilería) 1Of y 1 Ay</t>
  </si>
  <si>
    <t>O00001</t>
  </si>
  <si>
    <t>Ayudante A</t>
  </si>
  <si>
    <t>jor</t>
  </si>
  <si>
    <t>O00002</t>
  </si>
  <si>
    <t>Oficial A</t>
  </si>
  <si>
    <t>O00901</t>
  </si>
  <si>
    <t>Factor prestacional de ingreso por hora efectiva / base hora laboral</t>
  </si>
  <si>
    <t>O00051</t>
  </si>
  <si>
    <t>Cuadrilla AA 1Of+2Ay (Albañilería)</t>
  </si>
  <si>
    <t>Cuadrilla AA (Albañilería)   1 Ay</t>
  </si>
  <si>
    <t>Cuadrilla AA (Albañilería)   1 Oficial</t>
  </si>
  <si>
    <t>O00052</t>
  </si>
  <si>
    <t>Cuadrilla BB (Instalaciones) 1 Of y 1 Ay</t>
  </si>
  <si>
    <t>O00004</t>
  </si>
  <si>
    <t xml:space="preserve">Ayudante A Instalaciones </t>
  </si>
  <si>
    <t>O00005</t>
  </si>
  <si>
    <t>Oficial A Instalaciones</t>
  </si>
  <si>
    <t xml:space="preserve">Subtotal  </t>
  </si>
  <si>
    <t>O00053</t>
  </si>
  <si>
    <t>Cuadrilla CC (Pintura)  1 Of Y 3 Ay</t>
  </si>
  <si>
    <t>O00006</t>
  </si>
  <si>
    <t>Ayudantes A Pinturas</t>
  </si>
  <si>
    <t>O00007</t>
  </si>
  <si>
    <t xml:space="preserve">Oficial A Pinturas </t>
  </si>
  <si>
    <t>Subtotal  1</t>
  </si>
  <si>
    <t>Incremento Oficio</t>
  </si>
  <si>
    <t>Subtotal  2</t>
  </si>
  <si>
    <t>O00054</t>
  </si>
  <si>
    <t>Cuadrilla DD (Carpintería)  2 Of y 1 Ay</t>
  </si>
  <si>
    <t>Ayudante A Carpintería</t>
  </si>
  <si>
    <t>Oficial A Carpintería</t>
  </si>
  <si>
    <t>Oficial B Carpintería</t>
  </si>
  <si>
    <t>O00055</t>
  </si>
  <si>
    <t>Cuadrilla EE (Eléctricos)  1 Of y 1 Ay</t>
  </si>
  <si>
    <t>Ayudante Electricista</t>
  </si>
  <si>
    <t>Oficial Electricista</t>
  </si>
  <si>
    <t>Cuadrilla TT (Topografía)   1 Top.-1 of ejero</t>
  </si>
  <si>
    <t>topógrafo</t>
  </si>
  <si>
    <t>Oficial</t>
  </si>
  <si>
    <t>Cuadrilla AA (Concretos) 2Of y 4 Ay</t>
  </si>
  <si>
    <t>Cuadrilla AA (Aseo) 2Ay</t>
  </si>
  <si>
    <t>1 AYUDANTE  B</t>
  </si>
  <si>
    <t>CONTIENE: CANTIDADES</t>
  </si>
  <si>
    <t xml:space="preserve">CANTIDADES </t>
  </si>
  <si>
    <t xml:space="preserve">COSTOS ADMINISTRACIÓN </t>
  </si>
  <si>
    <t xml:space="preserve">COSTOS IMPREVISTOS </t>
  </si>
  <si>
    <t xml:space="preserve">COSTOS UTILIDAD </t>
  </si>
  <si>
    <t>SUBTOTAL COSTOS INDIRECTOS</t>
  </si>
  <si>
    <t>SEMANA 3</t>
  </si>
  <si>
    <t>SEMANA 4</t>
  </si>
  <si>
    <t>SEMANA 5</t>
  </si>
  <si>
    <t>ALCALDIA MUNICIPAL DE LA PAZ CESAR</t>
  </si>
  <si>
    <t>CALCULO DEL A.I.U</t>
  </si>
  <si>
    <t>TOTAL COSTOS DIRECTOS</t>
  </si>
  <si>
    <t xml:space="preserve"> Administración </t>
  </si>
  <si>
    <t xml:space="preserve"> Imprevistos </t>
  </si>
  <si>
    <t xml:space="preserve"> Utilidad </t>
  </si>
  <si>
    <t>SUB TOTAL PROYECTO DE OBRA</t>
  </si>
  <si>
    <t>1. GASTOS ADMINISTRATIVOS</t>
  </si>
  <si>
    <t>% DE PARTICIPACIÓN</t>
  </si>
  <si>
    <t>VALOR UNITARIO ($)</t>
  </si>
  <si>
    <t>FACTOR %
PRESTACIONAL</t>
  </si>
  <si>
    <t>VALOR CON PRESTACIONES ($)</t>
  </si>
  <si>
    <t>MESES</t>
  </si>
  <si>
    <t>VALOR TOTAL ($)</t>
  </si>
  <si>
    <t>1. PERSONAL DE OBRA (incluye prestaciones sociales)</t>
  </si>
  <si>
    <t>mes</t>
  </si>
  <si>
    <t>2. COSTOS ADMINISTRATIVOS</t>
  </si>
  <si>
    <t>VALOR UNITARIO</t>
  </si>
  <si>
    <t>VALOR TOTAL</t>
  </si>
  <si>
    <t>EQUIPOS DE COMPUTO E IMPRESORAS</t>
  </si>
  <si>
    <t>PAPELERIA</t>
  </si>
  <si>
    <t>A) - SUB - TOTAL GASTOS DE PERSONAL Y ADMINISTRATIVOS</t>
  </si>
  <si>
    <t>GASTOS DE LEGALIZACION Y POLIZAS</t>
  </si>
  <si>
    <t>PORCENTAJE</t>
  </si>
  <si>
    <t>POLIZAS</t>
  </si>
  <si>
    <t>B) - SUB - TOTAL GASTOS DE LEGALIZACION Y POLIZAS</t>
  </si>
  <si>
    <t>GASTOS DE IMPUESTOS MUNICIPALES</t>
  </si>
  <si>
    <t>C) - SUB - TOTAL GASTOS DE IMPUESTOS MUNICIPALES</t>
  </si>
  <si>
    <t>TOTAL ADMINISTRACION (A+B+C)</t>
  </si>
  <si>
    <t>TOTAL ADMINISTRACION + IMPREVISTOS + UTILIDAD</t>
  </si>
  <si>
    <t>LEONARDO IVÁN OÑATE LÓPEZ</t>
  </si>
  <si>
    <t>ROCERÍA Y LIMPIEZA GENERAL DE VEGETACIÓN EN ZONA DE INFLUENCIA VIAL, INCLUYE DESMONTE DE MALEZA, DESTRONQUE, RECOLECCIÓN Y RETIRO DE MATERIAL VEGETAL Y RESIDUOS EXISTENTES.</t>
  </si>
  <si>
    <t>LIMPIEZA MANUAL DE CUNETAS CON ANCHO PROMEDIO DE 50 CM, INCLUYE RETIRO DE SEDIMENTOS Y MATERIAL VEGETAL</t>
  </si>
  <si>
    <t>MANTENIMIENTO VIAL</t>
  </si>
  <si>
    <t>Guadañadora - Desbrozadora</t>
  </si>
  <si>
    <t>hora</t>
  </si>
  <si>
    <t>Herramientas menores (machetes, palas, rastrillos)</t>
  </si>
  <si>
    <t>Bolsas/costales y ataduras</t>
  </si>
  <si>
    <t>lote</t>
  </si>
  <si>
    <t>Carretilla</t>
  </si>
  <si>
    <t>Inspector de Obra (Tecnico en Obras Civiles)</t>
  </si>
  <si>
    <t>CALCULO  DE  CUADRILLAS    2026</t>
  </si>
  <si>
    <t>ANALISIS DE MANO DE OBRA 2026</t>
  </si>
  <si>
    <t>ANALISIS DE PRECIOS UNITARIOS 2026</t>
  </si>
  <si>
    <t>CONTIENE: ANALISIS DE PRECIOS UNITARIOS 2026</t>
  </si>
  <si>
    <t>EXCAVACIÓN PARA LA CONFORMACIÓN MANUAL DE CUNETAS EN TERRENO NATURAL, ANCHO PROMEDIO DE 50 CM, H=40 CM. INCLUYE DESCAPOTE</t>
  </si>
  <si>
    <t>ITEMM</t>
  </si>
  <si>
    <t>1.3</t>
  </si>
  <si>
    <t>IMPUSTOS MUNICIPALES</t>
  </si>
  <si>
    <t>PROYECTO: MANTENIMIENTO DE LA VÍA QUE CONDUCE  DE "LA BODEGA" HACIA LA VEREDA "SABANA RUBIA" DEL
 MUNICIPIO DE LA PAZ, DEPARTAMENTO DEL CESAR.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</si>
</sst>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1">
    <numFmt numFmtId="43" formatCode="_-* #,##0.00_-;\-* #,##0.00_-;_-* &quot;-&quot;??_-;_-@_-"/>
    <numFmt numFmtId="164" formatCode="_-&quot;$&quot;\ * #,##0.00_-;\-&quot;$&quot;\ * #,##0.00_-;_-&quot;$&quot;\ * &quot;-&quot;??_-;_-@_-"/>
    <numFmt numFmtId="165" formatCode="#,##0.0"/>
    <numFmt numFmtId="166" formatCode="_(&quot;$&quot;\ * #,##0.00_);_(&quot;$&quot;\ * \(#,##0.00\);_(&quot;$&quot;\ * &quot;-&quot;??_);_(@_)"/>
    <numFmt numFmtId="167" formatCode="_ &quot;$&quot;\ * #,##0.00_ ;_ &quot;$&quot;\ * \-#,##0.00_ ;_ &quot;$&quot;\ * &quot;-&quot;??_ ;_ @_ "/>
    <numFmt numFmtId="168" formatCode="#,##0.000"/>
    <numFmt numFmtId="169" formatCode="_ * #,##0.00_ ;_ * \-#,##0.00_ ;_ * &quot;-&quot;??_ ;_ @_ "/>
    <numFmt numFmtId="170" formatCode="_-&quot;$&quot;* #,##0.00_-;\-&quot;$&quot;* #,##0.00_-;_-&quot;$&quot;* &quot;-&quot;??_-;_-@_-"/>
    <numFmt numFmtId="171" formatCode="_-&quot;$&quot;* #,##0_-;\-&quot;$&quot;* #,##0_-;_-&quot;$&quot;* &quot;-&quot;??_-;_-@_-"/>
    <numFmt numFmtId="172" formatCode="#,##0.00_);\-#,##0.00"/>
    <numFmt numFmtId="173" formatCode="0.000"/>
    <numFmt numFmtId="174" formatCode="#,##0.0000"/>
    <numFmt numFmtId="175" formatCode="_-* #,##0.00\ &quot;Pts&quot;_-;\-* #,##0.00\ &quot;Pts&quot;_-;_-* &quot;-&quot;??\ &quot;Pts&quot;_-;_-@_-"/>
    <numFmt numFmtId="176" formatCode="&quot;$&quot;\ #,##0.00"/>
    <numFmt numFmtId="177" formatCode="#,##0.00&quot; Pts&quot;;[Red]\-#,##0.00&quot; Pts&quot;"/>
    <numFmt numFmtId="178" formatCode="_([$$-240A]\ * #,##0.00000_);_([$$-240A]\ * \(#,##0.00000\);_([$$-240A]\ * &quot;-&quot;??_);_(@_)"/>
    <numFmt numFmtId="179" formatCode="0.0%"/>
    <numFmt numFmtId="180" formatCode="_-&quot;$&quot;\ * #,##0.0_-;\-&quot;$&quot;\ * #,##0.0_-;_-&quot;$&quot;\ * &quot;-&quot;??_-;_-@_-"/>
    <numFmt numFmtId="181" formatCode="0.0"/>
    <numFmt numFmtId="182" formatCode="0.000%"/>
    <numFmt numFmtId="183" formatCode="_-&quot;$&quot;\ * #,##0_-;\-&quot;$&quot;\ * #,##0_-;_-&quot;$&quot;\ * &quot;-&quot;??_-;_-@_-"/>
  </numFmts>
  <fonts count="98">
    <font>
      <sz val="10"/>
      <color indexed="8"/>
      <name val="MS Sans Serif"/>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2"/>
      <color indexed="8"/>
      <name val="Arial"/>
      <family val="2"/>
    </font>
    <font>
      <b/>
      <sz val="11"/>
      <name val="Arial"/>
      <family val="2"/>
    </font>
    <font>
      <b/>
      <sz val="10"/>
      <name val="Arial"/>
      <family val="2"/>
    </font>
    <font>
      <sz val="10"/>
      <name val="Arial"/>
      <family val="2"/>
    </font>
    <font>
      <sz val="10"/>
      <color indexed="8"/>
      <name val="Arial"/>
      <family val="2"/>
    </font>
    <font>
      <sz val="10"/>
      <name val="Arial Narrow"/>
      <family val="2"/>
    </font>
    <font>
      <sz val="12"/>
      <name val="Arial"/>
      <family val="2"/>
    </font>
    <font>
      <b/>
      <i/>
      <sz val="10"/>
      <name val="Verdana"/>
      <family val="2"/>
    </font>
    <font>
      <sz val="10"/>
      <name val="Verdana"/>
      <family val="2"/>
    </font>
    <font>
      <i/>
      <sz val="10"/>
      <name val="Verdana"/>
      <family val="2"/>
    </font>
    <font>
      <b/>
      <sz val="10"/>
      <name val="Verdana"/>
      <family val="2"/>
    </font>
    <font>
      <b/>
      <sz val="11"/>
      <name val="Verdana"/>
      <family val="2"/>
    </font>
    <font>
      <sz val="11"/>
      <color indexed="8"/>
      <name val="Calibri"/>
      <family val="2"/>
    </font>
    <font>
      <sz val="7.9"/>
      <color indexed="8"/>
      <name val="Arial"/>
      <family val="2"/>
    </font>
    <font>
      <sz val="10"/>
      <color indexed="8"/>
      <name val="Comic Sans MS"/>
      <family val="2"/>
    </font>
    <font>
      <sz val="11"/>
      <color indexed="8"/>
      <name val="Arial"/>
      <family val="2"/>
    </font>
    <font>
      <b/>
      <sz val="12"/>
      <name val="Verdana"/>
      <family val="2"/>
    </font>
    <font>
      <b/>
      <i/>
      <sz val="14"/>
      <name val="Verdana"/>
      <family val="2"/>
    </font>
    <font>
      <sz val="8"/>
      <name val="Arial"/>
      <family val="2"/>
    </font>
    <font>
      <sz val="8"/>
      <name val="Verdana"/>
      <family val="2"/>
    </font>
    <font>
      <b/>
      <vertAlign val="superscript"/>
      <sz val="11"/>
      <name val="Verdana"/>
      <family val="2"/>
    </font>
    <font>
      <sz val="12"/>
      <name val="Verdana"/>
      <family val="2"/>
    </font>
    <font>
      <b/>
      <sz val="10"/>
      <color indexed="8"/>
      <name val="Arial"/>
      <family val="2"/>
    </font>
    <font>
      <b/>
      <sz val="18"/>
      <color indexed="8"/>
      <name val="Calibri"/>
      <family val="2"/>
    </font>
    <font>
      <b/>
      <sz val="12"/>
      <color indexed="8"/>
      <name val="Calibri"/>
      <family val="2"/>
    </font>
    <font>
      <b/>
      <sz val="11"/>
      <color indexed="8"/>
      <name val="Calibri"/>
      <family val="2"/>
    </font>
    <font>
      <b/>
      <sz val="10"/>
      <color indexed="8"/>
      <name val="Arial Unicode MS"/>
      <family val="2"/>
    </font>
    <font>
      <b/>
      <sz val="10"/>
      <color indexed="8"/>
      <name val="MS Sans Serif"/>
      <family val="2"/>
    </font>
    <font>
      <sz val="12"/>
      <color indexed="8"/>
      <name val="Arial"/>
      <family val="2"/>
    </font>
    <font>
      <b/>
      <sz val="10"/>
      <color indexed="8"/>
      <name val="MS Sans Serif"/>
    </font>
    <font>
      <sz val="12"/>
      <color indexed="8"/>
      <name val="Times New Roman"/>
      <family val="1"/>
    </font>
    <font>
      <sz val="12"/>
      <color indexed="8"/>
      <name val="MS Sans Serif"/>
      <family val="2"/>
    </font>
    <font>
      <b/>
      <sz val="12"/>
      <color indexed="8"/>
      <name val="Times New Roman"/>
      <family val="1"/>
    </font>
    <font>
      <sz val="12"/>
      <color indexed="8"/>
      <name val="Calibri"/>
      <family val="2"/>
    </font>
    <font>
      <sz val="9"/>
      <color indexed="8"/>
      <name val="Arial"/>
      <family val="2"/>
    </font>
    <font>
      <sz val="12"/>
      <color indexed="10"/>
      <name val="Arial"/>
      <family val="2"/>
    </font>
    <font>
      <sz val="14"/>
      <color indexed="8"/>
      <name val="Arial"/>
      <family val="2"/>
    </font>
    <font>
      <sz val="12"/>
      <color indexed="10"/>
      <name val="Times New Roman"/>
      <family val="1"/>
    </font>
    <font>
      <i/>
      <sz val="12"/>
      <color indexed="8"/>
      <name val="Arial"/>
      <family val="2"/>
    </font>
    <font>
      <sz val="7"/>
      <name val="Arial"/>
      <family val="2"/>
    </font>
    <font>
      <b/>
      <sz val="12"/>
      <name val="Arial"/>
      <family val="2"/>
    </font>
    <font>
      <b/>
      <sz val="7.9"/>
      <color indexed="8"/>
      <name val="Arial"/>
      <family val="2"/>
    </font>
    <font>
      <b/>
      <sz val="14"/>
      <color indexed="8"/>
      <name val="Arial"/>
      <family val="2"/>
    </font>
    <font>
      <sz val="12"/>
      <name val="Calibri"/>
      <family val="2"/>
    </font>
    <font>
      <sz val="14"/>
      <name val="Arial"/>
      <family val="2"/>
    </font>
    <font>
      <sz val="10"/>
      <color indexed="8"/>
      <name val="MS Sans Serif"/>
    </font>
    <font>
      <sz val="10"/>
      <name val="Arial"/>
      <family val="2"/>
    </font>
    <font>
      <b/>
      <sz val="8"/>
      <name val="Arial"/>
      <family val="2"/>
    </font>
    <font>
      <b/>
      <i/>
      <sz val="8"/>
      <name val="Arial"/>
      <family val="2"/>
    </font>
    <font>
      <b/>
      <sz val="8"/>
      <color indexed="12"/>
      <name val="Arial"/>
      <family val="2"/>
    </font>
    <font>
      <b/>
      <sz val="9"/>
      <name val="Verdana"/>
      <family val="2"/>
    </font>
    <font>
      <sz val="9"/>
      <name val="Verdana"/>
      <family val="2"/>
    </font>
    <font>
      <b/>
      <sz val="11"/>
      <color indexed="8"/>
      <name val="Arial"/>
      <family val="2"/>
    </font>
    <font>
      <b/>
      <sz val="11"/>
      <color theme="1"/>
      <name val="Calibri"/>
      <family val="2"/>
      <scheme val="minor"/>
    </font>
    <font>
      <b/>
      <sz val="11"/>
      <color theme="1"/>
      <name val="Arial Narrow"/>
      <family val="2"/>
    </font>
    <font>
      <b/>
      <sz val="36"/>
      <color theme="1"/>
      <name val="Calibri"/>
      <family val="2"/>
      <scheme val="minor"/>
    </font>
    <font>
      <sz val="18"/>
      <color theme="1"/>
      <name val="Arial Narrow"/>
      <family val="2"/>
    </font>
    <font>
      <sz val="11"/>
      <color theme="1"/>
      <name val="Arial Narrow"/>
      <family val="2"/>
    </font>
    <font>
      <sz val="11"/>
      <color theme="1"/>
      <name val="Century Gothic"/>
      <family val="2"/>
    </font>
    <font>
      <sz val="18"/>
      <color theme="1"/>
      <name val="Century Gothic"/>
      <family val="2"/>
    </font>
    <font>
      <sz val="18"/>
      <color theme="1"/>
      <name val="Calibri"/>
      <family val="2"/>
      <scheme val="minor"/>
    </font>
    <font>
      <b/>
      <sz val="18"/>
      <color theme="1"/>
      <name val="Century Gothic"/>
      <family val="2"/>
    </font>
    <font>
      <sz val="8"/>
      <name val="MS Sans Serif"/>
    </font>
    <font>
      <sz val="10"/>
      <name val="MS Sans Serif"/>
      <family val="2"/>
    </font>
    <font>
      <b/>
      <sz val="14"/>
      <color theme="1"/>
      <name val="Calibri"/>
      <family val="2"/>
      <scheme val="minor"/>
    </font>
    <font>
      <sz val="12"/>
      <color indexed="8"/>
      <name val="Verdana"/>
      <family val="2"/>
    </font>
    <font>
      <sz val="10"/>
      <name val="MS Sans Serif"/>
    </font>
    <font>
      <sz val="11"/>
      <name val="Arial"/>
      <family val="2"/>
    </font>
    <font>
      <sz val="11"/>
      <color theme="1"/>
      <name val="Arial"/>
      <family val="2"/>
    </font>
    <font>
      <b/>
      <sz val="11"/>
      <color theme="1"/>
      <name val="Arial"/>
      <family val="2"/>
    </font>
    <font>
      <sz val="11"/>
      <color theme="0"/>
      <name val="Arial"/>
      <family val="2"/>
    </font>
    <font>
      <b/>
      <sz val="8"/>
      <color theme="1"/>
      <name val="Calibri"/>
      <family val="2"/>
      <scheme val="minor"/>
    </font>
    <font>
      <b/>
      <sz val="11"/>
      <color indexed="16"/>
      <name val="Calibri"/>
      <family val="2"/>
    </font>
    <font>
      <b/>
      <sz val="12"/>
      <color theme="1"/>
      <name val="Arial"/>
      <family val="2"/>
    </font>
    <font>
      <sz val="12"/>
      <color theme="1"/>
      <name val="Arial"/>
      <family val="2"/>
    </font>
    <font>
      <sz val="11"/>
      <name val="Calibri"/>
      <family val="2"/>
      <scheme val="minor"/>
    </font>
    <font>
      <b/>
      <sz val="14"/>
      <color indexed="8"/>
      <name val="Arial Narrow"/>
      <family val="2"/>
    </font>
    <font>
      <b/>
      <sz val="12"/>
      <name val="Arial Narrow"/>
      <family val="2"/>
    </font>
    <font>
      <b/>
      <sz val="12"/>
      <color indexed="8"/>
      <name val="Arial Narrow"/>
      <family val="2"/>
    </font>
    <font>
      <b/>
      <sz val="10"/>
      <color indexed="8"/>
      <name val="Arial Narrow"/>
      <family val="2"/>
    </font>
    <font>
      <sz val="10"/>
      <color indexed="8"/>
      <name val="Arial Narrow"/>
      <family val="2"/>
    </font>
    <font>
      <b/>
      <sz val="10"/>
      <color rgb="FF000000"/>
      <name val="Arial Narrow"/>
      <family val="2"/>
    </font>
    <font>
      <sz val="10"/>
      <color rgb="FF000000"/>
      <name val="Arial Narrow"/>
      <family val="2"/>
    </font>
    <font>
      <sz val="12"/>
      <color indexed="8"/>
      <name val="Arial Narrow"/>
      <family val="2"/>
    </font>
    <font>
      <b/>
      <sz val="10"/>
      <color theme="1"/>
      <name val="Calibri"/>
      <family val="2"/>
      <scheme val="minor"/>
    </font>
    <font>
      <b/>
      <sz val="9"/>
      <name val="Arial"/>
      <family val="2"/>
    </font>
    <font>
      <sz val="10"/>
      <color theme="1"/>
      <name val="Arial Narrow"/>
      <family val="2"/>
    </font>
    <font>
      <sz val="9"/>
      <name val="Arial"/>
      <family val="2"/>
    </font>
    <font>
      <sz val="10"/>
      <color theme="1"/>
      <name val="Calibri"/>
      <family val="2"/>
      <scheme val="minor"/>
    </font>
    <font>
      <b/>
      <sz val="12"/>
      <color theme="1"/>
      <name val="Calibri"/>
      <family val="2"/>
      <scheme val="minor"/>
    </font>
    <font>
      <sz val="12"/>
      <color theme="1"/>
      <name val="Arial Nova Cond Light"/>
      <family val="2"/>
    </font>
    <font>
      <b/>
      <sz val="12"/>
      <color theme="1"/>
      <name val="Arial Nova Cond Light"/>
      <family val="2"/>
    </font>
  </fonts>
  <fills count="17">
    <fill>
      <patternFill patternType="none"/>
    </fill>
    <fill>
      <patternFill patternType="gray125"/>
    </fill>
    <fill>
      <patternFill patternType="solid">
        <fgColor indexed="9"/>
        <bgColor indexed="64"/>
      </patternFill>
    </fill>
    <fill>
      <patternFill patternType="solid">
        <fgColor indexed="50"/>
        <bgColor indexed="64"/>
      </patternFill>
    </fill>
    <fill>
      <patternFill patternType="solid">
        <fgColor indexed="49"/>
        <bgColor indexed="64"/>
      </patternFill>
    </fill>
    <fill>
      <patternFill patternType="solid">
        <fgColor indexed="40"/>
        <bgColor indexed="64"/>
      </patternFill>
    </fill>
    <fill>
      <patternFill patternType="solid">
        <fgColor indexed="51"/>
        <bgColor indexed="64"/>
      </patternFill>
    </fill>
    <fill>
      <patternFill patternType="solid">
        <fgColor indexed="13"/>
        <bgColor indexed="64"/>
      </patternFill>
    </fill>
    <fill>
      <patternFill patternType="solid">
        <fgColor indexed="10"/>
        <bgColor indexed="64"/>
      </patternFill>
    </fill>
    <fill>
      <patternFill patternType="solid">
        <fgColor rgb="FFFFFF00"/>
        <bgColor indexed="64"/>
      </patternFill>
    </fill>
    <fill>
      <patternFill patternType="solid">
        <fgColor theme="6" tint="0.59999389629810485"/>
        <bgColor indexed="64"/>
      </patternFill>
    </fill>
    <fill>
      <patternFill patternType="solid">
        <fgColor rgb="FFFFC000"/>
        <bgColor indexed="64"/>
      </patternFill>
    </fill>
    <fill>
      <patternFill patternType="solid">
        <fgColor theme="0"/>
        <bgColor indexed="64"/>
      </patternFill>
    </fill>
    <fill>
      <patternFill patternType="solid">
        <fgColor theme="8" tint="0.59999389629810485"/>
        <bgColor indexed="64"/>
      </patternFill>
    </fill>
    <fill>
      <patternFill patternType="solid">
        <fgColor theme="9"/>
        <bgColor indexed="64"/>
      </patternFill>
    </fill>
    <fill>
      <patternFill patternType="solid">
        <fgColor rgb="FF92D050"/>
        <bgColor indexed="64"/>
      </patternFill>
    </fill>
    <fill>
      <patternFill patternType="solid">
        <fgColor rgb="FF00B050"/>
        <bgColor indexed="64"/>
      </patternFill>
    </fill>
  </fills>
  <borders count="100">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bottom style="double">
        <color indexed="64"/>
      </bottom>
      <diagonal/>
    </border>
    <border>
      <left/>
      <right/>
      <top/>
      <bottom style="double">
        <color indexed="64"/>
      </bottom>
      <diagonal/>
    </border>
    <border>
      <left/>
      <right style="medium">
        <color indexed="64"/>
      </right>
      <top/>
      <bottom style="double">
        <color indexed="64"/>
      </bottom>
      <diagonal/>
    </border>
    <border>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diagonal/>
    </border>
    <border>
      <left style="medium">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hair">
        <color indexed="64"/>
      </left>
      <right style="medium">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top style="hair">
        <color indexed="64"/>
      </top>
      <bottom style="medium">
        <color indexed="64"/>
      </bottom>
      <diagonal/>
    </border>
    <border>
      <left style="medium">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hair">
        <color indexed="0"/>
      </bottom>
      <diagonal/>
    </border>
    <border>
      <left style="hair">
        <color indexed="64"/>
      </left>
      <right style="hair">
        <color indexed="64"/>
      </right>
      <top style="hair">
        <color indexed="64"/>
      </top>
      <bottom/>
      <diagonal/>
    </border>
    <border>
      <left style="hair">
        <color indexed="64"/>
      </left>
      <right style="hair">
        <color indexed="64"/>
      </right>
      <top style="hair">
        <color indexed="0"/>
      </top>
      <bottom style="hair">
        <color indexed="0"/>
      </bottom>
      <diagonal/>
    </border>
    <border>
      <left style="medium">
        <color indexed="64"/>
      </left>
      <right style="hair">
        <color indexed="64"/>
      </right>
      <top style="hair">
        <color indexed="64"/>
      </top>
      <bottom style="hair">
        <color indexed="0"/>
      </bottom>
      <diagonal/>
    </border>
    <border>
      <left style="hair">
        <color indexed="64"/>
      </left>
      <right style="hair">
        <color indexed="64"/>
      </right>
      <top style="hair">
        <color indexed="64"/>
      </top>
      <bottom style="hair">
        <color indexed="64"/>
      </bottom>
      <diagonal/>
    </border>
    <border>
      <left style="hair">
        <color indexed="64"/>
      </left>
      <right style="medium">
        <color indexed="64"/>
      </right>
      <top/>
      <bottom style="hair">
        <color indexed="0"/>
      </bottom>
      <diagonal/>
    </border>
    <border>
      <left style="hair">
        <color indexed="64"/>
      </left>
      <right style="hair">
        <color indexed="64"/>
      </right>
      <top/>
      <bottom style="hair">
        <color indexed="64"/>
      </bottom>
      <diagonal/>
    </border>
    <border>
      <left style="hair">
        <color indexed="64"/>
      </left>
      <right style="hair">
        <color indexed="64"/>
      </right>
      <top/>
      <bottom style="hair">
        <color indexed="0"/>
      </bottom>
      <diagonal/>
    </border>
    <border>
      <left style="medium">
        <color indexed="64"/>
      </left>
      <right style="hair">
        <color indexed="64"/>
      </right>
      <top/>
      <bottom style="hair">
        <color indexed="0"/>
      </bottom>
      <diagonal/>
    </border>
    <border>
      <left style="thin">
        <color indexed="64"/>
      </left>
      <right style="medium">
        <color indexed="64"/>
      </right>
      <top style="medium">
        <color indexed="64"/>
      </top>
      <bottom style="medium">
        <color indexed="64"/>
      </bottom>
      <diagonal/>
    </border>
    <border>
      <left style="medium">
        <color indexed="64"/>
      </left>
      <right style="hair">
        <color indexed="64"/>
      </right>
      <top style="hair">
        <color indexed="64"/>
      </top>
      <bottom/>
      <diagonal/>
    </border>
    <border>
      <left style="medium">
        <color indexed="64"/>
      </left>
      <right/>
      <top/>
      <bottom style="medium">
        <color indexed="64"/>
      </bottom>
      <diagonal/>
    </border>
    <border>
      <left style="double">
        <color indexed="64"/>
      </left>
      <right/>
      <top/>
      <bottom style="thin">
        <color indexed="64"/>
      </bottom>
      <diagonal/>
    </border>
    <border>
      <left style="double">
        <color indexed="64"/>
      </left>
      <right/>
      <top/>
      <bottom/>
      <diagonal/>
    </border>
    <border>
      <left style="thin">
        <color indexed="64"/>
      </left>
      <right style="double">
        <color indexed="64"/>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right style="double">
        <color indexed="64"/>
      </right>
      <top/>
      <bottom/>
      <diagonal/>
    </border>
    <border>
      <left style="thin">
        <color indexed="64"/>
      </left>
      <right/>
      <top style="thin">
        <color indexed="64"/>
      </top>
      <bottom style="thin">
        <color indexed="64"/>
      </bottom>
      <diagonal/>
    </border>
    <border>
      <left/>
      <right style="double">
        <color indexed="64"/>
      </right>
      <top/>
      <bottom style="thin">
        <color indexed="64"/>
      </bottom>
      <diagonal/>
    </border>
    <border>
      <left/>
      <right style="double">
        <color indexed="64"/>
      </right>
      <top/>
      <bottom style="double">
        <color indexed="64"/>
      </bottom>
      <diagonal/>
    </border>
    <border>
      <left style="double">
        <color indexed="64"/>
      </left>
      <right/>
      <top/>
      <bottom style="double">
        <color indexed="64"/>
      </bottom>
      <diagonal/>
    </border>
    <border>
      <left/>
      <right style="double">
        <color indexed="64"/>
      </right>
      <top style="double">
        <color indexed="64"/>
      </top>
      <bottom/>
      <diagonal/>
    </border>
    <border>
      <left/>
      <right/>
      <top style="double">
        <color indexed="64"/>
      </top>
      <bottom/>
      <diagonal/>
    </border>
    <border>
      <left style="double">
        <color indexed="64"/>
      </left>
      <right/>
      <top style="double">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double">
        <color indexed="64"/>
      </left>
      <right/>
      <top style="thin">
        <color indexed="64"/>
      </top>
      <bottom/>
      <diagonal/>
    </border>
    <border>
      <left style="thin">
        <color indexed="64"/>
      </left>
      <right/>
      <top/>
      <bottom/>
      <diagonal/>
    </border>
    <border>
      <left style="thin">
        <color indexed="8"/>
      </left>
      <right/>
      <top style="thin">
        <color indexed="64"/>
      </top>
      <bottom/>
      <diagonal/>
    </border>
    <border>
      <left style="thin">
        <color indexed="64"/>
      </left>
      <right style="thin">
        <color indexed="64"/>
      </right>
      <top/>
      <bottom/>
      <diagonal/>
    </border>
    <border>
      <left/>
      <right/>
      <top style="double">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style="medium">
        <color indexed="64"/>
      </top>
      <bottom style="medium">
        <color indexed="64"/>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style="medium">
        <color indexed="64"/>
      </left>
      <right style="thin">
        <color indexed="64"/>
      </right>
      <top/>
      <bottom/>
      <diagonal/>
    </border>
    <border>
      <left style="thin">
        <color indexed="64"/>
      </left>
      <right/>
      <top/>
      <bottom style="thin">
        <color indexed="64"/>
      </bottom>
      <diagonal/>
    </border>
    <border>
      <left/>
      <right style="medium">
        <color indexed="64"/>
      </right>
      <top/>
      <bottom style="thin">
        <color indexed="64"/>
      </bottom>
      <diagonal/>
    </border>
    <border>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medium">
        <color indexed="64"/>
      </top>
      <bottom/>
      <diagonal/>
    </border>
    <border>
      <left style="medium">
        <color indexed="64"/>
      </left>
      <right/>
      <top style="thin">
        <color indexed="64"/>
      </top>
      <bottom/>
      <diagonal/>
    </border>
  </borders>
  <cellStyleXfs count="40">
    <xf numFmtId="0" fontId="0" fillId="0" borderId="0"/>
    <xf numFmtId="9" fontId="5" fillId="0" borderId="0" applyFont="0" applyFill="0" applyBorder="0" applyAlignment="0" applyProtection="0"/>
    <xf numFmtId="0" fontId="5" fillId="0" borderId="0"/>
    <xf numFmtId="0" fontId="9" fillId="0" borderId="0"/>
    <xf numFmtId="0" fontId="11" fillId="0" borderId="0"/>
    <xf numFmtId="0" fontId="4" fillId="0" borderId="0"/>
    <xf numFmtId="166" fontId="18" fillId="0" borderId="0" applyFont="0" applyFill="0" applyBorder="0" applyAlignment="0" applyProtection="0"/>
    <xf numFmtId="169" fontId="19" fillId="0" borderId="0" applyFont="0" applyFill="0" applyBorder="0" applyAlignment="0" applyProtection="0"/>
    <xf numFmtId="170" fontId="20" fillId="0" borderId="0" applyFont="0" applyFill="0" applyBorder="0" applyAlignment="0" applyProtection="0"/>
    <xf numFmtId="0" fontId="9" fillId="0" borderId="0"/>
    <xf numFmtId="9" fontId="9" fillId="0" borderId="0" applyFont="0" applyFill="0" applyBorder="0" applyAlignment="0" applyProtection="0"/>
    <xf numFmtId="0" fontId="4" fillId="0" borderId="0"/>
    <xf numFmtId="0" fontId="4" fillId="0" borderId="0"/>
    <xf numFmtId="164" fontId="51" fillId="0" borderId="0" applyFont="0" applyFill="0" applyBorder="0" applyAlignment="0" applyProtection="0"/>
    <xf numFmtId="0" fontId="52" fillId="0" borderId="0"/>
    <xf numFmtId="169" fontId="9" fillId="0" borderId="0" applyFont="0" applyFill="0" applyBorder="0" applyAlignment="0" applyProtection="0"/>
    <xf numFmtId="43" fontId="3" fillId="0" borderId="0" applyFont="0" applyFill="0" applyBorder="0" applyAlignment="0" applyProtection="0"/>
    <xf numFmtId="167" fontId="9" fillId="0" borderId="0" applyFont="0" applyFill="0" applyBorder="0" applyAlignment="0" applyProtection="0"/>
    <xf numFmtId="175" fontId="9" fillId="0" borderId="0" applyFont="0" applyFill="0" applyBorder="0" applyAlignment="0" applyProtection="0"/>
    <xf numFmtId="9" fontId="9" fillId="0" borderId="0" applyFont="0" applyFill="0" applyBorder="0" applyAlignment="0" applyProtection="0"/>
    <xf numFmtId="43" fontId="51" fillId="0" borderId="0" applyFont="0" applyFill="0" applyBorder="0" applyAlignment="0" applyProtection="0"/>
    <xf numFmtId="0" fontId="2" fillId="0" borderId="0"/>
    <xf numFmtId="177" fontId="69" fillId="0" borderId="0" applyFont="0" applyFill="0" applyBorder="0" applyAlignment="0" applyProtection="0"/>
    <xf numFmtId="9" fontId="69" fillId="0" borderId="0" applyFont="0" applyFill="0" applyBorder="0" applyAlignment="0" applyProtection="0"/>
    <xf numFmtId="0" fontId="71" fillId="0" borderId="0" applyNumberFormat="0" applyFill="0" applyBorder="0" applyProtection="0">
      <alignment vertical="top"/>
    </xf>
    <xf numFmtId="43" fontId="9" fillId="0" borderId="0" applyFont="0" applyFill="0" applyBorder="0" applyAlignment="0" applyProtection="0"/>
    <xf numFmtId="166" fontId="18" fillId="0" borderId="0" applyFont="0" applyFill="0" applyBorder="0" applyAlignment="0" applyProtection="0"/>
    <xf numFmtId="0" fontId="72" fillId="0" borderId="0"/>
    <xf numFmtId="43" fontId="2" fillId="0" borderId="0" applyFont="0" applyFill="0" applyBorder="0" applyAlignment="0" applyProtection="0"/>
    <xf numFmtId="164" fontId="2" fillId="0" borderId="0" applyFont="0" applyFill="0" applyBorder="0" applyAlignment="0" applyProtection="0"/>
    <xf numFmtId="43" fontId="2" fillId="0" borderId="0" applyFont="0" applyFill="0" applyBorder="0" applyAlignment="0" applyProtection="0"/>
    <xf numFmtId="0" fontId="9" fillId="0" borderId="0"/>
    <xf numFmtId="0" fontId="9" fillId="0" borderId="0"/>
    <xf numFmtId="166" fontId="2" fillId="0" borderId="0" applyFont="0" applyFill="0" applyBorder="0" applyAlignment="0" applyProtection="0"/>
    <xf numFmtId="169" fontId="9" fillId="0" borderId="0" applyFont="0" applyFill="0" applyBorder="0" applyAlignment="0" applyProtection="0"/>
    <xf numFmtId="0" fontId="9" fillId="0" borderId="0"/>
    <xf numFmtId="0" fontId="69" fillId="0" borderId="0"/>
    <xf numFmtId="0" fontId="74" fillId="0" borderId="0"/>
    <xf numFmtId="43" fontId="1" fillId="0" borderId="0" applyFont="0" applyFill="0" applyBorder="0" applyAlignment="0" applyProtection="0"/>
    <xf numFmtId="166" fontId="18" fillId="0" borderId="0" applyFont="0" applyFill="0" applyBorder="0" applyAlignment="0" applyProtection="0"/>
  </cellStyleXfs>
  <cellXfs count="880">
    <xf numFmtId="0" fontId="0" fillId="0" borderId="0" xfId="0"/>
    <xf numFmtId="0" fontId="9" fillId="0" borderId="1" xfId="3" applyBorder="1" applyAlignment="1" applyProtection="1">
      <alignment vertical="center" wrapText="1"/>
      <protection hidden="1"/>
    </xf>
    <xf numFmtId="0" fontId="9" fillId="0" borderId="1" xfId="3" applyBorder="1" applyAlignment="1" applyProtection="1">
      <alignment horizontal="center" vertical="center" wrapText="1"/>
      <protection hidden="1"/>
    </xf>
    <xf numFmtId="0" fontId="7" fillId="3" borderId="1" xfId="3" applyFont="1" applyFill="1" applyBorder="1" applyAlignment="1" applyProtection="1">
      <alignment vertical="center" wrapText="1"/>
      <protection locked="0"/>
    </xf>
    <xf numFmtId="0" fontId="9" fillId="3" borderId="1" xfId="3" applyFill="1" applyBorder="1" applyAlignment="1" applyProtection="1">
      <alignment horizontal="center" vertical="center" wrapText="1"/>
      <protection hidden="1"/>
    </xf>
    <xf numFmtId="3" fontId="9" fillId="3" borderId="1" xfId="3" applyNumberFormat="1" applyFill="1" applyBorder="1" applyAlignment="1" applyProtection="1">
      <alignment vertical="center" wrapText="1"/>
      <protection locked="0" hidden="1"/>
    </xf>
    <xf numFmtId="0" fontId="12" fillId="0" borderId="0" xfId="0" applyFont="1"/>
    <xf numFmtId="3" fontId="14" fillId="2" borderId="3" xfId="5" applyNumberFormat="1" applyFont="1" applyFill="1" applyBorder="1" applyAlignment="1">
      <alignment horizontal="center" vertical="center"/>
    </xf>
    <xf numFmtId="3" fontId="16" fillId="2" borderId="9" xfId="5" applyNumberFormat="1" applyFont="1" applyFill="1" applyBorder="1" applyAlignment="1">
      <alignment horizontal="center" vertical="center"/>
    </xf>
    <xf numFmtId="3" fontId="15" fillId="2" borderId="0" xfId="5" applyNumberFormat="1" applyFont="1" applyFill="1" applyAlignment="1">
      <alignment horizontal="justify" vertical="distributed"/>
    </xf>
    <xf numFmtId="3" fontId="15" fillId="2" borderId="10" xfId="5" applyNumberFormat="1" applyFont="1" applyFill="1" applyBorder="1" applyAlignment="1">
      <alignment horizontal="justify" vertical="distributed"/>
    </xf>
    <xf numFmtId="165" fontId="16" fillId="2" borderId="1" xfId="5" applyNumberFormat="1" applyFont="1" applyFill="1" applyBorder="1" applyAlignment="1">
      <alignment horizontal="center" vertical="center"/>
    </xf>
    <xf numFmtId="4" fontId="14" fillId="2" borderId="1" xfId="5" applyNumberFormat="1" applyFont="1" applyFill="1" applyBorder="1" applyAlignment="1">
      <alignment horizontal="right" vertical="center"/>
    </xf>
    <xf numFmtId="3" fontId="17" fillId="2" borderId="8" xfId="5" applyNumberFormat="1" applyFont="1" applyFill="1" applyBorder="1" applyAlignment="1">
      <alignment horizontal="center" vertical="center"/>
    </xf>
    <xf numFmtId="3" fontId="14" fillId="2" borderId="9" xfId="5" applyNumberFormat="1" applyFont="1" applyFill="1" applyBorder="1"/>
    <xf numFmtId="3" fontId="14" fillId="2" borderId="0" xfId="5" applyNumberFormat="1" applyFont="1" applyFill="1"/>
    <xf numFmtId="4" fontId="14" fillId="2" borderId="0" xfId="5" applyNumberFormat="1" applyFont="1" applyFill="1"/>
    <xf numFmtId="3" fontId="14" fillId="2" borderId="10" xfId="5" applyNumberFormat="1" applyFont="1" applyFill="1" applyBorder="1"/>
    <xf numFmtId="3" fontId="16" fillId="2" borderId="13" xfId="5" applyNumberFormat="1" applyFont="1" applyFill="1" applyBorder="1" applyAlignment="1">
      <alignment horizontal="center"/>
    </xf>
    <xf numFmtId="4" fontId="16" fillId="2" borderId="13" xfId="5" applyNumberFormat="1" applyFont="1" applyFill="1" applyBorder="1" applyAlignment="1">
      <alignment horizontal="center"/>
    </xf>
    <xf numFmtId="3" fontId="16" fillId="2" borderId="14" xfId="5" applyNumberFormat="1" applyFont="1" applyFill="1" applyBorder="1" applyAlignment="1">
      <alignment horizontal="center"/>
    </xf>
    <xf numFmtId="3" fontId="14" fillId="2" borderId="15" xfId="5" applyNumberFormat="1" applyFont="1" applyFill="1" applyBorder="1"/>
    <xf numFmtId="3" fontId="14" fillId="2" borderId="16" xfId="5" applyNumberFormat="1" applyFont="1" applyFill="1" applyBorder="1"/>
    <xf numFmtId="3" fontId="14" fillId="2" borderId="1" xfId="5" applyNumberFormat="1" applyFont="1" applyFill="1" applyBorder="1" applyAlignment="1">
      <alignment horizontal="center"/>
    </xf>
    <xf numFmtId="3" fontId="14" fillId="2" borderId="1" xfId="5" applyNumberFormat="1" applyFont="1" applyFill="1" applyBorder="1"/>
    <xf numFmtId="4" fontId="14" fillId="2" borderId="1" xfId="5" applyNumberFormat="1" applyFont="1" applyFill="1" applyBorder="1"/>
    <xf numFmtId="4" fontId="14" fillId="2" borderId="17" xfId="5" applyNumberFormat="1" applyFont="1" applyFill="1" applyBorder="1"/>
    <xf numFmtId="167" fontId="14" fillId="2" borderId="1" xfId="6" applyNumberFormat="1" applyFont="1" applyFill="1" applyBorder="1"/>
    <xf numFmtId="3" fontId="14" fillId="2" borderId="17" xfId="5" applyNumberFormat="1" applyFont="1" applyFill="1" applyBorder="1"/>
    <xf numFmtId="4" fontId="14" fillId="2" borderId="20" xfId="5" applyNumberFormat="1" applyFont="1" applyFill="1" applyBorder="1"/>
    <xf numFmtId="168" fontId="14" fillId="2" borderId="1" xfId="5" applyNumberFormat="1" applyFont="1" applyFill="1" applyBorder="1"/>
    <xf numFmtId="3" fontId="14" fillId="2" borderId="20" xfId="5" applyNumberFormat="1" applyFont="1" applyFill="1" applyBorder="1"/>
    <xf numFmtId="3" fontId="16" fillId="2" borderId="21" xfId="5" applyNumberFormat="1" applyFont="1" applyFill="1" applyBorder="1" applyAlignment="1">
      <alignment horizontal="center"/>
    </xf>
    <xf numFmtId="3" fontId="13" fillId="2" borderId="24" xfId="5" applyNumberFormat="1" applyFont="1" applyFill="1" applyBorder="1"/>
    <xf numFmtId="0" fontId="0" fillId="2" borderId="0" xfId="0" applyFill="1"/>
    <xf numFmtId="3" fontId="16" fillId="2" borderId="25" xfId="5" applyNumberFormat="1" applyFont="1" applyFill="1" applyBorder="1" applyAlignment="1">
      <alignment horizontal="center" vertical="center"/>
    </xf>
    <xf numFmtId="3" fontId="15" fillId="2" borderId="26" xfId="5" applyNumberFormat="1" applyFont="1" applyFill="1" applyBorder="1" applyAlignment="1">
      <alignment horizontal="justify" vertical="distributed"/>
    </xf>
    <xf numFmtId="3" fontId="15" fillId="2" borderId="27" xfId="5" applyNumberFormat="1" applyFont="1" applyFill="1" applyBorder="1" applyAlignment="1">
      <alignment horizontal="justify" vertical="distributed"/>
    </xf>
    <xf numFmtId="165" fontId="16" fillId="2" borderId="28" xfId="5" applyNumberFormat="1" applyFont="1" applyFill="1" applyBorder="1" applyAlignment="1">
      <alignment horizontal="center" vertical="center"/>
    </xf>
    <xf numFmtId="3" fontId="14" fillId="2" borderId="29" xfId="5" applyNumberFormat="1" applyFont="1" applyFill="1" applyBorder="1"/>
    <xf numFmtId="3" fontId="14" fillId="2" borderId="32" xfId="5" applyNumberFormat="1" applyFont="1" applyFill="1" applyBorder="1"/>
    <xf numFmtId="169" fontId="0" fillId="0" borderId="0" xfId="7" applyFont="1" applyFill="1" applyBorder="1" applyAlignment="1" applyProtection="1"/>
    <xf numFmtId="170" fontId="8" fillId="4" borderId="33" xfId="8" applyFont="1" applyFill="1" applyBorder="1" applyAlignment="1">
      <alignment vertical="center"/>
    </xf>
    <xf numFmtId="0" fontId="9" fillId="2" borderId="0" xfId="5" applyFont="1" applyFill="1" applyAlignment="1">
      <alignment vertical="center" wrapText="1"/>
    </xf>
    <xf numFmtId="2" fontId="9" fillId="2" borderId="0" xfId="5" applyNumberFormat="1" applyFont="1" applyFill="1" applyAlignment="1">
      <alignment vertical="center" wrapText="1"/>
    </xf>
    <xf numFmtId="0" fontId="8" fillId="2" borderId="0" xfId="5" applyFont="1" applyFill="1" applyAlignment="1">
      <alignment vertical="center" wrapText="1"/>
    </xf>
    <xf numFmtId="0" fontId="21" fillId="0" borderId="0" xfId="5" applyFont="1" applyAlignment="1">
      <alignment vertical="center"/>
    </xf>
    <xf numFmtId="170" fontId="9" fillId="0" borderId="37" xfId="8" applyFont="1" applyFill="1" applyBorder="1" applyAlignment="1" applyProtection="1">
      <alignment vertical="center" wrapText="1"/>
      <protection hidden="1"/>
    </xf>
    <xf numFmtId="171" fontId="9" fillId="0" borderId="38" xfId="8" applyNumberFormat="1" applyFont="1" applyFill="1" applyBorder="1" applyAlignment="1" applyProtection="1">
      <alignment vertical="center" wrapText="1"/>
      <protection hidden="1"/>
    </xf>
    <xf numFmtId="3" fontId="9" fillId="0" borderId="39" xfId="3" applyNumberFormat="1" applyBorder="1" applyAlignment="1" applyProtection="1">
      <alignment vertical="center" wrapText="1"/>
      <protection locked="0" hidden="1"/>
    </xf>
    <xf numFmtId="0" fontId="9" fillId="0" borderId="38" xfId="3" applyBorder="1" applyAlignment="1" applyProtection="1">
      <alignment horizontal="center" vertical="center" wrapText="1"/>
      <protection hidden="1"/>
    </xf>
    <xf numFmtId="0" fontId="9" fillId="0" borderId="38" xfId="3" applyBorder="1" applyAlignment="1" applyProtection="1">
      <alignment vertical="center" wrapText="1"/>
      <protection hidden="1"/>
    </xf>
    <xf numFmtId="0" fontId="9" fillId="0" borderId="40" xfId="3" applyBorder="1" applyAlignment="1" applyProtection="1">
      <alignment vertical="center" wrapText="1"/>
      <protection locked="0" hidden="1"/>
    </xf>
    <xf numFmtId="170" fontId="9" fillId="0" borderId="41" xfId="8" applyFont="1" applyFill="1" applyBorder="1" applyAlignment="1" applyProtection="1">
      <alignment vertical="center" wrapText="1"/>
      <protection hidden="1"/>
    </xf>
    <xf numFmtId="171" fontId="9" fillId="0" borderId="42" xfId="8" applyNumberFormat="1" applyFont="1" applyFill="1" applyBorder="1" applyAlignment="1" applyProtection="1">
      <alignment vertical="center" wrapText="1"/>
      <protection hidden="1"/>
    </xf>
    <xf numFmtId="0" fontId="9" fillId="0" borderId="43" xfId="3" applyBorder="1" applyAlignment="1" applyProtection="1">
      <alignment horizontal="center" vertical="center" wrapText="1"/>
      <protection hidden="1"/>
    </xf>
    <xf numFmtId="0" fontId="9" fillId="0" borderId="43" xfId="3" applyBorder="1" applyAlignment="1" applyProtection="1">
      <alignment vertical="center" wrapText="1"/>
      <protection hidden="1"/>
    </xf>
    <xf numFmtId="170" fontId="9" fillId="0" borderId="46" xfId="8" applyFont="1" applyFill="1" applyBorder="1" applyAlignment="1" applyProtection="1">
      <alignment vertical="center" wrapText="1"/>
      <protection hidden="1"/>
    </xf>
    <xf numFmtId="0" fontId="9" fillId="0" borderId="48" xfId="3" applyBorder="1" applyAlignment="1" applyProtection="1">
      <alignment horizontal="center" vertical="center" wrapText="1"/>
      <protection hidden="1"/>
    </xf>
    <xf numFmtId="0" fontId="9" fillId="0" borderId="48" xfId="3" applyBorder="1" applyAlignment="1" applyProtection="1">
      <alignment vertical="center" wrapText="1"/>
      <protection hidden="1"/>
    </xf>
    <xf numFmtId="170" fontId="8" fillId="4" borderId="50" xfId="8" applyFont="1" applyFill="1" applyBorder="1" applyAlignment="1">
      <alignment vertical="center" wrapText="1"/>
    </xf>
    <xf numFmtId="0" fontId="9" fillId="0" borderId="51" xfId="3" applyBorder="1" applyAlignment="1" applyProtection="1">
      <alignment horizontal="right" vertical="center" wrapText="1"/>
      <protection locked="0" hidden="1"/>
    </xf>
    <xf numFmtId="0" fontId="7" fillId="4" borderId="3" xfId="3" applyFont="1" applyFill="1" applyBorder="1" applyAlignment="1" applyProtection="1">
      <alignment vertical="center" wrapText="1"/>
      <protection locked="0" hidden="1"/>
    </xf>
    <xf numFmtId="171" fontId="9" fillId="2" borderId="45" xfId="8" applyNumberFormat="1" applyFont="1" applyFill="1" applyBorder="1" applyAlignment="1" applyProtection="1">
      <alignment vertical="center" wrapText="1"/>
      <protection hidden="1"/>
    </xf>
    <xf numFmtId="0" fontId="9" fillId="0" borderId="44" xfId="3" applyBorder="1" applyAlignment="1" applyProtection="1">
      <alignment vertical="center" wrapText="1"/>
      <protection locked="0" hidden="1"/>
    </xf>
    <xf numFmtId="171" fontId="9" fillId="2" borderId="47" xfId="8" applyNumberFormat="1" applyFont="1" applyFill="1" applyBorder="1" applyAlignment="1" applyProtection="1">
      <alignment vertical="center" wrapText="1"/>
      <protection hidden="1"/>
    </xf>
    <xf numFmtId="0" fontId="9" fillId="0" borderId="49" xfId="3" applyBorder="1" applyAlignment="1" applyProtection="1">
      <alignment vertical="center" wrapText="1"/>
      <protection locked="0" hidden="1"/>
    </xf>
    <xf numFmtId="170" fontId="8" fillId="0" borderId="50" xfId="8" applyFont="1" applyBorder="1" applyAlignment="1">
      <alignment horizontal="center" vertical="center"/>
    </xf>
    <xf numFmtId="3" fontId="8" fillId="0" borderId="35" xfId="5" applyNumberFormat="1" applyFont="1" applyBorder="1" applyAlignment="1">
      <alignment horizontal="center" vertical="center"/>
    </xf>
    <xf numFmtId="0" fontId="8" fillId="0" borderId="35" xfId="5" applyFont="1" applyBorder="1" applyAlignment="1">
      <alignment horizontal="center" vertical="center"/>
    </xf>
    <xf numFmtId="0" fontId="8" fillId="2" borderId="35" xfId="5" applyFont="1" applyFill="1" applyBorder="1" applyAlignment="1">
      <alignment horizontal="center" vertical="center"/>
    </xf>
    <xf numFmtId="0" fontId="8" fillId="5" borderId="36" xfId="5" applyFont="1" applyFill="1" applyBorder="1" applyAlignment="1">
      <alignment horizontal="center" vertical="center"/>
    </xf>
    <xf numFmtId="170" fontId="8" fillId="2" borderId="2" xfId="8" applyFont="1" applyFill="1" applyBorder="1" applyAlignment="1">
      <alignment vertical="center" wrapText="1"/>
    </xf>
    <xf numFmtId="3" fontId="8" fillId="2" borderId="2" xfId="5" applyNumberFormat="1" applyFont="1" applyFill="1" applyBorder="1" applyAlignment="1">
      <alignment vertical="center" wrapText="1"/>
    </xf>
    <xf numFmtId="3" fontId="8" fillId="2" borderId="2" xfId="5" applyNumberFormat="1" applyFont="1" applyFill="1" applyBorder="1" applyAlignment="1">
      <alignment horizontal="center" vertical="center" wrapText="1"/>
    </xf>
    <xf numFmtId="4" fontId="13" fillId="0" borderId="2" xfId="9" applyNumberFormat="1" applyFont="1" applyBorder="1"/>
    <xf numFmtId="3" fontId="13" fillId="0" borderId="2" xfId="9" applyNumberFormat="1" applyFont="1" applyBorder="1"/>
    <xf numFmtId="3" fontId="14" fillId="0" borderId="2" xfId="9" applyNumberFormat="1" applyFont="1" applyBorder="1"/>
    <xf numFmtId="3" fontId="14" fillId="0" borderId="53" xfId="9" applyNumberFormat="1" applyFont="1" applyBorder="1"/>
    <xf numFmtId="3" fontId="14" fillId="0" borderId="1" xfId="9" applyNumberFormat="1" applyFont="1" applyBorder="1"/>
    <xf numFmtId="4" fontId="14" fillId="0" borderId="0" xfId="9" applyNumberFormat="1" applyFont="1"/>
    <xf numFmtId="3" fontId="14" fillId="0" borderId="0" xfId="9" applyNumberFormat="1" applyFont="1"/>
    <xf numFmtId="3" fontId="14" fillId="0" borderId="54" xfId="9" applyNumberFormat="1" applyFont="1" applyBorder="1"/>
    <xf numFmtId="3" fontId="14" fillId="0" borderId="55" xfId="9" applyNumberFormat="1" applyFont="1" applyBorder="1"/>
    <xf numFmtId="4" fontId="14" fillId="0" borderId="1" xfId="9" applyNumberFormat="1" applyFont="1" applyBorder="1"/>
    <xf numFmtId="3" fontId="14" fillId="0" borderId="56" xfId="9" applyNumberFormat="1" applyFont="1" applyBorder="1"/>
    <xf numFmtId="3" fontId="14" fillId="0" borderId="55" xfId="9" applyNumberFormat="1" applyFont="1" applyBorder="1" applyAlignment="1">
      <alignment horizontal="center"/>
    </xf>
    <xf numFmtId="4" fontId="14" fillId="0" borderId="1" xfId="9" applyNumberFormat="1" applyFont="1" applyBorder="1" applyAlignment="1">
      <alignment horizontal="center"/>
    </xf>
    <xf numFmtId="3" fontId="14" fillId="0" borderId="1" xfId="9" applyNumberFormat="1" applyFont="1" applyBorder="1" applyAlignment="1">
      <alignment horizontal="center"/>
    </xf>
    <xf numFmtId="3" fontId="14" fillId="0" borderId="57" xfId="9" applyNumberFormat="1" applyFont="1" applyBorder="1"/>
    <xf numFmtId="0" fontId="0" fillId="0" borderId="1" xfId="0" applyBorder="1" applyAlignment="1">
      <alignment horizontal="center"/>
    </xf>
    <xf numFmtId="3" fontId="14" fillId="0" borderId="57" xfId="9" applyNumberFormat="1" applyFont="1" applyBorder="1" applyAlignment="1">
      <alignment horizontal="center"/>
    </xf>
    <xf numFmtId="4" fontId="14" fillId="0" borderId="0" xfId="9" applyNumberFormat="1" applyFont="1" applyAlignment="1">
      <alignment horizontal="center"/>
    </xf>
    <xf numFmtId="3" fontId="14" fillId="0" borderId="0" xfId="9" applyNumberFormat="1" applyFont="1" applyAlignment="1">
      <alignment horizontal="center"/>
    </xf>
    <xf numFmtId="3" fontId="14" fillId="0" borderId="16" xfId="9" applyNumberFormat="1" applyFont="1" applyBorder="1"/>
    <xf numFmtId="3" fontId="14" fillId="0" borderId="29" xfId="9" applyNumberFormat="1" applyFont="1" applyBorder="1"/>
    <xf numFmtId="3" fontId="14" fillId="0" borderId="59" xfId="9" applyNumberFormat="1" applyFont="1" applyBorder="1"/>
    <xf numFmtId="4" fontId="14" fillId="0" borderId="2" xfId="9" applyNumberFormat="1" applyFont="1" applyBorder="1"/>
    <xf numFmtId="3" fontId="14" fillId="0" borderId="60" xfId="9" applyNumberFormat="1" applyFont="1" applyBorder="1"/>
    <xf numFmtId="4" fontId="14" fillId="0" borderId="6" xfId="9" applyNumberFormat="1" applyFont="1" applyBorder="1"/>
    <xf numFmtId="4" fontId="14" fillId="0" borderId="63" xfId="9" applyNumberFormat="1" applyFont="1" applyBorder="1"/>
    <xf numFmtId="3" fontId="14" fillId="2" borderId="1" xfId="9" applyNumberFormat="1" applyFont="1" applyFill="1" applyBorder="1"/>
    <xf numFmtId="3" fontId="23" fillId="2" borderId="57" xfId="9" applyNumberFormat="1" applyFont="1" applyFill="1" applyBorder="1"/>
    <xf numFmtId="4" fontId="13" fillId="0" borderId="0" xfId="9" applyNumberFormat="1" applyFont="1"/>
    <xf numFmtId="3" fontId="13" fillId="0" borderId="0" xfId="9" applyNumberFormat="1" applyFont="1"/>
    <xf numFmtId="3" fontId="13" fillId="0" borderId="59" xfId="9" applyNumberFormat="1" applyFont="1" applyBorder="1"/>
    <xf numFmtId="9" fontId="13" fillId="0" borderId="2" xfId="10" applyFont="1" applyBorder="1"/>
    <xf numFmtId="3" fontId="13" fillId="0" borderId="60" xfId="9" applyNumberFormat="1" applyFont="1" applyBorder="1"/>
    <xf numFmtId="4" fontId="13" fillId="0" borderId="6" xfId="9" applyNumberFormat="1" applyFont="1" applyBorder="1"/>
    <xf numFmtId="9" fontId="13" fillId="0" borderId="6" xfId="10" applyFont="1" applyBorder="1"/>
    <xf numFmtId="3" fontId="13" fillId="0" borderId="6" xfId="9" applyNumberFormat="1" applyFont="1" applyBorder="1"/>
    <xf numFmtId="3" fontId="14" fillId="0" borderId="6" xfId="9" applyNumberFormat="1" applyFont="1" applyBorder="1"/>
    <xf numFmtId="3" fontId="14" fillId="0" borderId="61" xfId="9" applyNumberFormat="1" applyFont="1" applyBorder="1"/>
    <xf numFmtId="3" fontId="17" fillId="0" borderId="1" xfId="9" applyNumberFormat="1" applyFont="1" applyBorder="1"/>
    <xf numFmtId="0" fontId="10" fillId="0" borderId="1" xfId="0" applyFont="1" applyBorder="1" applyAlignment="1">
      <alignment horizontal="center" vertical="center"/>
    </xf>
    <xf numFmtId="168" fontId="14" fillId="0" borderId="1" xfId="9" applyNumberFormat="1" applyFont="1" applyBorder="1"/>
    <xf numFmtId="3" fontId="17" fillId="0" borderId="62" xfId="9" applyNumberFormat="1" applyFont="1" applyBorder="1" applyAlignment="1">
      <alignment horizontal="center"/>
    </xf>
    <xf numFmtId="3" fontId="17" fillId="0" borderId="62" xfId="9" applyNumberFormat="1" applyFont="1" applyBorder="1" applyAlignment="1">
      <alignment horizontal="center" vertical="center"/>
    </xf>
    <xf numFmtId="4" fontId="14" fillId="0" borderId="63" xfId="9" applyNumberFormat="1" applyFont="1" applyBorder="1" applyAlignment="1">
      <alignment vertical="center"/>
    </xf>
    <xf numFmtId="3" fontId="13" fillId="0" borderId="57" xfId="9" applyNumberFormat="1" applyFont="1" applyBorder="1"/>
    <xf numFmtId="9" fontId="13" fillId="0" borderId="0" xfId="10" applyFont="1" applyBorder="1"/>
    <xf numFmtId="4" fontId="23" fillId="2" borderId="57" xfId="9" applyNumberFormat="1" applyFont="1" applyFill="1" applyBorder="1"/>
    <xf numFmtId="4" fontId="14" fillId="0" borderId="22" xfId="9" applyNumberFormat="1" applyFont="1" applyBorder="1"/>
    <xf numFmtId="3" fontId="14" fillId="0" borderId="22" xfId="9" applyNumberFormat="1" applyFont="1" applyBorder="1"/>
    <xf numFmtId="3" fontId="14" fillId="0" borderId="67" xfId="9" applyNumberFormat="1" applyFont="1" applyBorder="1"/>
    <xf numFmtId="3" fontId="14" fillId="0" borderId="56" xfId="9" applyNumberFormat="1" applyFont="1" applyBorder="1" applyAlignment="1">
      <alignment horizontal="center"/>
    </xf>
    <xf numFmtId="169" fontId="6" fillId="0" borderId="0" xfId="7" applyFont="1" applyFill="1" applyBorder="1" applyAlignment="1" applyProtection="1">
      <alignment vertical="top" wrapText="1"/>
    </xf>
    <xf numFmtId="0" fontId="6" fillId="2" borderId="0" xfId="0" applyFont="1" applyFill="1" applyAlignment="1">
      <alignment vertical="distributed" shrinkToFit="1"/>
    </xf>
    <xf numFmtId="0" fontId="6" fillId="2" borderId="68" xfId="0" applyFont="1" applyFill="1" applyBorder="1" applyAlignment="1">
      <alignment vertical="distributed" shrinkToFit="1"/>
    </xf>
    <xf numFmtId="0" fontId="6" fillId="2" borderId="0" xfId="0" applyFont="1" applyFill="1" applyAlignment="1">
      <alignment horizontal="center" vertical="distributed" shrinkToFit="1"/>
    </xf>
    <xf numFmtId="0" fontId="6" fillId="0" borderId="0" xfId="0" applyFont="1" applyAlignment="1">
      <alignment vertical="top" wrapText="1"/>
    </xf>
    <xf numFmtId="0" fontId="30" fillId="0" borderId="0" xfId="0" applyFont="1" applyAlignment="1">
      <alignment horizontal="center" vertical="top" wrapText="1"/>
    </xf>
    <xf numFmtId="0" fontId="30" fillId="0" borderId="0" xfId="0" applyFont="1" applyAlignment="1">
      <alignment vertical="top" wrapText="1"/>
    </xf>
    <xf numFmtId="0" fontId="31" fillId="0" borderId="1" xfId="11" applyFont="1" applyBorder="1" applyAlignment="1">
      <alignment vertical="center" wrapText="1"/>
    </xf>
    <xf numFmtId="0" fontId="32" fillId="0" borderId="1" xfId="0" applyFont="1" applyBorder="1" applyAlignment="1">
      <alignment vertical="center" wrapText="1"/>
    </xf>
    <xf numFmtId="0" fontId="33" fillId="0" borderId="0" xfId="0" applyFont="1" applyAlignment="1">
      <alignment horizontal="center"/>
    </xf>
    <xf numFmtId="0" fontId="33" fillId="0" borderId="0" xfId="0" applyFont="1" applyAlignment="1">
      <alignment horizontal="left"/>
    </xf>
    <xf numFmtId="0" fontId="28" fillId="0" borderId="0" xfId="0" applyFont="1"/>
    <xf numFmtId="0" fontId="34" fillId="0" borderId="0" xfId="0" applyFont="1"/>
    <xf numFmtId="0" fontId="32" fillId="0" borderId="66" xfId="0" applyFont="1" applyBorder="1" applyAlignment="1">
      <alignment vertical="center" wrapText="1"/>
    </xf>
    <xf numFmtId="0" fontId="35" fillId="0" borderId="0" xfId="0" applyFont="1" applyAlignment="1">
      <alignment horizontal="center"/>
    </xf>
    <xf numFmtId="169" fontId="28" fillId="0" borderId="0" xfId="7" applyFont="1" applyFill="1" applyBorder="1" applyAlignment="1" applyProtection="1"/>
    <xf numFmtId="0" fontId="36" fillId="2" borderId="1" xfId="0" applyFont="1" applyFill="1" applyBorder="1" applyAlignment="1">
      <alignment vertical="center"/>
    </xf>
    <xf numFmtId="0" fontId="34" fillId="0" borderId="1" xfId="0" applyFont="1" applyBorder="1" applyAlignment="1">
      <alignment horizontal="center" vertical="center"/>
    </xf>
    <xf numFmtId="169" fontId="37" fillId="0" borderId="1" xfId="7" applyFont="1" applyFill="1" applyBorder="1" applyAlignment="1" applyProtection="1"/>
    <xf numFmtId="169" fontId="36" fillId="7" borderId="1" xfId="7" applyFont="1" applyFill="1" applyBorder="1" applyAlignment="1">
      <alignment vertical="center"/>
    </xf>
    <xf numFmtId="169" fontId="37" fillId="0" borderId="0" xfId="7" applyFont="1" applyFill="1" applyBorder="1" applyAlignment="1" applyProtection="1"/>
    <xf numFmtId="169" fontId="38" fillId="7" borderId="1" xfId="7" applyFont="1" applyFill="1" applyBorder="1" applyAlignment="1">
      <alignment vertical="center"/>
    </xf>
    <xf numFmtId="169" fontId="6" fillId="7" borderId="1" xfId="7" applyFont="1" applyFill="1" applyBorder="1" applyAlignment="1">
      <alignment vertical="center"/>
    </xf>
    <xf numFmtId="169" fontId="37" fillId="2" borderId="0" xfId="7" applyFont="1" applyFill="1" applyBorder="1" applyAlignment="1" applyProtection="1"/>
    <xf numFmtId="169" fontId="36" fillId="0" borderId="1" xfId="7" applyFont="1" applyFill="1" applyBorder="1" applyAlignment="1">
      <alignment horizontal="right" vertical="center"/>
    </xf>
    <xf numFmtId="169" fontId="34" fillId="7" borderId="1" xfId="7" applyFont="1" applyFill="1" applyBorder="1" applyAlignment="1">
      <alignment vertical="center"/>
    </xf>
    <xf numFmtId="0" fontId="34" fillId="2" borderId="1" xfId="0" applyFont="1" applyFill="1" applyBorder="1" applyAlignment="1">
      <alignment horizontal="left" vertical="top" wrapText="1"/>
    </xf>
    <xf numFmtId="0" fontId="34" fillId="2" borderId="69" xfId="0" applyFont="1" applyFill="1" applyBorder="1"/>
    <xf numFmtId="0" fontId="34" fillId="2" borderId="1" xfId="0" applyFont="1" applyFill="1" applyBorder="1" applyAlignment="1">
      <alignment horizontal="center"/>
    </xf>
    <xf numFmtId="169" fontId="34" fillId="6" borderId="1" xfId="7" applyFont="1" applyFill="1" applyBorder="1" applyAlignment="1">
      <alignment vertical="center"/>
    </xf>
    <xf numFmtId="0" fontId="6" fillId="2" borderId="1" xfId="0" applyFont="1" applyFill="1" applyBorder="1"/>
    <xf numFmtId="0" fontId="34" fillId="2" borderId="1" xfId="0" applyFont="1" applyFill="1" applyBorder="1"/>
    <xf numFmtId="0" fontId="34" fillId="2" borderId="1" xfId="11" applyFont="1" applyFill="1" applyBorder="1" applyAlignment="1">
      <alignment vertical="center" wrapText="1"/>
    </xf>
    <xf numFmtId="0" fontId="39" fillId="2" borderId="1" xfId="11" applyFont="1" applyFill="1" applyBorder="1" applyAlignment="1">
      <alignment vertical="center" wrapText="1"/>
    </xf>
    <xf numFmtId="0" fontId="40" fillId="0" borderId="1" xfId="0" applyFont="1" applyBorder="1" applyAlignment="1">
      <alignment horizontal="center"/>
    </xf>
    <xf numFmtId="169" fontId="36" fillId="0" borderId="1" xfId="7" applyFont="1" applyBorder="1" applyAlignment="1">
      <alignment vertical="center"/>
    </xf>
    <xf numFmtId="0" fontId="34" fillId="0" borderId="1" xfId="0" applyFont="1" applyBorder="1" applyAlignment="1">
      <alignment horizontal="center"/>
    </xf>
    <xf numFmtId="0" fontId="6" fillId="2" borderId="1" xfId="0" applyFont="1" applyFill="1" applyBorder="1" applyAlignment="1">
      <alignment horizontal="left"/>
    </xf>
    <xf numFmtId="172" fontId="12" fillId="7" borderId="1" xfId="0" applyNumberFormat="1" applyFont="1" applyFill="1" applyBorder="1" applyAlignment="1">
      <alignment vertical="center"/>
    </xf>
    <xf numFmtId="172" fontId="34" fillId="7" borderId="1" xfId="0" applyNumberFormat="1" applyFont="1" applyFill="1" applyBorder="1" applyAlignment="1">
      <alignment vertical="center"/>
    </xf>
    <xf numFmtId="169" fontId="6" fillId="0" borderId="0" xfId="7" applyFont="1" applyFill="1" applyBorder="1" applyAlignment="1" applyProtection="1"/>
    <xf numFmtId="169" fontId="34" fillId="0" borderId="1" xfId="7" applyFont="1" applyFill="1" applyBorder="1" applyAlignment="1">
      <alignment horizontal="right" vertical="center"/>
    </xf>
    <xf numFmtId="0" fontId="28" fillId="2" borderId="1" xfId="0" applyFont="1" applyFill="1" applyBorder="1" applyAlignment="1">
      <alignment horizontal="left" vertical="top" wrapText="1"/>
    </xf>
    <xf numFmtId="172" fontId="34" fillId="0" borderId="1" xfId="0" applyNumberFormat="1" applyFont="1" applyBorder="1" applyAlignment="1">
      <alignment vertical="center"/>
    </xf>
    <xf numFmtId="172" fontId="34" fillId="2" borderId="1" xfId="0" applyNumberFormat="1" applyFont="1" applyFill="1" applyBorder="1" applyAlignment="1">
      <alignment vertical="center"/>
    </xf>
    <xf numFmtId="0" fontId="34" fillId="2" borderId="1" xfId="0" applyFont="1" applyFill="1" applyBorder="1" applyAlignment="1">
      <alignment horizontal="left" vertical="top"/>
    </xf>
    <xf numFmtId="0" fontId="34" fillId="0" borderId="1" xfId="0" applyFont="1" applyBorder="1" applyAlignment="1">
      <alignment horizontal="left" vertical="top" wrapText="1"/>
    </xf>
    <xf numFmtId="172" fontId="41" fillId="0" borderId="1" xfId="0" applyNumberFormat="1" applyFont="1" applyBorder="1" applyAlignment="1">
      <alignment vertical="center"/>
    </xf>
    <xf numFmtId="169" fontId="34" fillId="0" borderId="1" xfId="7" applyFont="1" applyBorder="1" applyAlignment="1">
      <alignment vertical="center"/>
    </xf>
    <xf numFmtId="172" fontId="34" fillId="6" borderId="1" xfId="0" applyNumberFormat="1" applyFont="1" applyFill="1" applyBorder="1" applyAlignment="1">
      <alignment vertical="center"/>
    </xf>
    <xf numFmtId="172" fontId="34" fillId="3" borderId="1" xfId="0" applyNumberFormat="1" applyFont="1" applyFill="1" applyBorder="1" applyAlignment="1">
      <alignment vertical="center"/>
    </xf>
    <xf numFmtId="0" fontId="42" fillId="2" borderId="1" xfId="0" applyFont="1" applyFill="1" applyBorder="1" applyAlignment="1">
      <alignment horizontal="left" vertical="top" wrapText="1"/>
    </xf>
    <xf numFmtId="0" fontId="42" fillId="0" borderId="1" xfId="0" applyFont="1" applyBorder="1" applyAlignment="1">
      <alignment horizontal="center" vertical="center"/>
    </xf>
    <xf numFmtId="169" fontId="37" fillId="7" borderId="0" xfId="7" applyFont="1" applyFill="1" applyBorder="1" applyAlignment="1" applyProtection="1"/>
    <xf numFmtId="169" fontId="37" fillId="3" borderId="0" xfId="7" applyFont="1" applyFill="1" applyBorder="1" applyAlignment="1" applyProtection="1"/>
    <xf numFmtId="0" fontId="34" fillId="2" borderId="1" xfId="0" applyFont="1" applyFill="1" applyBorder="1" applyAlignment="1">
      <alignment horizontal="left"/>
    </xf>
    <xf numFmtId="0" fontId="34" fillId="0" borderId="1" xfId="0" applyFont="1" applyBorder="1" applyAlignment="1">
      <alignment horizontal="left" wrapText="1"/>
    </xf>
    <xf numFmtId="0" fontId="34" fillId="0" borderId="1" xfId="0" applyFont="1" applyBorder="1" applyAlignment="1">
      <alignment horizontal="left"/>
    </xf>
    <xf numFmtId="0" fontId="34" fillId="0" borderId="1" xfId="0" applyFont="1" applyBorder="1" applyAlignment="1">
      <alignment wrapText="1"/>
    </xf>
    <xf numFmtId="0" fontId="34" fillId="0" borderId="1" xfId="0" applyFont="1" applyBorder="1" applyAlignment="1">
      <alignment horizontal="left" vertical="top"/>
    </xf>
    <xf numFmtId="0" fontId="28" fillId="0" borderId="1" xfId="0" applyFont="1" applyBorder="1" applyAlignment="1">
      <alignment horizontal="center" vertical="center"/>
    </xf>
    <xf numFmtId="0" fontId="6" fillId="0" borderId="1" xfId="0" applyFont="1" applyBorder="1" applyAlignment="1">
      <alignment horizontal="center" vertical="center"/>
    </xf>
    <xf numFmtId="0" fontId="34" fillId="0" borderId="70" xfId="0" applyFont="1" applyBorder="1" applyAlignment="1">
      <alignment horizontal="left" vertical="top"/>
    </xf>
    <xf numFmtId="0" fontId="34" fillId="0" borderId="70" xfId="0" applyFont="1" applyBorder="1" applyAlignment="1">
      <alignment horizontal="center" vertical="center"/>
    </xf>
    <xf numFmtId="169" fontId="36" fillId="0" borderId="0" xfId="7" applyFont="1" applyFill="1" applyBorder="1" applyAlignment="1">
      <alignment horizontal="right" vertical="center"/>
    </xf>
    <xf numFmtId="172" fontId="34" fillId="0" borderId="0" xfId="0" applyNumberFormat="1" applyFont="1" applyAlignment="1">
      <alignment vertical="center"/>
    </xf>
    <xf numFmtId="172" fontId="34" fillId="7" borderId="0" xfId="0" applyNumberFormat="1" applyFont="1" applyFill="1" applyAlignment="1">
      <alignment vertical="center"/>
    </xf>
    <xf numFmtId="0" fontId="34" fillId="0" borderId="1" xfId="0" applyFont="1" applyBorder="1"/>
    <xf numFmtId="0" fontId="38" fillId="0" borderId="1" xfId="0" applyFont="1" applyBorder="1" applyAlignment="1">
      <alignment horizontal="center" vertical="center"/>
    </xf>
    <xf numFmtId="0" fontId="36" fillId="0" borderId="1" xfId="0" applyFont="1" applyBorder="1" applyAlignment="1">
      <alignment horizontal="left" vertical="center"/>
    </xf>
    <xf numFmtId="0" fontId="36" fillId="0" borderId="1" xfId="0" applyFont="1" applyBorder="1" applyAlignment="1">
      <alignment vertical="center"/>
    </xf>
    <xf numFmtId="169" fontId="36" fillId="6" borderId="1" xfId="7" applyFont="1" applyFill="1" applyBorder="1" applyAlignment="1">
      <alignment vertical="center"/>
    </xf>
    <xf numFmtId="169" fontId="43" fillId="0" borderId="1" xfId="7" applyFont="1" applyBorder="1" applyAlignment="1">
      <alignment vertical="center"/>
    </xf>
    <xf numFmtId="0" fontId="36" fillId="0" borderId="1" xfId="0" applyFont="1" applyBorder="1" applyAlignment="1">
      <alignment horizontal="left" vertical="top" wrapText="1"/>
    </xf>
    <xf numFmtId="0" fontId="38" fillId="2" borderId="1" xfId="0" applyFont="1" applyFill="1" applyBorder="1" applyAlignment="1">
      <alignment horizontal="center" vertical="top" wrapText="1"/>
    </xf>
    <xf numFmtId="0" fontId="36" fillId="2" borderId="1" xfId="0" applyFont="1" applyFill="1" applyBorder="1" applyAlignment="1">
      <alignment horizontal="left" vertical="top" wrapText="1"/>
    </xf>
    <xf numFmtId="0" fontId="44" fillId="0" borderId="0" xfId="0" applyFont="1"/>
    <xf numFmtId="0" fontId="36" fillId="0" borderId="0" xfId="0" applyFont="1" applyAlignment="1">
      <alignment horizontal="left" vertical="top" wrapText="1"/>
    </xf>
    <xf numFmtId="0" fontId="34" fillId="0" borderId="0" xfId="0" applyFont="1" applyAlignment="1">
      <alignment horizontal="center" vertical="center"/>
    </xf>
    <xf numFmtId="0" fontId="6" fillId="0" borderId="0" xfId="0" applyFont="1" applyAlignment="1">
      <alignment horizontal="center" vertical="center"/>
    </xf>
    <xf numFmtId="169" fontId="6" fillId="0" borderId="0" xfId="7" applyFont="1" applyAlignment="1">
      <alignment horizontal="right" vertical="center"/>
    </xf>
    <xf numFmtId="0" fontId="12" fillId="2" borderId="0" xfId="0" applyFont="1" applyFill="1"/>
    <xf numFmtId="0" fontId="45" fillId="0" borderId="0" xfId="0" applyFont="1" applyAlignment="1">
      <alignment horizontal="center"/>
    </xf>
    <xf numFmtId="0" fontId="36" fillId="0" borderId="0" xfId="0" applyFont="1" applyAlignment="1">
      <alignment vertical="center"/>
    </xf>
    <xf numFmtId="169" fontId="36" fillId="0" borderId="0" xfId="7" applyFont="1" applyAlignment="1">
      <alignment horizontal="right" vertical="center"/>
    </xf>
    <xf numFmtId="169" fontId="36" fillId="0" borderId="0" xfId="7" applyFont="1" applyAlignment="1">
      <alignment vertical="center"/>
    </xf>
    <xf numFmtId="169" fontId="34" fillId="0" borderId="0" xfId="7" applyFont="1" applyAlignment="1">
      <alignment horizontal="right" vertical="center"/>
    </xf>
    <xf numFmtId="169" fontId="39" fillId="0" borderId="0" xfId="7" applyFont="1" applyAlignment="1">
      <alignment horizontal="right" vertical="center"/>
    </xf>
    <xf numFmtId="172" fontId="39" fillId="0" borderId="0" xfId="0" applyNumberFormat="1" applyFont="1" applyAlignment="1">
      <alignment vertical="center"/>
    </xf>
    <xf numFmtId="172" fontId="39" fillId="0" borderId="0" xfId="0" applyNumberFormat="1" applyFont="1" applyAlignment="1">
      <alignment horizontal="right" vertical="center"/>
    </xf>
    <xf numFmtId="0" fontId="24" fillId="0" borderId="0" xfId="0" applyFont="1"/>
    <xf numFmtId="172" fontId="34" fillId="0" borderId="0" xfId="0" applyNumberFormat="1" applyFont="1" applyAlignment="1">
      <alignment horizontal="right" vertical="center"/>
    </xf>
    <xf numFmtId="172" fontId="24" fillId="0" borderId="0" xfId="0" applyNumberFormat="1" applyFont="1"/>
    <xf numFmtId="169" fontId="46" fillId="0" borderId="0" xfId="7" applyFont="1" applyFill="1" applyBorder="1" applyAlignment="1">
      <alignment horizontal="center"/>
    </xf>
    <xf numFmtId="169" fontId="9" fillId="0" borderId="0" xfId="7" applyFont="1" applyFill="1" applyBorder="1"/>
    <xf numFmtId="169" fontId="36" fillId="2" borderId="0" xfId="7" applyFont="1" applyFill="1" applyAlignment="1">
      <alignment vertical="center"/>
    </xf>
    <xf numFmtId="172" fontId="0" fillId="0" borderId="0" xfId="0" applyNumberFormat="1"/>
    <xf numFmtId="0" fontId="6" fillId="0" borderId="0" xfId="0" applyFont="1" applyAlignment="1">
      <alignment horizontal="center" vertical="top" wrapText="1"/>
    </xf>
    <xf numFmtId="172" fontId="47" fillId="0" borderId="0" xfId="0" applyNumberFormat="1" applyFont="1" applyAlignment="1">
      <alignment horizontal="right" vertical="center"/>
    </xf>
    <xf numFmtId="172" fontId="34" fillId="0" borderId="0" xfId="0" applyNumberFormat="1" applyFont="1"/>
    <xf numFmtId="10" fontId="33" fillId="0" borderId="0" xfId="0" applyNumberFormat="1" applyFont="1"/>
    <xf numFmtId="0" fontId="34" fillId="0" borderId="0" xfId="0" applyFont="1" applyAlignment="1">
      <alignment horizontal="left" vertical="top" wrapText="1"/>
    </xf>
    <xf numFmtId="0" fontId="6" fillId="0" borderId="0" xfId="0" applyFont="1" applyAlignment="1">
      <alignment horizontal="center" vertical="top" wrapText="1" shrinkToFit="1"/>
    </xf>
    <xf numFmtId="0" fontId="0" fillId="0" borderId="0" xfId="0" applyAlignment="1">
      <alignment horizontal="center"/>
    </xf>
    <xf numFmtId="169" fontId="34" fillId="0" borderId="0" xfId="7" applyFont="1" applyFill="1" applyBorder="1" applyAlignment="1" applyProtection="1"/>
    <xf numFmtId="169" fontId="34" fillId="7" borderId="0" xfId="7" applyFont="1" applyFill="1" applyBorder="1" applyAlignment="1" applyProtection="1"/>
    <xf numFmtId="0" fontId="34" fillId="0" borderId="0" xfId="0" applyFont="1" applyAlignment="1">
      <alignment horizontal="center"/>
    </xf>
    <xf numFmtId="169" fontId="6" fillId="0" borderId="0" xfId="7" applyFont="1" applyFill="1" applyBorder="1" applyAlignment="1" applyProtection="1">
      <alignment horizontal="center" vertical="top" wrapText="1"/>
    </xf>
    <xf numFmtId="0" fontId="6" fillId="0" borderId="0" xfId="0" applyFont="1" applyAlignment="1">
      <alignment horizontal="center"/>
    </xf>
    <xf numFmtId="169" fontId="34" fillId="0" borderId="0" xfId="7" applyFont="1" applyFill="1" applyBorder="1" applyAlignment="1" applyProtection="1">
      <alignment vertical="center"/>
    </xf>
    <xf numFmtId="169" fontId="6" fillId="0" borderId="0" xfId="7" applyFont="1" applyFill="1" applyBorder="1" applyAlignment="1" applyProtection="1">
      <alignment vertical="center"/>
    </xf>
    <xf numFmtId="0" fontId="34" fillId="2" borderId="58" xfId="0" applyFont="1" applyFill="1" applyBorder="1"/>
    <xf numFmtId="169" fontId="34" fillId="6" borderId="1" xfId="7" applyFont="1" applyFill="1" applyBorder="1" applyAlignment="1" applyProtection="1"/>
    <xf numFmtId="169" fontId="34" fillId="7" borderId="1" xfId="7" applyFont="1" applyFill="1" applyBorder="1" applyAlignment="1" applyProtection="1"/>
    <xf numFmtId="169" fontId="34" fillId="7" borderId="1" xfId="7" applyFont="1" applyFill="1" applyBorder="1" applyAlignment="1" applyProtection="1">
      <alignment horizontal="right"/>
    </xf>
    <xf numFmtId="3" fontId="12" fillId="2" borderId="58" xfId="9" applyNumberFormat="1" applyFont="1" applyFill="1" applyBorder="1"/>
    <xf numFmtId="0" fontId="35" fillId="0" borderId="0" xfId="0" applyFont="1"/>
    <xf numFmtId="0" fontId="34" fillId="2" borderId="58" xfId="0" applyFont="1" applyFill="1" applyBorder="1" applyAlignment="1">
      <alignment wrapText="1"/>
    </xf>
    <xf numFmtId="0" fontId="0" fillId="0" borderId="1" xfId="0" applyBorder="1" applyAlignment="1">
      <alignment horizontal="center" wrapText="1"/>
    </xf>
    <xf numFmtId="169" fontId="34" fillId="7" borderId="1" xfId="7" applyFont="1" applyFill="1" applyBorder="1" applyAlignment="1" applyProtection="1">
      <alignment vertical="center"/>
    </xf>
    <xf numFmtId="0" fontId="48" fillId="2" borderId="0" xfId="0" applyFont="1" applyFill="1" applyAlignment="1">
      <alignment horizontal="center" vertical="center"/>
    </xf>
    <xf numFmtId="169" fontId="34" fillId="0" borderId="1" xfId="7" applyFont="1" applyFill="1" applyBorder="1" applyAlignment="1" applyProtection="1"/>
    <xf numFmtId="3" fontId="12" fillId="2" borderId="15" xfId="5" applyNumberFormat="1" applyFont="1" applyFill="1" applyBorder="1"/>
    <xf numFmtId="3" fontId="12" fillId="2" borderId="29" xfId="5" applyNumberFormat="1" applyFont="1" applyFill="1" applyBorder="1" applyAlignment="1">
      <alignment wrapText="1"/>
    </xf>
    <xf numFmtId="3" fontId="12" fillId="2" borderId="1" xfId="5" applyNumberFormat="1" applyFont="1" applyFill="1" applyBorder="1" applyAlignment="1">
      <alignment horizontal="center" wrapText="1"/>
    </xf>
    <xf numFmtId="3" fontId="12" fillId="2" borderId="1" xfId="5" applyNumberFormat="1" applyFont="1" applyFill="1" applyBorder="1" applyAlignment="1">
      <alignment horizontal="center"/>
    </xf>
    <xf numFmtId="3" fontId="12" fillId="2" borderId="15" xfId="5" applyNumberFormat="1" applyFont="1" applyFill="1" applyBorder="1" applyAlignment="1">
      <alignment wrapText="1"/>
    </xf>
    <xf numFmtId="3" fontId="12" fillId="2" borderId="29" xfId="9" applyNumberFormat="1" applyFont="1" applyFill="1" applyBorder="1"/>
    <xf numFmtId="3" fontId="12" fillId="2" borderId="71" xfId="9" applyNumberFormat="1" applyFont="1" applyFill="1" applyBorder="1" applyAlignment="1">
      <alignment wrapText="1"/>
    </xf>
    <xf numFmtId="3" fontId="14" fillId="0" borderId="1" xfId="9" applyNumberFormat="1" applyFont="1" applyBorder="1" applyAlignment="1">
      <alignment horizontal="center" wrapText="1"/>
    </xf>
    <xf numFmtId="3" fontId="12" fillId="2" borderId="2" xfId="9" applyNumberFormat="1" applyFont="1" applyFill="1" applyBorder="1" applyAlignment="1">
      <alignment wrapText="1"/>
    </xf>
    <xf numFmtId="3" fontId="12" fillId="2" borderId="29" xfId="9" applyNumberFormat="1" applyFont="1" applyFill="1" applyBorder="1" applyAlignment="1">
      <alignment vertical="center" wrapText="1"/>
    </xf>
    <xf numFmtId="3" fontId="14" fillId="0" borderId="1" xfId="9" applyNumberFormat="1" applyFont="1" applyBorder="1" applyAlignment="1">
      <alignment horizontal="center" vertical="center" wrapText="1"/>
    </xf>
    <xf numFmtId="3" fontId="12" fillId="0" borderId="29" xfId="9" applyNumberFormat="1" applyFont="1" applyBorder="1" applyAlignment="1">
      <alignment vertical="center" wrapText="1"/>
    </xf>
    <xf numFmtId="3" fontId="12" fillId="0" borderId="29" xfId="9" applyNumberFormat="1" applyFont="1" applyBorder="1"/>
    <xf numFmtId="169" fontId="34" fillId="3" borderId="1" xfId="7" applyFont="1" applyFill="1" applyBorder="1" applyAlignment="1" applyProtection="1"/>
    <xf numFmtId="3" fontId="12" fillId="0" borderId="29" xfId="9" applyNumberFormat="1" applyFont="1" applyBorder="1" applyAlignment="1">
      <alignment wrapText="1"/>
    </xf>
    <xf numFmtId="0" fontId="34" fillId="0" borderId="58" xfId="0" applyFont="1" applyBorder="1"/>
    <xf numFmtId="3" fontId="27" fillId="0" borderId="29" xfId="9" applyNumberFormat="1" applyFont="1" applyBorder="1" applyAlignment="1">
      <alignment wrapText="1"/>
    </xf>
    <xf numFmtId="3" fontId="34" fillId="3" borderId="1" xfId="0" applyNumberFormat="1" applyFont="1" applyFill="1" applyBorder="1" applyAlignment="1">
      <alignment horizontal="right"/>
    </xf>
    <xf numFmtId="3" fontId="34" fillId="7" borderId="1" xfId="0" applyNumberFormat="1" applyFont="1" applyFill="1" applyBorder="1" applyAlignment="1">
      <alignment horizontal="right"/>
    </xf>
    <xf numFmtId="0" fontId="12" fillId="0" borderId="15" xfId="0" applyFont="1" applyBorder="1" applyAlignment="1">
      <alignment wrapText="1"/>
    </xf>
    <xf numFmtId="0" fontId="12" fillId="0" borderId="1" xfId="0" applyFont="1" applyBorder="1" applyAlignment="1">
      <alignment horizontal="center" wrapText="1"/>
    </xf>
    <xf numFmtId="0" fontId="12" fillId="0" borderId="15" xfId="0" applyFont="1" applyBorder="1"/>
    <xf numFmtId="0" fontId="12" fillId="0" borderId="1" xfId="0" applyFont="1" applyBorder="1" applyAlignment="1">
      <alignment horizontal="center"/>
    </xf>
    <xf numFmtId="0" fontId="34" fillId="0" borderId="69" xfId="0" applyFont="1" applyBorder="1" applyAlignment="1">
      <alignment vertical="center" wrapText="1"/>
    </xf>
    <xf numFmtId="0" fontId="34" fillId="0" borderId="1" xfId="0" applyFont="1" applyBorder="1" applyAlignment="1">
      <alignment horizontal="center" wrapText="1"/>
    </xf>
    <xf numFmtId="169" fontId="34" fillId="7" borderId="66" xfId="7" applyFont="1" applyFill="1" applyBorder="1" applyAlignment="1" applyProtection="1">
      <alignment vertical="center"/>
    </xf>
    <xf numFmtId="169" fontId="6" fillId="8" borderId="0" xfId="7" applyFont="1" applyFill="1" applyBorder="1" applyAlignment="1" applyProtection="1"/>
    <xf numFmtId="169" fontId="6" fillId="7" borderId="1" xfId="7" applyFont="1" applyFill="1" applyBorder="1" applyAlignment="1" applyProtection="1"/>
    <xf numFmtId="0" fontId="34" fillId="0" borderId="66" xfId="0" applyFont="1" applyBorder="1"/>
    <xf numFmtId="0" fontId="34" fillId="0" borderId="66" xfId="0" applyFont="1" applyBorder="1" applyAlignment="1">
      <alignment horizontal="center"/>
    </xf>
    <xf numFmtId="169" fontId="34" fillId="3" borderId="66" xfId="7" applyFont="1" applyFill="1" applyBorder="1" applyAlignment="1" applyProtection="1"/>
    <xf numFmtId="0" fontId="12" fillId="0" borderId="1" xfId="0" applyFont="1" applyBorder="1" applyAlignment="1">
      <alignment horizontal="left" vertical="center" wrapText="1"/>
    </xf>
    <xf numFmtId="0" fontId="34" fillId="0" borderId="1" xfId="0" applyFont="1" applyBorder="1" applyAlignment="1">
      <alignment vertical="center"/>
    </xf>
    <xf numFmtId="0" fontId="0" fillId="0" borderId="1" xfId="0" applyBorder="1"/>
    <xf numFmtId="0" fontId="34" fillId="0" borderId="1" xfId="0" applyFont="1" applyBorder="1" applyAlignment="1">
      <alignment vertical="center" wrapText="1"/>
    </xf>
    <xf numFmtId="0" fontId="49" fillId="2" borderId="16" xfId="0" applyFont="1" applyFill="1" applyBorder="1" applyAlignment="1">
      <alignment horizontal="center" vertical="top" wrapText="1"/>
    </xf>
    <xf numFmtId="169" fontId="6" fillId="2" borderId="0" xfId="7" applyFont="1" applyFill="1" applyBorder="1" applyAlignment="1" applyProtection="1"/>
    <xf numFmtId="0" fontId="49" fillId="2" borderId="1" xfId="0" applyFont="1" applyFill="1" applyBorder="1" applyAlignment="1">
      <alignment horizontal="center" vertical="top" wrapText="1"/>
    </xf>
    <xf numFmtId="3" fontId="12" fillId="0" borderId="1" xfId="12" applyNumberFormat="1" applyFont="1" applyBorder="1" applyAlignment="1">
      <alignment horizontal="justify" vertical="center" wrapText="1"/>
    </xf>
    <xf numFmtId="169" fontId="34" fillId="0" borderId="1" xfId="7" applyFont="1" applyFill="1" applyBorder="1" applyAlignment="1" applyProtection="1">
      <alignment vertical="center"/>
    </xf>
    <xf numFmtId="0" fontId="50" fillId="2" borderId="1" xfId="0" applyFont="1" applyFill="1" applyBorder="1" applyAlignment="1">
      <alignment horizontal="center" vertical="top" wrapText="1"/>
    </xf>
    <xf numFmtId="0" fontId="10" fillId="0" borderId="0" xfId="0" applyFont="1" applyAlignment="1">
      <alignment horizontal="left" wrapText="1"/>
    </xf>
    <xf numFmtId="0" fontId="10" fillId="0" borderId="0" xfId="0" applyFont="1" applyAlignment="1">
      <alignment horizontal="center"/>
    </xf>
    <xf numFmtId="0" fontId="12" fillId="0" borderId="0" xfId="0" applyFont="1" applyAlignment="1">
      <alignment horizontal="center"/>
    </xf>
    <xf numFmtId="0" fontId="9" fillId="0" borderId="0" xfId="3" applyAlignment="1" applyProtection="1">
      <alignment vertical="center" wrapText="1"/>
      <protection hidden="1"/>
    </xf>
    <xf numFmtId="0" fontId="9" fillId="0" borderId="0" xfId="3" applyAlignment="1" applyProtection="1">
      <alignment horizontal="center" vertical="center" wrapText="1"/>
      <protection hidden="1"/>
    </xf>
    <xf numFmtId="3" fontId="9" fillId="0" borderId="0" xfId="3" applyNumberFormat="1" applyAlignment="1" applyProtection="1">
      <alignment vertical="center" wrapText="1"/>
      <protection locked="0" hidden="1"/>
    </xf>
    <xf numFmtId="0" fontId="8" fillId="2" borderId="1" xfId="5" applyFont="1" applyFill="1" applyBorder="1" applyAlignment="1">
      <alignment horizontal="center" vertical="center"/>
    </xf>
    <xf numFmtId="0" fontId="8" fillId="0" borderId="1" xfId="5" applyFont="1" applyBorder="1" applyAlignment="1">
      <alignment horizontal="center" vertical="center"/>
    </xf>
    <xf numFmtId="3" fontId="8" fillId="0" borderId="1" xfId="5" applyNumberFormat="1" applyFont="1" applyBorder="1" applyAlignment="1">
      <alignment horizontal="center" vertical="center"/>
    </xf>
    <xf numFmtId="0" fontId="9" fillId="0" borderId="30" xfId="3" applyBorder="1" applyAlignment="1" applyProtection="1">
      <alignment vertical="center" wrapText="1"/>
      <protection hidden="1"/>
    </xf>
    <xf numFmtId="4" fontId="10" fillId="0" borderId="1" xfId="0" applyNumberFormat="1" applyFont="1" applyBorder="1" applyAlignment="1" applyProtection="1">
      <alignment vertical="center" wrapText="1"/>
      <protection hidden="1"/>
    </xf>
    <xf numFmtId="4" fontId="10" fillId="0" borderId="47" xfId="0" applyNumberFormat="1" applyFont="1" applyBorder="1" applyAlignment="1" applyProtection="1">
      <alignment vertical="center" wrapText="1"/>
      <protection hidden="1"/>
    </xf>
    <xf numFmtId="4" fontId="10" fillId="0" borderId="45" xfId="0" applyNumberFormat="1" applyFont="1" applyBorder="1" applyAlignment="1" applyProtection="1">
      <alignment vertical="center" wrapText="1"/>
      <protection hidden="1"/>
    </xf>
    <xf numFmtId="0" fontId="9" fillId="0" borderId="45" xfId="3" applyBorder="1" applyAlignment="1" applyProtection="1">
      <alignment vertical="center" wrapText="1"/>
      <protection hidden="1"/>
    </xf>
    <xf numFmtId="0" fontId="9" fillId="0" borderId="45" xfId="3" applyBorder="1" applyAlignment="1" applyProtection="1">
      <alignment horizontal="center" vertical="center" wrapText="1"/>
      <protection hidden="1"/>
    </xf>
    <xf numFmtId="4" fontId="9" fillId="0" borderId="45" xfId="3" applyNumberFormat="1" applyBorder="1" applyAlignment="1" applyProtection="1">
      <alignment vertical="center" wrapText="1"/>
      <protection locked="0" hidden="1"/>
    </xf>
    <xf numFmtId="0" fontId="9" fillId="0" borderId="42" xfId="3" applyBorder="1" applyAlignment="1" applyProtection="1">
      <alignment vertical="center" wrapText="1"/>
      <protection hidden="1"/>
    </xf>
    <xf numFmtId="0" fontId="9" fillId="0" borderId="42" xfId="3" applyBorder="1" applyAlignment="1" applyProtection="1">
      <alignment horizontal="center" vertical="center" wrapText="1"/>
      <protection hidden="1"/>
    </xf>
    <xf numFmtId="0" fontId="0" fillId="0" borderId="30" xfId="0" applyBorder="1"/>
    <xf numFmtId="0" fontId="34" fillId="0" borderId="30" xfId="0" applyFont="1" applyBorder="1"/>
    <xf numFmtId="0" fontId="34" fillId="0" borderId="30" xfId="0" applyFont="1" applyBorder="1" applyAlignment="1">
      <alignment horizontal="center"/>
    </xf>
    <xf numFmtId="173" fontId="9" fillId="0" borderId="1" xfId="3" applyNumberFormat="1" applyBorder="1" applyAlignment="1" applyProtection="1">
      <alignment vertical="center" wrapText="1"/>
      <protection hidden="1"/>
    </xf>
    <xf numFmtId="0" fontId="0" fillId="9" borderId="0" xfId="0" applyFill="1"/>
    <xf numFmtId="0" fontId="24" fillId="0" borderId="0" xfId="0" applyFont="1" applyAlignment="1">
      <alignment horizontal="centerContinuous" vertical="center"/>
    </xf>
    <xf numFmtId="0" fontId="53" fillId="0" borderId="0" xfId="0" applyFont="1" applyAlignment="1">
      <alignment horizontal="left" vertical="center"/>
    </xf>
    <xf numFmtId="2" fontId="9" fillId="0" borderId="1" xfId="3" applyNumberFormat="1" applyBorder="1" applyAlignment="1" applyProtection="1">
      <alignment vertical="center" wrapText="1"/>
      <protection hidden="1"/>
    </xf>
    <xf numFmtId="3" fontId="14" fillId="0" borderId="1" xfId="9" applyNumberFormat="1" applyFont="1" applyBorder="1" applyAlignment="1">
      <alignment horizontal="center" vertical="center"/>
    </xf>
    <xf numFmtId="3" fontId="14" fillId="2" borderId="1" xfId="9" applyNumberFormat="1" applyFont="1" applyFill="1" applyBorder="1" applyAlignment="1">
      <alignment vertical="center"/>
    </xf>
    <xf numFmtId="4" fontId="14" fillId="0" borderId="1" xfId="9" applyNumberFormat="1" applyFont="1" applyBorder="1" applyAlignment="1">
      <alignment vertical="center"/>
    </xf>
    <xf numFmtId="3" fontId="14" fillId="0" borderId="55" xfId="9" applyNumberFormat="1" applyFont="1" applyBorder="1" applyAlignment="1">
      <alignment vertical="center"/>
    </xf>
    <xf numFmtId="164" fontId="0" fillId="0" borderId="0" xfId="13" applyFont="1" applyFill="1" applyBorder="1" applyAlignment="1" applyProtection="1"/>
    <xf numFmtId="176" fontId="0" fillId="0" borderId="30" xfId="0" applyNumberFormat="1" applyBorder="1"/>
    <xf numFmtId="176" fontId="12" fillId="0" borderId="0" xfId="0" applyNumberFormat="1" applyFont="1"/>
    <xf numFmtId="176" fontId="0" fillId="0" borderId="0" xfId="0" applyNumberFormat="1"/>
    <xf numFmtId="0" fontId="8" fillId="10" borderId="1" xfId="5" applyFont="1" applyFill="1" applyBorder="1" applyAlignment="1">
      <alignment horizontal="center" vertical="center"/>
    </xf>
    <xf numFmtId="0" fontId="9" fillId="0" borderId="1" xfId="3" applyBorder="1" applyAlignment="1" applyProtection="1">
      <alignment vertical="center" wrapText="1"/>
      <protection locked="0" hidden="1"/>
    </xf>
    <xf numFmtId="176" fontId="9" fillId="0" borderId="1" xfId="3" applyNumberFormat="1" applyBorder="1" applyAlignment="1" applyProtection="1">
      <alignment horizontal="center" vertical="center" wrapText="1"/>
      <protection hidden="1"/>
    </xf>
    <xf numFmtId="176" fontId="10" fillId="0" borderId="1" xfId="0" applyNumberFormat="1" applyFont="1" applyBorder="1" applyAlignment="1" applyProtection="1">
      <alignment vertical="center" wrapText="1"/>
      <protection hidden="1"/>
    </xf>
    <xf numFmtId="176" fontId="8" fillId="0" borderId="1" xfId="5" applyNumberFormat="1" applyFont="1" applyBorder="1" applyAlignment="1">
      <alignment vertical="center" wrapText="1"/>
    </xf>
    <xf numFmtId="176" fontId="8" fillId="0" borderId="1" xfId="4" applyNumberFormat="1" applyFont="1" applyBorder="1" applyAlignment="1">
      <alignment vertical="center" wrapText="1"/>
    </xf>
    <xf numFmtId="176" fontId="8" fillId="10" borderId="1" xfId="5" applyNumberFormat="1" applyFont="1" applyFill="1" applyBorder="1" applyAlignment="1">
      <alignment horizontal="center" vertical="center"/>
    </xf>
    <xf numFmtId="176" fontId="8" fillId="10" borderId="1" xfId="8" applyNumberFormat="1" applyFont="1" applyFill="1" applyBorder="1" applyAlignment="1">
      <alignment horizontal="center" vertical="center"/>
    </xf>
    <xf numFmtId="0" fontId="7" fillId="10" borderId="1" xfId="3" applyFont="1" applyFill="1" applyBorder="1" applyAlignment="1" applyProtection="1">
      <alignment vertical="center" wrapText="1"/>
      <protection locked="0" hidden="1"/>
    </xf>
    <xf numFmtId="0" fontId="9" fillId="0" borderId="1" xfId="3" applyBorder="1" applyAlignment="1" applyProtection="1">
      <alignment horizontal="right" vertical="center" wrapText="1"/>
      <protection locked="0" hidden="1"/>
    </xf>
    <xf numFmtId="176" fontId="9" fillId="0" borderId="1" xfId="3" applyNumberFormat="1" applyBorder="1" applyAlignment="1" applyProtection="1">
      <alignment vertical="center" wrapText="1"/>
      <protection locked="0" hidden="1"/>
    </xf>
    <xf numFmtId="176" fontId="9" fillId="0" borderId="1" xfId="8" applyNumberFormat="1" applyFont="1" applyFill="1" applyBorder="1" applyAlignment="1" applyProtection="1">
      <alignment vertical="center" wrapText="1"/>
      <protection hidden="1"/>
    </xf>
    <xf numFmtId="176" fontId="8" fillId="0" borderId="1" xfId="8" applyNumberFormat="1" applyFont="1" applyFill="1" applyBorder="1" applyAlignment="1">
      <alignment vertical="center"/>
    </xf>
    <xf numFmtId="164" fontId="0" fillId="0" borderId="0" xfId="13" applyFont="1"/>
    <xf numFmtId="164" fontId="0" fillId="0" borderId="0" xfId="0" applyNumberFormat="1"/>
    <xf numFmtId="0" fontId="0" fillId="0" borderId="25" xfId="0" applyBorder="1"/>
    <xf numFmtId="0" fontId="0" fillId="0" borderId="26" xfId="0" applyBorder="1"/>
    <xf numFmtId="0" fontId="0" fillId="0" borderId="27" xfId="0" applyBorder="1"/>
    <xf numFmtId="0" fontId="0" fillId="0" borderId="9" xfId="0" applyBorder="1"/>
    <xf numFmtId="0" fontId="0" fillId="0" borderId="10" xfId="0" applyBorder="1"/>
    <xf numFmtId="0" fontId="0" fillId="0" borderId="52" xfId="0" applyBorder="1"/>
    <xf numFmtId="0" fontId="0" fillId="0" borderId="24" xfId="0" applyBorder="1"/>
    <xf numFmtId="0" fontId="60" fillId="0" borderId="1" xfId="0" applyFont="1" applyBorder="1" applyAlignment="1">
      <alignment horizontal="center" vertical="center"/>
    </xf>
    <xf numFmtId="0" fontId="0" fillId="0" borderId="0" xfId="0" applyAlignment="1">
      <alignment vertical="center"/>
    </xf>
    <xf numFmtId="0" fontId="60" fillId="0" borderId="0" xfId="0" applyFont="1" applyAlignment="1">
      <alignment horizontal="center" vertical="center"/>
    </xf>
    <xf numFmtId="0" fontId="60" fillId="0" borderId="70" xfId="0" applyFont="1" applyBorder="1" applyAlignment="1">
      <alignment horizontal="center" vertical="center"/>
    </xf>
    <xf numFmtId="176" fontId="60" fillId="0" borderId="13" xfId="0" applyNumberFormat="1" applyFont="1" applyBorder="1" applyAlignment="1">
      <alignment vertical="center"/>
    </xf>
    <xf numFmtId="0" fontId="63" fillId="0" borderId="0" xfId="0" applyFont="1" applyAlignment="1">
      <alignment vertical="center"/>
    </xf>
    <xf numFmtId="176" fontId="63" fillId="0" borderId="0" xfId="0" applyNumberFormat="1" applyFont="1" applyAlignment="1">
      <alignment vertical="center"/>
    </xf>
    <xf numFmtId="0" fontId="62" fillId="0" borderId="0" xfId="0" applyFont="1" applyAlignment="1">
      <alignment vertical="center"/>
    </xf>
    <xf numFmtId="0" fontId="64" fillId="0" borderId="0" xfId="0" applyFont="1" applyAlignment="1">
      <alignment vertical="center"/>
    </xf>
    <xf numFmtId="164" fontId="64" fillId="0" borderId="0" xfId="13" applyFont="1" applyAlignment="1">
      <alignment vertical="center"/>
    </xf>
    <xf numFmtId="0" fontId="65" fillId="0" borderId="0" xfId="0" applyFont="1" applyAlignment="1">
      <alignment vertical="center"/>
    </xf>
    <xf numFmtId="0" fontId="66" fillId="0" borderId="0" xfId="0" applyFont="1" applyAlignment="1">
      <alignment vertical="center"/>
    </xf>
    <xf numFmtId="176" fontId="64" fillId="0" borderId="0" xfId="0" applyNumberFormat="1" applyFont="1" applyAlignment="1">
      <alignment vertical="center"/>
    </xf>
    <xf numFmtId="164" fontId="67" fillId="0" borderId="16" xfId="13" applyFont="1" applyBorder="1" applyAlignment="1">
      <alignment horizontal="right" vertical="center"/>
    </xf>
    <xf numFmtId="164" fontId="0" fillId="0" borderId="0" xfId="13" applyFont="1" applyBorder="1" applyAlignment="1">
      <alignment horizontal="center" vertical="center"/>
    </xf>
    <xf numFmtId="0" fontId="8" fillId="11" borderId="36" xfId="5" applyFont="1" applyFill="1" applyBorder="1" applyAlignment="1">
      <alignment horizontal="center" vertical="center"/>
    </xf>
    <xf numFmtId="0" fontId="8" fillId="11" borderId="35" xfId="5" applyFont="1" applyFill="1" applyBorder="1" applyAlignment="1">
      <alignment horizontal="center" vertical="center"/>
    </xf>
    <xf numFmtId="3" fontId="8" fillId="11" borderId="35" xfId="5" applyNumberFormat="1" applyFont="1" applyFill="1" applyBorder="1" applyAlignment="1">
      <alignment horizontal="center" vertical="center"/>
    </xf>
    <xf numFmtId="3" fontId="8" fillId="2" borderId="0" xfId="5" applyNumberFormat="1" applyFont="1" applyFill="1" applyAlignment="1">
      <alignment vertical="center" wrapText="1"/>
    </xf>
    <xf numFmtId="3" fontId="8" fillId="2" borderId="0" xfId="5" applyNumberFormat="1" applyFont="1" applyFill="1" applyAlignment="1">
      <alignment horizontal="center" vertical="center" wrapText="1"/>
    </xf>
    <xf numFmtId="4" fontId="10" fillId="0" borderId="1" xfId="0" applyNumberFormat="1" applyFont="1" applyBorder="1" applyAlignment="1" applyProtection="1">
      <alignment horizontal="center" vertical="center" wrapText="1"/>
      <protection hidden="1"/>
    </xf>
    <xf numFmtId="171" fontId="9" fillId="2" borderId="1" xfId="8" applyNumberFormat="1" applyFont="1" applyFill="1" applyBorder="1" applyAlignment="1" applyProtection="1">
      <alignment horizontal="center" vertical="center" wrapText="1"/>
      <protection hidden="1"/>
    </xf>
    <xf numFmtId="0" fontId="9" fillId="0" borderId="28" xfId="3" applyBorder="1" applyAlignment="1" applyProtection="1">
      <alignment horizontal="center" vertical="center" wrapText="1"/>
      <protection locked="0" hidden="1"/>
    </xf>
    <xf numFmtId="0" fontId="10" fillId="0" borderId="0" xfId="5" applyFont="1" applyAlignment="1">
      <alignment vertical="center"/>
    </xf>
    <xf numFmtId="170" fontId="8" fillId="0" borderId="82" xfId="8" applyFont="1" applyFill="1" applyBorder="1" applyAlignment="1">
      <alignment vertical="center"/>
    </xf>
    <xf numFmtId="2" fontId="73" fillId="0" borderId="0" xfId="21" applyNumberFormat="1" applyFont="1" applyAlignment="1">
      <alignment horizontal="left" vertical="center"/>
    </xf>
    <xf numFmtId="178" fontId="73" fillId="0" borderId="0" xfId="21" applyNumberFormat="1" applyFont="1" applyAlignment="1">
      <alignment vertical="center"/>
    </xf>
    <xf numFmtId="0" fontId="73" fillId="0" borderId="0" xfId="21" applyFont="1" applyAlignment="1">
      <alignment horizontal="center" vertical="center"/>
    </xf>
    <xf numFmtId="2" fontId="73" fillId="0" borderId="0" xfId="21" applyNumberFormat="1" applyFont="1" applyAlignment="1">
      <alignment horizontal="center" vertical="center"/>
    </xf>
    <xf numFmtId="0" fontId="74" fillId="0" borderId="0" xfId="21" applyFont="1" applyAlignment="1">
      <alignment vertical="center"/>
    </xf>
    <xf numFmtId="0" fontId="74" fillId="0" borderId="0" xfId="21" applyFont="1"/>
    <xf numFmtId="0" fontId="74" fillId="0" borderId="0" xfId="21" applyFont="1" applyAlignment="1">
      <alignment horizontal="left" vertical="center"/>
    </xf>
    <xf numFmtId="164" fontId="60" fillId="13" borderId="1" xfId="0" applyNumberFormat="1" applyFont="1" applyFill="1" applyBorder="1" applyAlignment="1">
      <alignment horizontal="center" vertical="center"/>
    </xf>
    <xf numFmtId="0" fontId="60" fillId="13" borderId="1" xfId="0" applyFont="1" applyFill="1" applyBorder="1" applyAlignment="1">
      <alignment horizontal="center" vertical="center"/>
    </xf>
    <xf numFmtId="164" fontId="60" fillId="14" borderId="1" xfId="0" applyNumberFormat="1" applyFont="1" applyFill="1" applyBorder="1" applyAlignment="1">
      <alignment horizontal="center" vertical="center"/>
    </xf>
    <xf numFmtId="0" fontId="60" fillId="0" borderId="0" xfId="0" applyFont="1" applyAlignment="1">
      <alignment horizontal="center" vertical="center" wrapText="1"/>
    </xf>
    <xf numFmtId="3" fontId="24" fillId="0" borderId="13" xfId="0" applyNumberFormat="1" applyFont="1" applyBorder="1" applyAlignment="1">
      <alignment horizontal="center" vertical="center"/>
    </xf>
    <xf numFmtId="3" fontId="24" fillId="0" borderId="13" xfId="0" applyNumberFormat="1" applyFont="1" applyBorder="1" applyAlignment="1">
      <alignment vertical="center"/>
    </xf>
    <xf numFmtId="168" fontId="55" fillId="0" borderId="13" xfId="0" applyNumberFormat="1" applyFont="1" applyBorder="1" applyAlignment="1">
      <alignment vertical="center"/>
    </xf>
    <xf numFmtId="4" fontId="24" fillId="0" borderId="14" xfId="0" applyNumberFormat="1" applyFont="1" applyBorder="1" applyAlignment="1">
      <alignment vertical="center"/>
    </xf>
    <xf numFmtId="0" fontId="9" fillId="0" borderId="0" xfId="32" applyAlignment="1">
      <alignment vertical="center"/>
    </xf>
    <xf numFmtId="0" fontId="76" fillId="0" borderId="0" xfId="0" applyFont="1" applyAlignment="1">
      <alignment vertical="center"/>
    </xf>
    <xf numFmtId="0" fontId="74" fillId="0" borderId="0" xfId="0" applyFont="1" applyAlignment="1">
      <alignment vertical="center"/>
    </xf>
    <xf numFmtId="0" fontId="70" fillId="0" borderId="9" xfId="0" applyFont="1" applyBorder="1" applyAlignment="1">
      <alignment horizontal="center" vertical="center"/>
    </xf>
    <xf numFmtId="0" fontId="70" fillId="0" borderId="0" xfId="0" applyFont="1" applyAlignment="1">
      <alignment horizontal="center" vertical="center"/>
    </xf>
    <xf numFmtId="0" fontId="0" fillId="0" borderId="10" xfId="0" applyBorder="1" applyAlignment="1">
      <alignment vertical="center"/>
    </xf>
    <xf numFmtId="0" fontId="0" fillId="0" borderId="9" xfId="0" applyBorder="1" applyAlignment="1">
      <alignment vertical="center"/>
    </xf>
    <xf numFmtId="0" fontId="0" fillId="0" borderId="0" xfId="0" applyAlignment="1">
      <alignment horizontal="center" vertical="center"/>
    </xf>
    <xf numFmtId="0" fontId="59" fillId="0" borderId="25" xfId="0" applyFont="1" applyBorder="1" applyAlignment="1">
      <alignment vertical="center"/>
    </xf>
    <xf numFmtId="0" fontId="77" fillId="0" borderId="26" xfId="0" applyFont="1" applyBorder="1" applyAlignment="1">
      <alignment horizontal="center" vertical="center"/>
    </xf>
    <xf numFmtId="2" fontId="77" fillId="0" borderId="26" xfId="1" applyNumberFormat="1" applyFont="1" applyBorder="1" applyAlignment="1">
      <alignment horizontal="center" vertical="center"/>
    </xf>
    <xf numFmtId="0" fontId="77" fillId="0" borderId="27" xfId="0" applyFont="1" applyBorder="1" applyAlignment="1">
      <alignment horizontal="center" vertical="center"/>
    </xf>
    <xf numFmtId="166" fontId="2" fillId="0" borderId="0" xfId="33" applyFont="1" applyFill="1" applyBorder="1" applyAlignment="1">
      <alignment vertical="center"/>
    </xf>
    <xf numFmtId="166" fontId="2" fillId="0" borderId="10" xfId="33" applyFont="1" applyFill="1" applyBorder="1" applyAlignment="1">
      <alignment vertical="center"/>
    </xf>
    <xf numFmtId="0" fontId="0" fillId="0" borderId="52" xfId="0" applyBorder="1" applyAlignment="1">
      <alignment vertical="center"/>
    </xf>
    <xf numFmtId="0" fontId="0" fillId="0" borderId="30" xfId="0" applyBorder="1" applyAlignment="1">
      <alignment vertical="center"/>
    </xf>
    <xf numFmtId="0" fontId="0" fillId="0" borderId="24" xfId="0" applyBorder="1" applyAlignment="1">
      <alignment vertical="center"/>
    </xf>
    <xf numFmtId="2" fontId="77" fillId="0" borderId="26" xfId="0" applyNumberFormat="1" applyFont="1" applyBorder="1" applyAlignment="1">
      <alignment horizontal="center" vertical="center"/>
    </xf>
    <xf numFmtId="0" fontId="59" fillId="0" borderId="26" xfId="0" applyFont="1" applyBorder="1" applyAlignment="1">
      <alignment vertical="center"/>
    </xf>
    <xf numFmtId="0" fontId="59" fillId="0" borderId="25" xfId="0" applyFont="1" applyBorder="1" applyAlignment="1">
      <alignment vertical="center" wrapText="1"/>
    </xf>
    <xf numFmtId="0" fontId="30" fillId="0" borderId="9" xfId="0" applyFont="1" applyBorder="1" applyAlignment="1">
      <alignment vertical="center"/>
    </xf>
    <xf numFmtId="0" fontId="0" fillId="0" borderId="0" xfId="0" applyAlignment="1">
      <alignment horizontal="right" vertical="center"/>
    </xf>
    <xf numFmtId="0" fontId="78" fillId="0" borderId="0" xfId="0" applyFont="1" applyAlignment="1">
      <alignment horizontal="center" vertical="center"/>
    </xf>
    <xf numFmtId="0" fontId="78" fillId="0" borderId="9" xfId="0" applyFont="1" applyBorder="1" applyAlignment="1">
      <alignment horizontal="center" vertical="center"/>
    </xf>
    <xf numFmtId="0" fontId="31" fillId="0" borderId="9" xfId="0" applyFont="1" applyBorder="1" applyAlignment="1">
      <alignment horizontal="center" vertical="center"/>
    </xf>
    <xf numFmtId="0" fontId="31" fillId="0" borderId="0" xfId="0" applyFont="1" applyAlignment="1">
      <alignment horizontal="center" vertical="center"/>
    </xf>
    <xf numFmtId="0" fontId="31" fillId="0" borderId="99" xfId="0" applyFont="1" applyBorder="1" applyAlignment="1">
      <alignment vertical="center"/>
    </xf>
    <xf numFmtId="0" fontId="31" fillId="0" borderId="22" xfId="0" applyFont="1" applyBorder="1" applyAlignment="1">
      <alignment vertical="center"/>
    </xf>
    <xf numFmtId="0" fontId="31" fillId="0" borderId="22" xfId="0" applyFont="1" applyBorder="1" applyAlignment="1">
      <alignment horizontal="center" vertical="center"/>
    </xf>
    <xf numFmtId="0" fontId="31" fillId="0" borderId="22" xfId="0" applyFont="1" applyBorder="1" applyAlignment="1">
      <alignment horizontal="right" vertical="center"/>
    </xf>
    <xf numFmtId="0" fontId="31" fillId="0" borderId="23" xfId="0" applyFont="1" applyBorder="1" applyAlignment="1">
      <alignment horizontal="right" vertical="center"/>
    </xf>
    <xf numFmtId="168" fontId="0" fillId="0" borderId="0" xfId="0" applyNumberFormat="1" applyAlignment="1">
      <alignment horizontal="right" vertical="center"/>
    </xf>
    <xf numFmtId="4" fontId="10" fillId="0" borderId="0" xfId="34" applyNumberFormat="1" applyFont="1" applyBorder="1" applyAlignment="1">
      <alignment horizontal="right" vertical="center"/>
    </xf>
    <xf numFmtId="4" fontId="0" fillId="0" borderId="94" xfId="0" applyNumberFormat="1" applyBorder="1" applyAlignment="1">
      <alignment horizontal="right" vertical="center"/>
    </xf>
    <xf numFmtId="4" fontId="0" fillId="0" borderId="10" xfId="0" applyNumberFormat="1" applyBorder="1" applyAlignment="1">
      <alignment vertical="center"/>
    </xf>
    <xf numFmtId="0" fontId="8" fillId="0" borderId="0" xfId="0" applyFont="1" applyAlignment="1">
      <alignment vertical="center"/>
    </xf>
    <xf numFmtId="4" fontId="0" fillId="0" borderId="0" xfId="0" applyNumberFormat="1" applyAlignment="1">
      <alignment horizontal="right" vertical="center"/>
    </xf>
    <xf numFmtId="4" fontId="10" fillId="0" borderId="0" xfId="20" applyNumberFormat="1" applyFont="1" applyBorder="1" applyAlignment="1">
      <alignment horizontal="right" vertical="center"/>
    </xf>
    <xf numFmtId="4" fontId="28" fillId="0" borderId="94" xfId="0" applyNumberFormat="1" applyFont="1" applyBorder="1" applyAlignment="1">
      <alignment horizontal="right" vertical="center"/>
    </xf>
    <xf numFmtId="0" fontId="0" fillId="0" borderId="0" xfId="0" applyAlignment="1">
      <alignment vertical="center" wrapText="1"/>
    </xf>
    <xf numFmtId="179" fontId="2" fillId="0" borderId="0" xfId="1" applyNumberFormat="1" applyFont="1" applyBorder="1" applyAlignment="1">
      <alignment horizontal="right" vertical="center"/>
    </xf>
    <xf numFmtId="4" fontId="10" fillId="0" borderId="0" xfId="0" applyNumberFormat="1" applyFont="1" applyAlignment="1">
      <alignment horizontal="right" vertical="center"/>
    </xf>
    <xf numFmtId="0" fontId="31" fillId="0" borderId="11" xfId="0" applyFont="1" applyBorder="1" applyAlignment="1">
      <alignment vertical="center"/>
    </xf>
    <xf numFmtId="0" fontId="31" fillId="0" borderId="2" xfId="0" applyFont="1" applyBorder="1" applyAlignment="1">
      <alignment vertical="center"/>
    </xf>
    <xf numFmtId="0" fontId="31" fillId="0" borderId="2" xfId="0" applyFont="1" applyBorder="1" applyAlignment="1">
      <alignment horizontal="center" vertical="center"/>
    </xf>
    <xf numFmtId="4" fontId="31" fillId="0" borderId="2" xfId="0" applyNumberFormat="1" applyFont="1" applyBorder="1" applyAlignment="1">
      <alignment horizontal="right" vertical="center"/>
    </xf>
    <xf numFmtId="4" fontId="31" fillId="0" borderId="12" xfId="0" applyNumberFormat="1" applyFont="1" applyBorder="1" applyAlignment="1">
      <alignment horizontal="right" vertical="center"/>
    </xf>
    <xf numFmtId="4" fontId="31" fillId="0" borderId="22" xfId="0" applyNumberFormat="1" applyFont="1" applyBorder="1" applyAlignment="1">
      <alignment horizontal="right" vertical="center"/>
    </xf>
    <xf numFmtId="4" fontId="31" fillId="0" borderId="23" xfId="0" applyNumberFormat="1" applyFont="1" applyBorder="1" applyAlignment="1">
      <alignment horizontal="right" vertical="center"/>
    </xf>
    <xf numFmtId="0" fontId="31" fillId="0" borderId="9" xfId="0" applyFont="1" applyBorder="1" applyAlignment="1">
      <alignment vertical="center"/>
    </xf>
    <xf numFmtId="0" fontId="31" fillId="0" borderId="0" xfId="0" applyFont="1" applyAlignment="1">
      <alignment vertical="center"/>
    </xf>
    <xf numFmtId="4" fontId="31" fillId="0" borderId="0" xfId="0" applyNumberFormat="1" applyFont="1" applyAlignment="1">
      <alignment horizontal="right" vertical="center"/>
    </xf>
    <xf numFmtId="9" fontId="31" fillId="0" borderId="22" xfId="1" applyFont="1" applyBorder="1" applyAlignment="1">
      <alignment horizontal="right" vertical="center"/>
    </xf>
    <xf numFmtId="9" fontId="2" fillId="0" borderId="0" xfId="1" applyFont="1" applyBorder="1" applyAlignment="1">
      <alignment horizontal="right" vertical="center"/>
    </xf>
    <xf numFmtId="0" fontId="31" fillId="0" borderId="52" xfId="0" applyFont="1" applyBorder="1" applyAlignment="1">
      <alignment vertical="center"/>
    </xf>
    <xf numFmtId="0" fontId="31" fillId="0" borderId="30" xfId="0" applyFont="1" applyBorder="1" applyAlignment="1">
      <alignment vertical="center"/>
    </xf>
    <xf numFmtId="0" fontId="31" fillId="0" borderId="30" xfId="0" applyFont="1" applyBorder="1" applyAlignment="1">
      <alignment horizontal="center" vertical="center"/>
    </xf>
    <xf numFmtId="4" fontId="31" fillId="0" borderId="30" xfId="0" applyNumberFormat="1" applyFont="1" applyBorder="1" applyAlignment="1">
      <alignment horizontal="right" vertical="center"/>
    </xf>
    <xf numFmtId="4" fontId="31" fillId="0" borderId="31" xfId="0" applyNumberFormat="1" applyFont="1" applyBorder="1" applyAlignment="1">
      <alignment horizontal="right" vertical="center"/>
    </xf>
    <xf numFmtId="0" fontId="60" fillId="0" borderId="0" xfId="0" applyFont="1"/>
    <xf numFmtId="3" fontId="7" fillId="2" borderId="0" xfId="5" applyNumberFormat="1" applyFont="1" applyFill="1" applyAlignment="1">
      <alignment vertical="center" wrapText="1"/>
    </xf>
    <xf numFmtId="179" fontId="9" fillId="0" borderId="96" xfId="5" applyNumberFormat="1" applyFont="1" applyBorder="1" applyAlignment="1">
      <alignment horizontal="center" vertical="center" wrapText="1"/>
    </xf>
    <xf numFmtId="0" fontId="60" fillId="0" borderId="0" xfId="0" applyFont="1" applyAlignment="1">
      <alignment vertical="center"/>
    </xf>
    <xf numFmtId="0" fontId="60" fillId="0" borderId="92" xfId="0" applyFont="1" applyBorder="1" applyAlignment="1">
      <alignment vertical="center"/>
    </xf>
    <xf numFmtId="0" fontId="60" fillId="0" borderId="65" xfId="0" applyFont="1" applyBorder="1" applyAlignment="1">
      <alignment vertical="center"/>
    </xf>
    <xf numFmtId="0" fontId="60" fillId="0" borderId="65" xfId="0" applyFont="1" applyBorder="1" applyAlignment="1">
      <alignment vertical="center" wrapText="1"/>
    </xf>
    <xf numFmtId="0" fontId="60" fillId="0" borderId="16" xfId="0" applyFont="1" applyBorder="1" applyAlignment="1">
      <alignment vertical="center" wrapText="1"/>
    </xf>
    <xf numFmtId="0" fontId="60" fillId="0" borderId="16" xfId="0" applyFont="1" applyBorder="1" applyAlignment="1">
      <alignment vertical="center"/>
    </xf>
    <xf numFmtId="0" fontId="79" fillId="11" borderId="28" xfId="0" applyFont="1" applyFill="1" applyBorder="1" applyAlignment="1">
      <alignment horizontal="center" vertical="center" wrapText="1"/>
    </xf>
    <xf numFmtId="0" fontId="79" fillId="11" borderId="1" xfId="0" applyFont="1" applyFill="1" applyBorder="1" applyAlignment="1">
      <alignment horizontal="center" vertical="center" wrapText="1"/>
    </xf>
    <xf numFmtId="164" fontId="79" fillId="11" borderId="58" xfId="13" applyFont="1" applyFill="1" applyBorder="1" applyAlignment="1">
      <alignment horizontal="center" vertical="center" wrapText="1"/>
    </xf>
    <xf numFmtId="0" fontId="80" fillId="0" borderId="28" xfId="0" applyFont="1" applyBorder="1" applyAlignment="1">
      <alignment horizontal="center" vertical="center"/>
    </xf>
    <xf numFmtId="0" fontId="80" fillId="12" borderId="1" xfId="0" applyFont="1" applyFill="1" applyBorder="1" applyAlignment="1">
      <alignment horizontal="left" vertical="center" wrapText="1"/>
    </xf>
    <xf numFmtId="0" fontId="79" fillId="0" borderId="1" xfId="0" applyFont="1" applyBorder="1" applyAlignment="1">
      <alignment horizontal="center" vertical="center"/>
    </xf>
    <xf numFmtId="0" fontId="79" fillId="0" borderId="68" xfId="0" applyFont="1" applyBorder="1" applyAlignment="1">
      <alignment vertical="center"/>
    </xf>
    <xf numFmtId="0" fontId="79" fillId="0" borderId="0" xfId="0" applyFont="1" applyAlignment="1">
      <alignment vertical="center"/>
    </xf>
    <xf numFmtId="0" fontId="79" fillId="0" borderId="1" xfId="0" applyFont="1" applyBorder="1" applyAlignment="1">
      <alignment horizontal="center" vertical="center" wrapText="1"/>
    </xf>
    <xf numFmtId="0" fontId="79" fillId="0" borderId="66" xfId="0" applyFont="1" applyBorder="1" applyAlignment="1">
      <alignment horizontal="center" vertical="center"/>
    </xf>
    <xf numFmtId="0" fontId="79" fillId="0" borderId="70" xfId="0" applyFont="1" applyBorder="1" applyAlignment="1">
      <alignment horizontal="center" vertical="center"/>
    </xf>
    <xf numFmtId="0" fontId="80" fillId="0" borderId="0" xfId="0" applyFont="1" applyAlignment="1">
      <alignment horizontal="center" vertical="center"/>
    </xf>
    <xf numFmtId="43" fontId="0" fillId="0" borderId="0" xfId="20" applyFont="1"/>
    <xf numFmtId="0" fontId="8" fillId="11" borderId="91" xfId="3" applyFont="1" applyFill="1" applyBorder="1" applyAlignment="1" applyProtection="1">
      <alignment horizontal="center" vertical="center" wrapText="1"/>
      <protection locked="0" hidden="1"/>
    </xf>
    <xf numFmtId="0" fontId="9" fillId="0" borderId="95" xfId="3" applyBorder="1" applyAlignment="1" applyProtection="1">
      <alignment horizontal="center" vertical="center" wrapText="1"/>
      <protection locked="0" hidden="1"/>
    </xf>
    <xf numFmtId="0" fontId="9" fillId="0" borderId="83" xfId="3" applyBorder="1" applyAlignment="1" applyProtection="1">
      <alignment horizontal="center" vertical="center" wrapText="1"/>
      <protection hidden="1"/>
    </xf>
    <xf numFmtId="4" fontId="10" fillId="0" borderId="83" xfId="0" applyNumberFormat="1" applyFont="1" applyBorder="1" applyAlignment="1" applyProtection="1">
      <alignment horizontal="center" vertical="center" wrapText="1"/>
      <protection hidden="1"/>
    </xf>
    <xf numFmtId="171" fontId="9" fillId="2" borderId="83" xfId="8" applyNumberFormat="1" applyFont="1" applyFill="1" applyBorder="1" applyAlignment="1" applyProtection="1">
      <alignment horizontal="center" vertical="center" wrapText="1"/>
      <protection hidden="1"/>
    </xf>
    <xf numFmtId="0" fontId="79" fillId="9" borderId="1" xfId="0" applyFont="1" applyFill="1" applyBorder="1" applyAlignment="1">
      <alignment horizontal="center" vertical="center"/>
    </xf>
    <xf numFmtId="164" fontId="79" fillId="0" borderId="1" xfId="0" applyNumberFormat="1" applyFont="1" applyBorder="1" applyAlignment="1">
      <alignment horizontal="center" vertical="center"/>
    </xf>
    <xf numFmtId="180" fontId="79" fillId="0" borderId="1" xfId="13" applyNumberFormat="1" applyFont="1" applyFill="1" applyBorder="1" applyAlignment="1">
      <alignment horizontal="center" vertical="center"/>
    </xf>
    <xf numFmtId="164" fontId="79" fillId="0" borderId="66" xfId="13" applyFont="1" applyBorder="1" applyAlignment="1">
      <alignment horizontal="center" vertical="center"/>
    </xf>
    <xf numFmtId="176" fontId="79" fillId="0" borderId="1" xfId="0" applyNumberFormat="1" applyFont="1" applyBorder="1" applyAlignment="1">
      <alignment vertical="center"/>
    </xf>
    <xf numFmtId="178" fontId="7" fillId="0" borderId="1" xfId="21" applyNumberFormat="1" applyFont="1" applyBorder="1" applyAlignment="1">
      <alignment horizontal="center" vertical="center"/>
    </xf>
    <xf numFmtId="176" fontId="60" fillId="0" borderId="12" xfId="0" applyNumberFormat="1" applyFont="1" applyBorder="1" applyAlignment="1">
      <alignment vertical="center"/>
    </xf>
    <xf numFmtId="164" fontId="0" fillId="0" borderId="0" xfId="13" applyFont="1" applyFill="1"/>
    <xf numFmtId="169" fontId="86" fillId="0" borderId="0" xfId="7" applyFont="1" applyFill="1" applyAlignment="1">
      <alignment vertical="center"/>
    </xf>
    <xf numFmtId="0" fontId="86" fillId="0" borderId="0" xfId="12" applyFont="1" applyAlignment="1">
      <alignment vertical="center"/>
    </xf>
    <xf numFmtId="0" fontId="86" fillId="0" borderId="0" xfId="12" applyFont="1" applyAlignment="1">
      <alignment horizontal="justify" vertical="center"/>
    </xf>
    <xf numFmtId="4" fontId="86" fillId="0" borderId="0" xfId="12" applyNumberFormat="1" applyFont="1" applyAlignment="1">
      <alignment horizontal="right" vertical="center"/>
    </xf>
    <xf numFmtId="164" fontId="86" fillId="0" borderId="0" xfId="13" applyFont="1" applyFill="1" applyAlignment="1">
      <alignment vertical="center"/>
    </xf>
    <xf numFmtId="10" fontId="87" fillId="0" borderId="84" xfId="1" applyNumberFormat="1" applyFont="1" applyFill="1" applyBorder="1" applyAlignment="1">
      <alignment horizontal="center" vertical="center"/>
    </xf>
    <xf numFmtId="10" fontId="87" fillId="0" borderId="10" xfId="12" applyNumberFormat="1" applyFont="1" applyBorder="1" applyAlignment="1">
      <alignment vertical="center"/>
    </xf>
    <xf numFmtId="9" fontId="87" fillId="0" borderId="17" xfId="1" applyFont="1" applyFill="1" applyBorder="1" applyAlignment="1">
      <alignment horizontal="center" vertical="center"/>
    </xf>
    <xf numFmtId="9" fontId="87" fillId="0" borderId="79" xfId="1" applyFont="1" applyFill="1" applyBorder="1" applyAlignment="1">
      <alignment horizontal="center" vertical="center"/>
    </xf>
    <xf numFmtId="0" fontId="87" fillId="0" borderId="0" xfId="12" applyFont="1" applyAlignment="1">
      <alignment horizontal="left" vertical="center"/>
    </xf>
    <xf numFmtId="0" fontId="87" fillId="0" borderId="0" xfId="12" applyFont="1" applyAlignment="1">
      <alignment horizontal="justify" vertical="center"/>
    </xf>
    <xf numFmtId="9" fontId="88" fillId="0" borderId="0" xfId="12" applyNumberFormat="1" applyFont="1" applyAlignment="1">
      <alignment horizontal="right" vertical="center"/>
    </xf>
    <xf numFmtId="4" fontId="86" fillId="0" borderId="0" xfId="7" applyNumberFormat="1" applyFont="1" applyFill="1" applyBorder="1" applyAlignment="1">
      <alignment horizontal="right" vertical="center"/>
    </xf>
    <xf numFmtId="169" fontId="86" fillId="0" borderId="0" xfId="7" applyFont="1" applyFill="1" applyBorder="1" applyAlignment="1">
      <alignment horizontal="center" vertical="center"/>
    </xf>
    <xf numFmtId="164" fontId="85" fillId="0" borderId="0" xfId="13" applyFont="1" applyFill="1" applyBorder="1" applyAlignment="1">
      <alignment vertical="center"/>
    </xf>
    <xf numFmtId="0" fontId="89" fillId="0" borderId="0" xfId="12" applyFont="1" applyAlignment="1">
      <alignment vertical="center"/>
    </xf>
    <xf numFmtId="43" fontId="0" fillId="0" borderId="0" xfId="0" applyNumberFormat="1"/>
    <xf numFmtId="0" fontId="90" fillId="0" borderId="0" xfId="0" applyFont="1" applyAlignment="1">
      <alignment horizontal="center"/>
    </xf>
    <xf numFmtId="181" fontId="91" fillId="0" borderId="1" xfId="36" applyNumberFormat="1" applyFont="1" applyBorder="1" applyAlignment="1">
      <alignment horizontal="center" vertical="center"/>
    </xf>
    <xf numFmtId="0" fontId="91" fillId="0" borderId="1" xfId="36" applyFont="1" applyBorder="1" applyAlignment="1">
      <alignment horizontal="center" vertical="center"/>
    </xf>
    <xf numFmtId="0" fontId="91" fillId="0" borderId="1" xfId="36" applyFont="1" applyBorder="1" applyAlignment="1">
      <alignment horizontal="center" vertical="center" wrapText="1"/>
    </xf>
    <xf numFmtId="164" fontId="91" fillId="0" borderId="1" xfId="29" applyFont="1" applyFill="1" applyBorder="1" applyAlignment="1">
      <alignment horizontal="center" vertical="center"/>
    </xf>
    <xf numFmtId="164" fontId="91" fillId="0" borderId="1" xfId="29" applyFont="1" applyFill="1" applyBorder="1" applyAlignment="1">
      <alignment horizontal="center" vertical="center" wrapText="1"/>
    </xf>
    <xf numFmtId="0" fontId="92" fillId="0" borderId="0" xfId="37" applyFont="1" applyAlignment="1">
      <alignment vertical="top" wrapText="1"/>
    </xf>
    <xf numFmtId="181" fontId="93" fillId="0" borderId="1" xfId="36" applyNumberFormat="1" applyFont="1" applyBorder="1" applyAlignment="1">
      <alignment horizontal="center" vertical="center"/>
    </xf>
    <xf numFmtId="0" fontId="93" fillId="0" borderId="1" xfId="36" applyFont="1" applyBorder="1" applyAlignment="1">
      <alignment horizontal="left" vertical="center"/>
    </xf>
    <xf numFmtId="0" fontId="93" fillId="0" borderId="1" xfId="36" applyFont="1" applyBorder="1" applyAlignment="1">
      <alignment horizontal="center" vertical="center"/>
    </xf>
    <xf numFmtId="3" fontId="93" fillId="0" borderId="1" xfId="38" applyNumberFormat="1" applyFont="1" applyFill="1" applyBorder="1" applyAlignment="1">
      <alignment horizontal="center" vertical="center"/>
    </xf>
    <xf numFmtId="164" fontId="93" fillId="0" borderId="1" xfId="29" applyFont="1" applyFill="1" applyBorder="1" applyAlignment="1">
      <alignment horizontal="center" vertical="center"/>
    </xf>
    <xf numFmtId="4" fontId="93" fillId="0" borderId="1" xfId="39" applyNumberFormat="1" applyFont="1" applyFill="1" applyBorder="1" applyAlignment="1">
      <alignment horizontal="center" vertical="center"/>
    </xf>
    <xf numFmtId="164" fontId="93" fillId="0" borderId="1" xfId="29" applyFont="1" applyFill="1" applyBorder="1" applyAlignment="1">
      <alignment horizontal="right" vertical="center"/>
    </xf>
    <xf numFmtId="0" fontId="94" fillId="0" borderId="65" xfId="0" applyFont="1" applyBorder="1" applyAlignment="1">
      <alignment vertical="center"/>
    </xf>
    <xf numFmtId="0" fontId="94" fillId="0" borderId="65" xfId="0" applyFont="1" applyBorder="1" applyAlignment="1">
      <alignment horizontal="justify" vertical="center" wrapText="1"/>
    </xf>
    <xf numFmtId="43" fontId="94" fillId="0" borderId="65" xfId="20" applyFont="1" applyFill="1" applyBorder="1" applyAlignment="1">
      <alignment vertical="center"/>
    </xf>
    <xf numFmtId="9" fontId="94" fillId="0" borderId="65" xfId="1" applyFont="1" applyFill="1" applyBorder="1" applyAlignment="1">
      <alignment horizontal="center" vertical="center"/>
    </xf>
    <xf numFmtId="0" fontId="90" fillId="0" borderId="1" xfId="0" applyFont="1" applyBorder="1" applyAlignment="1">
      <alignment horizontal="center" vertical="center" wrapText="1"/>
    </xf>
    <xf numFmtId="0" fontId="94" fillId="0" borderId="1" xfId="0" applyFont="1" applyBorder="1" applyAlignment="1">
      <alignment vertical="center"/>
    </xf>
    <xf numFmtId="0" fontId="94" fillId="0" borderId="1" xfId="0" applyFont="1" applyBorder="1" applyAlignment="1">
      <alignment horizontal="justify" vertical="center"/>
    </xf>
    <xf numFmtId="43" fontId="94" fillId="0" borderId="1" xfId="20" applyFont="1" applyFill="1" applyBorder="1" applyAlignment="1">
      <alignment horizontal="center" vertical="center"/>
    </xf>
    <xf numFmtId="43" fontId="94" fillId="0" borderId="1" xfId="20" applyFont="1" applyFill="1" applyBorder="1" applyAlignment="1">
      <alignment vertical="center"/>
    </xf>
    <xf numFmtId="164" fontId="94" fillId="0" borderId="1" xfId="13" applyFont="1" applyFill="1" applyBorder="1" applyAlignment="1">
      <alignment vertical="center"/>
    </xf>
    <xf numFmtId="0" fontId="94" fillId="0" borderId="0" xfId="0" applyFont="1" applyAlignment="1">
      <alignment vertical="center"/>
    </xf>
    <xf numFmtId="0" fontId="90" fillId="0" borderId="1" xfId="0" applyFont="1" applyBorder="1" applyAlignment="1">
      <alignment horizontal="center" vertical="center"/>
    </xf>
    <xf numFmtId="43" fontId="94" fillId="0" borderId="0" xfId="20" applyFont="1" applyFill="1" applyAlignment="1">
      <alignment vertical="center"/>
    </xf>
    <xf numFmtId="164" fontId="94" fillId="0" borderId="0" xfId="13" applyFont="1" applyFill="1" applyAlignment="1">
      <alignment vertical="center"/>
    </xf>
    <xf numFmtId="169" fontId="0" fillId="0" borderId="0" xfId="0" applyNumberFormat="1"/>
    <xf numFmtId="0" fontId="94" fillId="0" borderId="0" xfId="0" applyFont="1" applyAlignment="1">
      <alignment horizontal="justify" vertical="center"/>
    </xf>
    <xf numFmtId="0" fontId="90" fillId="0" borderId="0" xfId="0" applyFont="1" applyAlignment="1">
      <alignment horizontal="left" vertical="center"/>
    </xf>
    <xf numFmtId="182" fontId="94" fillId="0" borderId="1" xfId="20" applyNumberFormat="1" applyFont="1" applyFill="1" applyBorder="1" applyAlignment="1">
      <alignment vertical="center"/>
    </xf>
    <xf numFmtId="182" fontId="94" fillId="0" borderId="0" xfId="20" applyNumberFormat="1" applyFont="1" applyFill="1" applyBorder="1" applyAlignment="1">
      <alignment vertical="center"/>
    </xf>
    <xf numFmtId="43" fontId="94" fillId="0" borderId="0" xfId="20" applyFont="1" applyFill="1" applyBorder="1" applyAlignment="1">
      <alignment vertical="center"/>
    </xf>
    <xf numFmtId="179" fontId="94" fillId="0" borderId="1" xfId="20" applyNumberFormat="1" applyFont="1" applyFill="1" applyBorder="1" applyAlignment="1">
      <alignment vertical="center"/>
    </xf>
    <xf numFmtId="9" fontId="0" fillId="0" borderId="0" xfId="0" applyNumberFormat="1"/>
    <xf numFmtId="176" fontId="0" fillId="0" borderId="0" xfId="13" applyNumberFormat="1" applyFont="1" applyFill="1"/>
    <xf numFmtId="0" fontId="94" fillId="0" borderId="0" xfId="0" applyFont="1"/>
    <xf numFmtId="43" fontId="94" fillId="0" borderId="0" xfId="20" applyFont="1" applyFill="1"/>
    <xf numFmtId="0" fontId="80" fillId="0" borderId="0" xfId="0" applyFont="1" applyAlignment="1">
      <alignment horizontal="left" vertical="center"/>
    </xf>
    <xf numFmtId="0" fontId="96" fillId="0" borderId="0" xfId="0" applyFont="1" applyAlignment="1">
      <alignment vertical="center"/>
    </xf>
    <xf numFmtId="0" fontId="97" fillId="0" borderId="0" xfId="0" applyFont="1" applyAlignment="1">
      <alignment horizontal="left" vertical="center"/>
    </xf>
    <xf numFmtId="0" fontId="75" fillId="0" borderId="0" xfId="21" applyFont="1" applyAlignment="1">
      <alignment vertical="center"/>
    </xf>
    <xf numFmtId="0" fontId="9" fillId="0" borderId="83" xfId="3" applyBorder="1" applyAlignment="1" applyProtection="1">
      <alignment horizontal="left" vertical="center" wrapText="1"/>
      <protection hidden="1"/>
    </xf>
    <xf numFmtId="0" fontId="9" fillId="0" borderId="1" xfId="3" applyBorder="1" applyAlignment="1" applyProtection="1">
      <alignment horizontal="left" vertical="center" wrapText="1"/>
      <protection hidden="1"/>
    </xf>
    <xf numFmtId="164" fontId="24" fillId="0" borderId="13" xfId="13" applyFont="1" applyBorder="1" applyAlignment="1">
      <alignment horizontal="center" vertical="center"/>
    </xf>
    <xf numFmtId="164" fontId="24" fillId="0" borderId="70" xfId="13" applyFont="1" applyBorder="1" applyAlignment="1">
      <alignment horizontal="center" vertical="center"/>
    </xf>
    <xf numFmtId="174" fontId="55" fillId="0" borderId="13" xfId="0" applyNumberFormat="1" applyFont="1" applyBorder="1" applyAlignment="1">
      <alignment vertical="center"/>
    </xf>
    <xf numFmtId="164" fontId="24" fillId="0" borderId="14" xfId="13" applyFont="1" applyBorder="1" applyAlignment="1">
      <alignment vertical="center"/>
    </xf>
    <xf numFmtId="164" fontId="24" fillId="0" borderId="1" xfId="13" applyFont="1" applyBorder="1" applyAlignment="1">
      <alignment horizontal="center" vertical="center"/>
    </xf>
    <xf numFmtId="168" fontId="55" fillId="0" borderId="1" xfId="0" applyNumberFormat="1" applyFont="1" applyBorder="1" applyAlignment="1">
      <alignment vertical="center"/>
    </xf>
    <xf numFmtId="4" fontId="55" fillId="0" borderId="1" xfId="0" applyNumberFormat="1" applyFont="1" applyBorder="1" applyAlignment="1">
      <alignment vertical="center"/>
    </xf>
    <xf numFmtId="0" fontId="53" fillId="0" borderId="1" xfId="0" applyFont="1" applyBorder="1" applyAlignment="1">
      <alignment vertical="center"/>
    </xf>
    <xf numFmtId="0" fontId="81" fillId="0" borderId="0" xfId="0" applyFont="1" applyAlignment="1">
      <alignment vertical="center"/>
    </xf>
    <xf numFmtId="0" fontId="53" fillId="0" borderId="0" xfId="0" applyFont="1" applyAlignment="1">
      <alignment vertical="center"/>
    </xf>
    <xf numFmtId="0" fontId="24" fillId="0" borderId="0" xfId="0" applyFont="1" applyAlignment="1">
      <alignment vertical="center"/>
    </xf>
    <xf numFmtId="0" fontId="54" fillId="0" borderId="74" xfId="0" applyFont="1" applyBorder="1" applyAlignment="1">
      <alignment horizontal="center" vertical="center"/>
    </xf>
    <xf numFmtId="0" fontId="54" fillId="0" borderId="74" xfId="0" quotePrefix="1" applyFont="1" applyBorder="1" applyAlignment="1">
      <alignment horizontal="center" vertical="center"/>
    </xf>
    <xf numFmtId="0" fontId="54" fillId="0" borderId="8" xfId="0" applyFont="1" applyBorder="1" applyAlignment="1">
      <alignment horizontal="center" vertical="center"/>
    </xf>
    <xf numFmtId="167" fontId="24" fillId="0" borderId="13" xfId="17" applyFont="1" applyBorder="1" applyAlignment="1">
      <alignment horizontal="center" vertical="center"/>
    </xf>
    <xf numFmtId="168" fontId="55" fillId="0" borderId="13" xfId="9" applyNumberFormat="1" applyFont="1" applyBorder="1" applyAlignment="1">
      <alignment vertical="center"/>
    </xf>
    <xf numFmtId="167" fontId="24" fillId="0" borderId="14" xfId="17" applyFont="1" applyBorder="1" applyAlignment="1">
      <alignment vertical="center"/>
    </xf>
    <xf numFmtId="168" fontId="55" fillId="0" borderId="70" xfId="0" applyNumberFormat="1" applyFont="1" applyBorder="1" applyAlignment="1">
      <alignment vertical="center"/>
    </xf>
    <xf numFmtId="3" fontId="24" fillId="0" borderId="76" xfId="0" applyNumberFormat="1" applyFont="1" applyBorder="1" applyAlignment="1">
      <alignment horizontal="center" vertical="center"/>
    </xf>
    <xf numFmtId="3" fontId="24" fillId="0" borderId="76" xfId="0" applyNumberFormat="1" applyFont="1" applyBorder="1" applyAlignment="1">
      <alignment vertical="center"/>
    </xf>
    <xf numFmtId="4" fontId="53" fillId="0" borderId="76" xfId="0" applyNumberFormat="1" applyFont="1" applyBorder="1" applyAlignment="1">
      <alignment vertical="center"/>
    </xf>
    <xf numFmtId="4" fontId="24" fillId="0" borderId="79" xfId="0" applyNumberFormat="1" applyFont="1" applyBorder="1" applyAlignment="1">
      <alignment vertical="center"/>
    </xf>
    <xf numFmtId="0" fontId="53" fillId="0" borderId="0" xfId="0" applyFont="1" applyAlignment="1">
      <alignment horizontal="center" vertical="center"/>
    </xf>
    <xf numFmtId="164" fontId="53" fillId="0" borderId="33" xfId="0" applyNumberFormat="1" applyFont="1" applyBorder="1" applyAlignment="1">
      <alignment horizontal="center" vertical="center"/>
    </xf>
    <xf numFmtId="3" fontId="24" fillId="0" borderId="66" xfId="0" applyNumberFormat="1" applyFont="1" applyBorder="1" applyAlignment="1">
      <alignment horizontal="center" vertical="center"/>
    </xf>
    <xf numFmtId="3" fontId="24" fillId="0" borderId="66" xfId="0" applyNumberFormat="1" applyFont="1" applyBorder="1" applyAlignment="1">
      <alignment vertical="center"/>
    </xf>
    <xf numFmtId="168" fontId="55" fillId="0" borderId="66" xfId="0" applyNumberFormat="1" applyFont="1" applyBorder="1" applyAlignment="1">
      <alignment vertical="center"/>
    </xf>
    <xf numFmtId="4" fontId="24" fillId="0" borderId="20" xfId="0" applyNumberFormat="1" applyFont="1" applyBorder="1" applyAlignment="1">
      <alignment vertical="center"/>
    </xf>
    <xf numFmtId="4" fontId="55" fillId="0" borderId="76" xfId="0" applyNumberFormat="1" applyFont="1" applyBorder="1" applyAlignment="1">
      <alignment vertical="center"/>
    </xf>
    <xf numFmtId="4" fontId="53" fillId="0" borderId="33" xfId="0" applyNumberFormat="1" applyFont="1" applyBorder="1" applyAlignment="1">
      <alignment horizontal="center" vertical="center"/>
    </xf>
    <xf numFmtId="0" fontId="53" fillId="0" borderId="30" xfId="0" applyFont="1" applyBorder="1" applyAlignment="1">
      <alignment vertical="center"/>
    </xf>
    <xf numFmtId="3" fontId="24" fillId="0" borderId="1" xfId="0" applyNumberFormat="1" applyFont="1" applyBorder="1" applyAlignment="1">
      <alignment horizontal="center" vertical="center"/>
    </xf>
    <xf numFmtId="165" fontId="24" fillId="0" borderId="1" xfId="0" applyNumberFormat="1" applyFont="1" applyBorder="1" applyAlignment="1">
      <alignment vertical="center"/>
    </xf>
    <xf numFmtId="4" fontId="24" fillId="0" borderId="1" xfId="0" applyNumberFormat="1" applyFont="1" applyBorder="1" applyAlignment="1">
      <alignment vertical="center"/>
    </xf>
    <xf numFmtId="4" fontId="24" fillId="0" borderId="17" xfId="0" applyNumberFormat="1" applyFont="1" applyBorder="1" applyAlignment="1">
      <alignment vertical="center"/>
    </xf>
    <xf numFmtId="4" fontId="24" fillId="0" borderId="76" xfId="0" applyNumberFormat="1" applyFont="1" applyBorder="1" applyAlignment="1">
      <alignment vertical="center"/>
    </xf>
    <xf numFmtId="4" fontId="24" fillId="0" borderId="77" xfId="0" applyNumberFormat="1" applyFont="1" applyBorder="1" applyAlignment="1">
      <alignment vertical="center"/>
    </xf>
    <xf numFmtId="3" fontId="24" fillId="0" borderId="79" xfId="0" applyNumberFormat="1" applyFont="1" applyBorder="1" applyAlignment="1">
      <alignment horizontal="center" vertical="center"/>
    </xf>
    <xf numFmtId="0" fontId="54" fillId="0" borderId="3" xfId="0" applyFont="1" applyBorder="1" applyAlignment="1">
      <alignment vertical="center"/>
    </xf>
    <xf numFmtId="0" fontId="54" fillId="0" borderId="35" xfId="0" applyFont="1" applyBorder="1" applyAlignment="1">
      <alignment horizontal="center" vertical="center"/>
    </xf>
    <xf numFmtId="0" fontId="24" fillId="0" borderId="11" xfId="0" applyFont="1" applyBorder="1" applyAlignment="1">
      <alignment vertical="center" wrapText="1"/>
    </xf>
    <xf numFmtId="176" fontId="24" fillId="0" borderId="13" xfId="18" applyNumberFormat="1" applyFont="1" applyFill="1" applyBorder="1" applyAlignment="1">
      <alignment vertical="center"/>
    </xf>
    <xf numFmtId="9" fontId="24" fillId="0" borderId="13" xfId="1" applyFont="1" applyBorder="1" applyAlignment="1">
      <alignment horizontal="center" vertical="center"/>
    </xf>
    <xf numFmtId="164" fontId="24" fillId="0" borderId="13" xfId="13" applyFont="1" applyBorder="1" applyAlignment="1">
      <alignment vertical="center"/>
    </xf>
    <xf numFmtId="0" fontId="24" fillId="0" borderId="75" xfId="0" applyFont="1" applyBorder="1" applyAlignment="1">
      <alignment vertical="center"/>
    </xf>
    <xf numFmtId="0" fontId="24" fillId="0" borderId="76" xfId="0" applyFont="1" applyBorder="1" applyAlignment="1">
      <alignment vertical="center"/>
    </xf>
    <xf numFmtId="0" fontId="24" fillId="0" borderId="31" xfId="0" applyFont="1" applyBorder="1" applyAlignment="1">
      <alignment vertical="center"/>
    </xf>
    <xf numFmtId="0" fontId="55" fillId="0" borderId="31" xfId="0" applyFont="1" applyBorder="1" applyAlignment="1">
      <alignment vertical="center"/>
    </xf>
    <xf numFmtId="0" fontId="24" fillId="0" borderId="24" xfId="0" applyFont="1" applyBorder="1" applyAlignment="1">
      <alignment vertical="center"/>
    </xf>
    <xf numFmtId="0" fontId="24" fillId="0" borderId="0" xfId="0" applyFont="1" applyAlignment="1">
      <alignment horizontal="center" vertical="center"/>
    </xf>
    <xf numFmtId="0" fontId="53" fillId="0" borderId="0" xfId="0" applyFont="1" applyAlignment="1">
      <alignment horizontal="centerContinuous" vertical="center"/>
    </xf>
    <xf numFmtId="164" fontId="24" fillId="0" borderId="33" xfId="13" applyFont="1" applyBorder="1" applyAlignment="1">
      <alignment vertical="center"/>
    </xf>
    <xf numFmtId="164" fontId="0" fillId="0" borderId="0" xfId="0" applyNumberFormat="1" applyAlignment="1">
      <alignment vertical="center"/>
    </xf>
    <xf numFmtId="164" fontId="0" fillId="0" borderId="0" xfId="13" applyFont="1" applyAlignment="1">
      <alignment vertical="center"/>
    </xf>
    <xf numFmtId="0" fontId="12" fillId="0" borderId="0" xfId="0" applyFont="1" applyAlignment="1">
      <alignment vertical="center"/>
    </xf>
    <xf numFmtId="183" fontId="0" fillId="0" borderId="0" xfId="13" applyNumberFormat="1" applyFont="1" applyBorder="1"/>
    <xf numFmtId="183" fontId="7" fillId="2" borderId="0" xfId="5" applyNumberFormat="1" applyFont="1" applyFill="1" applyAlignment="1">
      <alignment vertical="center" wrapText="1"/>
    </xf>
    <xf numFmtId="183" fontId="8" fillId="2" borderId="0" xfId="8" applyNumberFormat="1" applyFont="1" applyFill="1" applyBorder="1" applyAlignment="1">
      <alignment vertical="center" wrapText="1"/>
    </xf>
    <xf numFmtId="183" fontId="8" fillId="11" borderId="50" xfId="8" applyNumberFormat="1" applyFont="1" applyFill="1" applyBorder="1" applyAlignment="1">
      <alignment horizontal="center" vertical="center"/>
    </xf>
    <xf numFmtId="183" fontId="8" fillId="11" borderId="32" xfId="8" applyNumberFormat="1" applyFont="1" applyFill="1" applyBorder="1" applyAlignment="1">
      <alignment horizontal="center" vertical="center" wrapText="1"/>
    </xf>
    <xf numFmtId="183" fontId="9" fillId="0" borderId="84" xfId="8" applyNumberFormat="1" applyFont="1" applyFill="1" applyBorder="1" applyAlignment="1" applyProtection="1">
      <alignment horizontal="center" vertical="center" wrapText="1"/>
      <protection hidden="1"/>
    </xf>
    <xf numFmtId="183" fontId="8" fillId="0" borderId="82" xfId="8" applyNumberFormat="1" applyFont="1" applyFill="1" applyBorder="1" applyAlignment="1">
      <alignment vertical="center"/>
    </xf>
    <xf numFmtId="183" fontId="9" fillId="0" borderId="82" xfId="8" applyNumberFormat="1" applyFont="1" applyFill="1" applyBorder="1" applyAlignment="1">
      <alignment vertical="center"/>
    </xf>
    <xf numFmtId="183" fontId="8" fillId="0" borderId="33" xfId="8" applyNumberFormat="1" applyFont="1" applyFill="1" applyBorder="1" applyAlignment="1">
      <alignment vertical="center"/>
    </xf>
    <xf numFmtId="183" fontId="0" fillId="0" borderId="0" xfId="0" applyNumberFormat="1"/>
    <xf numFmtId="183" fontId="0" fillId="0" borderId="0" xfId="13" applyNumberFormat="1" applyFont="1"/>
    <xf numFmtId="183" fontId="79" fillId="15" borderId="1" xfId="0" applyNumberFormat="1" applyFont="1" applyFill="1" applyBorder="1" applyAlignment="1">
      <alignment horizontal="center" vertical="center"/>
    </xf>
    <xf numFmtId="183" fontId="79" fillId="16" borderId="1" xfId="0" applyNumberFormat="1" applyFont="1" applyFill="1" applyBorder="1" applyAlignment="1">
      <alignment horizontal="center" vertical="center"/>
    </xf>
    <xf numFmtId="183" fontId="79" fillId="0" borderId="1" xfId="0" applyNumberFormat="1" applyFont="1" applyBorder="1" applyAlignment="1">
      <alignment horizontal="center" vertical="center"/>
    </xf>
    <xf numFmtId="183" fontId="79" fillId="0" borderId="70" xfId="0" applyNumberFormat="1" applyFont="1" applyBorder="1" applyAlignment="1">
      <alignment horizontal="center" vertical="center"/>
    </xf>
    <xf numFmtId="183" fontId="80" fillId="0" borderId="1" xfId="0" applyNumberFormat="1" applyFont="1" applyBorder="1" applyAlignment="1">
      <alignment vertical="center"/>
    </xf>
    <xf numFmtId="183" fontId="79" fillId="0" borderId="58" xfId="13" applyNumberFormat="1" applyFont="1" applyBorder="1" applyAlignment="1">
      <alignment vertical="center"/>
    </xf>
    <xf numFmtId="183" fontId="79" fillId="13" borderId="58" xfId="13" applyNumberFormat="1" applyFont="1" applyFill="1" applyBorder="1" applyAlignment="1">
      <alignment horizontal="right" vertical="center"/>
    </xf>
    <xf numFmtId="183" fontId="80" fillId="0" borderId="58" xfId="13" applyNumberFormat="1" applyFont="1" applyBorder="1" applyAlignment="1">
      <alignment horizontal="center" vertical="center"/>
    </xf>
    <xf numFmtId="2" fontId="9" fillId="0" borderId="1" xfId="3" applyNumberFormat="1" applyBorder="1" applyAlignment="1" applyProtection="1">
      <alignment horizontal="center" vertical="center" wrapText="1"/>
      <protection hidden="1"/>
    </xf>
    <xf numFmtId="10" fontId="93" fillId="0" borderId="1" xfId="1" applyNumberFormat="1" applyFont="1" applyFill="1" applyBorder="1" applyAlignment="1">
      <alignment horizontal="center" vertical="center"/>
    </xf>
    <xf numFmtId="183" fontId="0" fillId="0" borderId="0" xfId="13" applyNumberFormat="1" applyFont="1" applyFill="1"/>
    <xf numFmtId="183" fontId="90" fillId="0" borderId="0" xfId="0" applyNumberFormat="1" applyFont="1" applyAlignment="1">
      <alignment horizontal="center"/>
    </xf>
    <xf numFmtId="183" fontId="91" fillId="0" borderId="1" xfId="36" applyNumberFormat="1" applyFont="1" applyBorder="1" applyAlignment="1">
      <alignment horizontal="center" vertical="center" wrapText="1"/>
    </xf>
    <xf numFmtId="183" fontId="93" fillId="0" borderId="1" xfId="39" applyNumberFormat="1" applyFont="1" applyFill="1" applyBorder="1" applyAlignment="1">
      <alignment horizontal="center" vertical="center"/>
    </xf>
    <xf numFmtId="183" fontId="94" fillId="0" borderId="65" xfId="13" applyNumberFormat="1" applyFont="1" applyFill="1" applyBorder="1" applyAlignment="1">
      <alignment vertical="center"/>
    </xf>
    <xf numFmtId="183" fontId="94" fillId="0" borderId="0" xfId="13" applyNumberFormat="1" applyFont="1" applyFill="1"/>
    <xf numFmtId="183" fontId="90" fillId="0" borderId="0" xfId="13" applyNumberFormat="1" applyFont="1" applyFill="1" applyAlignment="1">
      <alignment horizontal="left" vertical="center"/>
    </xf>
    <xf numFmtId="183" fontId="94" fillId="0" borderId="0" xfId="13" applyNumberFormat="1" applyFont="1" applyFill="1" applyAlignment="1">
      <alignment vertical="center"/>
    </xf>
    <xf numFmtId="164" fontId="94" fillId="0" borderId="0" xfId="13" applyFont="1" applyFill="1"/>
    <xf numFmtId="0" fontId="0" fillId="0" borderId="1" xfId="0" applyBorder="1" applyAlignment="1">
      <alignment horizontal="center" vertical="center"/>
    </xf>
    <xf numFmtId="0" fontId="35" fillId="0" borderId="1" xfId="0" applyFont="1" applyBorder="1" applyAlignment="1">
      <alignment horizontal="center" vertical="center"/>
    </xf>
    <xf numFmtId="164" fontId="24" fillId="0" borderId="0" xfId="13" applyFont="1" applyBorder="1" applyAlignment="1">
      <alignment vertical="center"/>
    </xf>
    <xf numFmtId="170" fontId="8" fillId="0" borderId="0" xfId="8" applyFont="1" applyFill="1" applyBorder="1" applyAlignment="1">
      <alignment vertical="center"/>
    </xf>
    <xf numFmtId="183" fontId="9" fillId="0" borderId="17" xfId="8" applyNumberFormat="1" applyFont="1" applyFill="1" applyBorder="1" applyAlignment="1" applyProtection="1">
      <alignment horizontal="center" vertical="center" wrapText="1"/>
      <protection hidden="1"/>
    </xf>
    <xf numFmtId="0" fontId="9" fillId="0" borderId="97" xfId="3" applyBorder="1" applyAlignment="1" applyProtection="1">
      <alignment horizontal="center" vertical="center" wrapText="1"/>
      <protection locked="0" hidden="1"/>
    </xf>
    <xf numFmtId="0" fontId="9" fillId="0" borderId="76" xfId="3" applyBorder="1" applyAlignment="1" applyProtection="1">
      <alignment horizontal="left" vertical="center" wrapText="1"/>
      <protection hidden="1"/>
    </xf>
    <xf numFmtId="0" fontId="9" fillId="0" borderId="76" xfId="3" applyBorder="1" applyAlignment="1" applyProtection="1">
      <alignment horizontal="center" vertical="center" wrapText="1"/>
      <protection hidden="1"/>
    </xf>
    <xf numFmtId="4" fontId="10" fillId="0" borderId="76" xfId="0" applyNumberFormat="1" applyFont="1" applyBorder="1" applyAlignment="1" applyProtection="1">
      <alignment horizontal="center" vertical="center" wrapText="1"/>
      <protection hidden="1"/>
    </xf>
    <xf numFmtId="171" fontId="9" fillId="2" borderId="76" xfId="8" applyNumberFormat="1" applyFont="1" applyFill="1" applyBorder="1" applyAlignment="1" applyProtection="1">
      <alignment horizontal="center" vertical="center" wrapText="1"/>
      <protection hidden="1"/>
    </xf>
    <xf numFmtId="183" fontId="9" fillId="0" borderId="79" xfId="8" applyNumberFormat="1" applyFont="1" applyFill="1" applyBorder="1" applyAlignment="1" applyProtection="1">
      <alignment horizontal="center" vertical="center" wrapText="1"/>
      <protection hidden="1"/>
    </xf>
    <xf numFmtId="0" fontId="61" fillId="0" borderId="9" xfId="0" applyFont="1" applyBorder="1" applyAlignment="1">
      <alignment horizontal="center" vertical="center"/>
    </xf>
    <xf numFmtId="0" fontId="61" fillId="0" borderId="0" xfId="0" applyFont="1" applyAlignment="1">
      <alignment horizontal="center" vertical="center"/>
    </xf>
    <xf numFmtId="0" fontId="61" fillId="0" borderId="10" xfId="0" applyFont="1" applyBorder="1" applyAlignment="1">
      <alignment horizontal="center" vertical="center"/>
    </xf>
    <xf numFmtId="0" fontId="60" fillId="0" borderId="88" xfId="0" applyFont="1" applyBorder="1" applyAlignment="1">
      <alignment horizontal="center" vertical="center"/>
    </xf>
    <xf numFmtId="0" fontId="60" fillId="0" borderId="91" xfId="0" applyFont="1" applyBorder="1" applyAlignment="1">
      <alignment horizontal="center" vertical="center"/>
    </xf>
    <xf numFmtId="0" fontId="60" fillId="0" borderId="21" xfId="0" applyFont="1" applyBorder="1" applyAlignment="1">
      <alignment horizontal="center" vertical="center"/>
    </xf>
    <xf numFmtId="0" fontId="60" fillId="0" borderId="58" xfId="0" applyFont="1" applyBorder="1" applyAlignment="1">
      <alignment horizontal="center" vertical="center" wrapText="1"/>
    </xf>
    <xf numFmtId="0" fontId="60" fillId="0" borderId="65" xfId="0" applyFont="1" applyBorder="1" applyAlignment="1">
      <alignment horizontal="center" vertical="center" wrapText="1"/>
    </xf>
    <xf numFmtId="0" fontId="60" fillId="0" borderId="16" xfId="0" applyFont="1" applyBorder="1" applyAlignment="1">
      <alignment horizontal="center" vertical="center" wrapText="1"/>
    </xf>
    <xf numFmtId="0" fontId="60" fillId="0" borderId="89" xfId="0" applyFont="1" applyBorder="1" applyAlignment="1">
      <alignment horizontal="center" vertical="center" wrapText="1"/>
    </xf>
    <xf numFmtId="0" fontId="60" fillId="0" borderId="90" xfId="0" applyFont="1" applyBorder="1" applyAlignment="1">
      <alignment horizontal="center" vertical="center" wrapText="1"/>
    </xf>
    <xf numFmtId="0" fontId="60" fillId="0" borderId="68" xfId="0" applyFont="1" applyBorder="1" applyAlignment="1">
      <alignment horizontal="center" vertical="center" wrapText="1"/>
    </xf>
    <xf numFmtId="0" fontId="60" fillId="0" borderId="10" xfId="0" applyFont="1" applyBorder="1" applyAlignment="1">
      <alignment horizontal="center" vertical="center" wrapText="1"/>
    </xf>
    <xf numFmtId="0" fontId="60" fillId="0" borderId="92" xfId="0" applyFont="1" applyBorder="1" applyAlignment="1">
      <alignment horizontal="center" vertical="center" wrapText="1"/>
    </xf>
    <xf numFmtId="0" fontId="60" fillId="0" borderId="93" xfId="0" applyFont="1" applyBorder="1" applyAlignment="1">
      <alignment horizontal="center" vertical="center" wrapText="1"/>
    </xf>
    <xf numFmtId="0" fontId="60" fillId="0" borderId="23" xfId="0" applyFont="1" applyBorder="1" applyAlignment="1">
      <alignment horizontal="center" vertical="center" wrapText="1"/>
    </xf>
    <xf numFmtId="0" fontId="60" fillId="0" borderId="94" xfId="0" applyFont="1" applyBorder="1" applyAlignment="1">
      <alignment horizontal="center" vertical="center" wrapText="1"/>
    </xf>
    <xf numFmtId="0" fontId="60" fillId="0" borderId="12" xfId="0" applyFont="1" applyBorder="1" applyAlignment="1">
      <alignment horizontal="center" vertical="center" wrapText="1"/>
    </xf>
    <xf numFmtId="0" fontId="79" fillId="0" borderId="58" xfId="0" applyFont="1" applyBorder="1" applyAlignment="1">
      <alignment horizontal="center" vertical="center"/>
    </xf>
    <xf numFmtId="0" fontId="79" fillId="0" borderId="65" xfId="0" applyFont="1" applyBorder="1" applyAlignment="1">
      <alignment horizontal="center" vertical="center"/>
    </xf>
    <xf numFmtId="0" fontId="79" fillId="0" borderId="1" xfId="0" applyFont="1" applyBorder="1" applyAlignment="1">
      <alignment horizontal="center" vertical="center" wrapText="1"/>
    </xf>
    <xf numFmtId="0" fontId="79" fillId="0" borderId="1" xfId="0" applyFont="1" applyBorder="1" applyAlignment="1">
      <alignment horizontal="center" vertical="center"/>
    </xf>
    <xf numFmtId="0" fontId="46" fillId="0" borderId="15" xfId="0" applyFont="1" applyBorder="1" applyAlignment="1">
      <alignment horizontal="center" vertical="center" wrapText="1"/>
    </xf>
    <xf numFmtId="0" fontId="46" fillId="0" borderId="65" xfId="0" applyFont="1" applyBorder="1" applyAlignment="1">
      <alignment horizontal="center" vertical="center" wrapText="1"/>
    </xf>
    <xf numFmtId="0" fontId="46" fillId="0" borderId="16" xfId="0" applyFont="1" applyBorder="1" applyAlignment="1">
      <alignment horizontal="center" vertical="center" wrapText="1"/>
    </xf>
    <xf numFmtId="0" fontId="79" fillId="13" borderId="28" xfId="0" applyFont="1" applyFill="1" applyBorder="1" applyAlignment="1">
      <alignment horizontal="center" vertical="center" wrapText="1"/>
    </xf>
    <xf numFmtId="0" fontId="79" fillId="13" borderId="1" xfId="0" applyFont="1" applyFill="1" applyBorder="1" applyAlignment="1">
      <alignment horizontal="center" vertical="center" wrapText="1"/>
    </xf>
    <xf numFmtId="0" fontId="75" fillId="0" borderId="0" xfId="21" applyFont="1" applyAlignment="1">
      <alignment horizontal="left" vertical="center"/>
    </xf>
    <xf numFmtId="164" fontId="79" fillId="0" borderId="58" xfId="13" applyFont="1" applyBorder="1" applyAlignment="1">
      <alignment horizontal="center" vertical="center"/>
    </xf>
    <xf numFmtId="0" fontId="8" fillId="0" borderId="87" xfId="5" applyFont="1" applyBorder="1" applyAlignment="1">
      <alignment vertical="center" wrapText="1"/>
    </xf>
    <xf numFmtId="0" fontId="8" fillId="0" borderId="85" xfId="5" applyFont="1" applyBorder="1" applyAlignment="1">
      <alignment vertical="center" wrapText="1"/>
    </xf>
    <xf numFmtId="0" fontId="8" fillId="0" borderId="96" xfId="5" applyFont="1" applyBorder="1" applyAlignment="1">
      <alignment vertical="center" wrapText="1"/>
    </xf>
    <xf numFmtId="0" fontId="8" fillId="0" borderId="3" xfId="5" applyFont="1" applyBorder="1" applyAlignment="1">
      <alignment horizontal="center" vertical="center" wrapText="1"/>
    </xf>
    <xf numFmtId="0" fontId="8" fillId="0" borderId="4" xfId="5" applyFont="1" applyBorder="1" applyAlignment="1">
      <alignment horizontal="center" vertical="center" wrapText="1"/>
    </xf>
    <xf numFmtId="0" fontId="8" fillId="0" borderId="8" xfId="5" applyFont="1" applyBorder="1" applyAlignment="1">
      <alignment horizontal="center" vertical="center" wrapText="1"/>
    </xf>
    <xf numFmtId="3" fontId="8" fillId="0" borderId="3" xfId="4" applyNumberFormat="1" applyFont="1" applyBorder="1" applyAlignment="1">
      <alignment vertical="center" wrapText="1"/>
    </xf>
    <xf numFmtId="3" fontId="8" fillId="0" borderId="4" xfId="4" applyNumberFormat="1" applyFont="1" applyBorder="1" applyAlignment="1">
      <alignment vertical="center" wrapText="1"/>
    </xf>
    <xf numFmtId="183" fontId="60" fillId="0" borderId="98" xfId="0" applyNumberFormat="1" applyFont="1" applyBorder="1" applyAlignment="1">
      <alignment horizontal="center" vertical="center" wrapText="1"/>
    </xf>
    <xf numFmtId="183" fontId="60" fillId="0" borderId="32" xfId="0" applyNumberFormat="1" applyFont="1" applyBorder="1" applyAlignment="1">
      <alignment horizontal="center" vertical="center" wrapText="1"/>
    </xf>
    <xf numFmtId="183" fontId="60" fillId="0" borderId="86" xfId="0" applyNumberFormat="1" applyFont="1" applyBorder="1" applyAlignment="1">
      <alignment horizontal="center" vertical="center" wrapText="1"/>
    </xf>
    <xf numFmtId="0" fontId="60" fillId="0" borderId="1" xfId="0" applyFont="1" applyBorder="1" applyAlignment="1">
      <alignment horizontal="center" vertical="center" wrapText="1"/>
    </xf>
    <xf numFmtId="0" fontId="60" fillId="0" borderId="76" xfId="0" applyFont="1" applyBorder="1" applyAlignment="1">
      <alignment horizontal="center" vertical="center" wrapText="1"/>
    </xf>
    <xf numFmtId="0" fontId="8" fillId="11" borderId="70" xfId="3" applyFont="1" applyFill="1" applyBorder="1" applyAlignment="1" applyProtection="1">
      <alignment horizontal="center" vertical="center" wrapText="1"/>
      <protection locked="0"/>
    </xf>
    <xf numFmtId="0" fontId="60" fillId="0" borderId="95" xfId="0" applyFont="1" applyBorder="1" applyAlignment="1">
      <alignment horizontal="center" vertical="center"/>
    </xf>
    <xf numFmtId="0" fontId="60" fillId="0" borderId="28" xfId="0" applyFont="1" applyBorder="1" applyAlignment="1">
      <alignment horizontal="center" vertical="center"/>
    </xf>
    <xf numFmtId="0" fontId="60" fillId="0" borderId="97" xfId="0" applyFont="1" applyBorder="1" applyAlignment="1">
      <alignment horizontal="center" vertical="center"/>
    </xf>
    <xf numFmtId="0" fontId="60" fillId="0" borderId="83" xfId="0" applyFont="1" applyBorder="1" applyAlignment="1">
      <alignment horizontal="center" vertical="center" wrapText="1"/>
    </xf>
    <xf numFmtId="0" fontId="9" fillId="0" borderId="3" xfId="5" applyFont="1" applyBorder="1" applyAlignment="1">
      <alignment horizontal="center" vertical="center" wrapText="1"/>
    </xf>
    <xf numFmtId="0" fontId="9" fillId="0" borderId="74" xfId="5" applyFont="1" applyBorder="1" applyAlignment="1">
      <alignment horizontal="center" vertical="center" wrapText="1"/>
    </xf>
    <xf numFmtId="0" fontId="9" fillId="0" borderId="3" xfId="5" applyFont="1" applyBorder="1" applyAlignment="1">
      <alignment horizontal="left" vertical="center" wrapText="1"/>
    </xf>
    <xf numFmtId="0" fontId="9" fillId="0" borderId="74" xfId="5" applyFont="1" applyBorder="1" applyAlignment="1">
      <alignment horizontal="left" vertical="center" wrapText="1"/>
    </xf>
    <xf numFmtId="43" fontId="94" fillId="0" borderId="0" xfId="20" applyFont="1" applyFill="1" applyAlignment="1">
      <alignment horizontal="center" vertical="center"/>
    </xf>
    <xf numFmtId="0" fontId="95" fillId="0" borderId="1" xfId="0" applyFont="1" applyBorder="1" applyAlignment="1">
      <alignment horizontal="center" vertical="center"/>
    </xf>
    <xf numFmtId="179" fontId="90" fillId="0" borderId="1" xfId="1" applyNumberFormat="1" applyFont="1" applyFill="1" applyBorder="1" applyAlignment="1">
      <alignment horizontal="center" vertical="center"/>
    </xf>
    <xf numFmtId="183" fontId="95" fillId="0" borderId="1" xfId="13" applyNumberFormat="1" applyFont="1" applyFill="1" applyBorder="1" applyAlignment="1">
      <alignment horizontal="center" vertical="center"/>
    </xf>
    <xf numFmtId="0" fontId="83" fillId="0" borderId="1" xfId="12" applyFont="1" applyBorder="1" applyAlignment="1">
      <alignment horizontal="center" vertical="center" wrapText="1"/>
    </xf>
    <xf numFmtId="0" fontId="82" fillId="0" borderId="58" xfId="12" applyFont="1" applyBorder="1" applyAlignment="1">
      <alignment horizontal="center" vertical="center" wrapText="1"/>
    </xf>
    <xf numFmtId="0" fontId="82" fillId="0" borderId="65" xfId="12" applyFont="1" applyBorder="1" applyAlignment="1">
      <alignment horizontal="center" vertical="center" wrapText="1"/>
    </xf>
    <xf numFmtId="0" fontId="82" fillId="0" borderId="16" xfId="12" applyFont="1" applyBorder="1" applyAlignment="1">
      <alignment horizontal="center" vertical="center" wrapText="1"/>
    </xf>
    <xf numFmtId="183" fontId="94" fillId="0" borderId="58" xfId="13" applyNumberFormat="1" applyFont="1" applyFill="1" applyBorder="1" applyAlignment="1">
      <alignment vertical="center"/>
    </xf>
    <xf numFmtId="183" fontId="94" fillId="0" borderId="16" xfId="13" applyNumberFormat="1" applyFont="1" applyFill="1" applyBorder="1" applyAlignment="1">
      <alignment vertical="center"/>
    </xf>
    <xf numFmtId="0" fontId="90" fillId="0" borderId="1" xfId="0" applyFont="1" applyBorder="1" applyAlignment="1">
      <alignment horizontal="center" vertical="center"/>
    </xf>
    <xf numFmtId="183" fontId="90" fillId="0" borderId="1" xfId="13" applyNumberFormat="1" applyFont="1" applyFill="1" applyBorder="1" applyAlignment="1">
      <alignment horizontal="center" vertical="center"/>
    </xf>
    <xf numFmtId="0" fontId="90" fillId="0" borderId="1" xfId="0" applyFont="1" applyBorder="1" applyAlignment="1">
      <alignment horizontal="left" vertical="center"/>
    </xf>
    <xf numFmtId="0" fontId="84" fillId="0" borderId="3" xfId="12" applyFont="1" applyBorder="1" applyAlignment="1">
      <alignment horizontal="left" vertical="center"/>
    </xf>
    <xf numFmtId="0" fontId="84" fillId="0" borderId="4" xfId="12" applyFont="1" applyBorder="1" applyAlignment="1">
      <alignment horizontal="left" vertical="center"/>
    </xf>
    <xf numFmtId="0" fontId="84" fillId="0" borderId="8" xfId="12" applyFont="1" applyBorder="1" applyAlignment="1">
      <alignment horizontal="left" vertical="center"/>
    </xf>
    <xf numFmtId="164" fontId="84" fillId="0" borderId="3" xfId="13" applyFont="1" applyFill="1" applyBorder="1" applyAlignment="1">
      <alignment horizontal="center" vertical="center"/>
    </xf>
    <xf numFmtId="164" fontId="84" fillId="0" borderId="8" xfId="13" applyFont="1" applyFill="1" applyBorder="1" applyAlignment="1">
      <alignment horizontal="center" vertical="center"/>
    </xf>
    <xf numFmtId="0" fontId="91" fillId="0" borderId="58" xfId="36" applyFont="1" applyBorder="1" applyAlignment="1">
      <alignment horizontal="left" vertical="center"/>
    </xf>
    <xf numFmtId="0" fontId="91" fillId="0" borderId="65" xfId="36" applyFont="1" applyBorder="1" applyAlignment="1">
      <alignment horizontal="left" vertical="center"/>
    </xf>
    <xf numFmtId="0" fontId="91" fillId="0" borderId="16" xfId="36" applyFont="1" applyBorder="1" applyAlignment="1">
      <alignment horizontal="left" vertical="center"/>
    </xf>
    <xf numFmtId="0" fontId="90" fillId="0" borderId="58" xfId="0" applyFont="1" applyBorder="1" applyAlignment="1">
      <alignment horizontal="left" vertical="center"/>
    </xf>
    <xf numFmtId="0" fontId="90" fillId="0" borderId="65" xfId="0" applyFont="1" applyBorder="1" applyAlignment="1">
      <alignment horizontal="left" vertical="center"/>
    </xf>
    <xf numFmtId="0" fontId="90" fillId="0" borderId="16" xfId="0" applyFont="1" applyBorder="1" applyAlignment="1">
      <alignment horizontal="left" vertical="center"/>
    </xf>
    <xf numFmtId="0" fontId="90" fillId="0" borderId="58" xfId="0" applyFont="1" applyBorder="1" applyAlignment="1">
      <alignment horizontal="center" vertical="center" wrapText="1"/>
    </xf>
    <xf numFmtId="0" fontId="90" fillId="0" borderId="16" xfId="0" applyFont="1" applyBorder="1" applyAlignment="1">
      <alignment horizontal="center" vertical="center" wrapText="1"/>
    </xf>
    <xf numFmtId="0" fontId="87" fillId="0" borderId="72" xfId="12" applyFont="1" applyBorder="1" applyAlignment="1">
      <alignment horizontal="left" vertical="center"/>
    </xf>
    <xf numFmtId="0" fontId="87" fillId="0" borderId="78" xfId="12" applyFont="1" applyBorder="1" applyAlignment="1">
      <alignment horizontal="left" vertical="center"/>
    </xf>
    <xf numFmtId="0" fontId="87" fillId="0" borderId="73" xfId="12" applyFont="1" applyBorder="1" applyAlignment="1">
      <alignment horizontal="left" vertical="center"/>
    </xf>
    <xf numFmtId="164" fontId="85" fillId="0" borderId="3" xfId="13" applyFont="1" applyFill="1" applyBorder="1" applyAlignment="1">
      <alignment vertical="center"/>
    </xf>
    <xf numFmtId="164" fontId="85" fillId="0" borderId="8" xfId="13" applyFont="1" applyFill="1" applyBorder="1" applyAlignment="1">
      <alignment vertical="center"/>
    </xf>
    <xf numFmtId="0" fontId="87" fillId="0" borderId="15" xfId="12" applyFont="1" applyBorder="1" applyAlignment="1">
      <alignment horizontal="left" vertical="center"/>
    </xf>
    <xf numFmtId="0" fontId="87" fillId="0" borderId="65" xfId="12" applyFont="1" applyBorder="1" applyAlignment="1">
      <alignment horizontal="left" vertical="center"/>
    </xf>
    <xf numFmtId="0" fontId="87" fillId="0" borderId="16" xfId="12" applyFont="1" applyBorder="1" applyAlignment="1">
      <alignment horizontal="left" vertical="center"/>
    </xf>
    <xf numFmtId="0" fontId="87" fillId="0" borderId="75" xfId="12" applyFont="1" applyBorder="1" applyAlignment="1">
      <alignment horizontal="left" vertical="center"/>
    </xf>
    <xf numFmtId="0" fontId="87" fillId="0" borderId="18" xfId="12" applyFont="1" applyBorder="1" applyAlignment="1">
      <alignment horizontal="left" vertical="center"/>
    </xf>
    <xf numFmtId="0" fontId="87" fillId="0" borderId="19" xfId="12" applyFont="1" applyBorder="1" applyAlignment="1">
      <alignment horizontal="left" vertical="center"/>
    </xf>
    <xf numFmtId="0" fontId="85" fillId="0" borderId="25" xfId="12" applyFont="1" applyBorder="1" applyAlignment="1">
      <alignment horizontal="center" vertical="center"/>
    </xf>
    <xf numFmtId="0" fontId="85" fillId="0" borderId="26" xfId="12" applyFont="1" applyBorder="1" applyAlignment="1">
      <alignment horizontal="center" vertical="center"/>
    </xf>
    <xf numFmtId="0" fontId="85" fillId="0" borderId="27" xfId="12" applyFont="1" applyBorder="1" applyAlignment="1">
      <alignment horizontal="center" vertical="center"/>
    </xf>
    <xf numFmtId="0" fontId="85" fillId="0" borderId="52" xfId="12" applyFont="1" applyBorder="1" applyAlignment="1">
      <alignment horizontal="center" vertical="center"/>
    </xf>
    <xf numFmtId="0" fontId="85" fillId="0" borderId="30" xfId="12" applyFont="1" applyBorder="1" applyAlignment="1">
      <alignment horizontal="center" vertical="center"/>
    </xf>
    <xf numFmtId="0" fontId="85" fillId="0" borderId="24" xfId="12" applyFont="1" applyBorder="1" applyAlignment="1">
      <alignment horizontal="center" vertical="center"/>
    </xf>
    <xf numFmtId="164" fontId="85" fillId="0" borderId="25" xfId="13" applyFont="1" applyFill="1" applyBorder="1" applyAlignment="1">
      <alignment horizontal="center" vertical="center"/>
    </xf>
    <xf numFmtId="164" fontId="85" fillId="0" borderId="27" xfId="13" applyFont="1" applyFill="1" applyBorder="1" applyAlignment="1">
      <alignment horizontal="center" vertical="center"/>
    </xf>
    <xf numFmtId="164" fontId="85" fillId="0" borderId="52" xfId="13" applyFont="1" applyFill="1" applyBorder="1" applyAlignment="1">
      <alignment horizontal="center" vertical="center"/>
    </xf>
    <xf numFmtId="164" fontId="85" fillId="0" borderId="24" xfId="13" applyFont="1" applyFill="1" applyBorder="1" applyAlignment="1">
      <alignment horizontal="center" vertical="center"/>
    </xf>
    <xf numFmtId="0" fontId="82" fillId="0" borderId="89" xfId="12" applyFont="1" applyBorder="1" applyAlignment="1">
      <alignment horizontal="center" vertical="center" wrapText="1"/>
    </xf>
    <xf numFmtId="0" fontId="82" fillId="0" borderId="22" xfId="12" applyFont="1" applyBorder="1" applyAlignment="1">
      <alignment horizontal="center" vertical="center" wrapText="1"/>
    </xf>
    <xf numFmtId="0" fontId="82" fillId="0" borderId="23" xfId="12" applyFont="1" applyBorder="1" applyAlignment="1">
      <alignment horizontal="center" vertical="center" wrapText="1"/>
    </xf>
    <xf numFmtId="0" fontId="82" fillId="0" borderId="92" xfId="12" applyFont="1" applyBorder="1" applyAlignment="1">
      <alignment horizontal="center" vertical="center" wrapText="1"/>
    </xf>
    <xf numFmtId="0" fontId="82" fillId="0" borderId="2" xfId="12" applyFont="1" applyBorder="1" applyAlignment="1">
      <alignment horizontal="center" vertical="center" wrapText="1"/>
    </xf>
    <xf numFmtId="0" fontId="82" fillId="0" borderId="12" xfId="12" applyFont="1" applyBorder="1" applyAlignment="1">
      <alignment horizontal="center" vertical="center" wrapText="1"/>
    </xf>
    <xf numFmtId="0" fontId="0" fillId="0" borderId="89" xfId="0" applyBorder="1" applyAlignment="1">
      <alignment horizontal="center"/>
    </xf>
    <xf numFmtId="0" fontId="0" fillId="0" borderId="23" xfId="0" applyBorder="1" applyAlignment="1">
      <alignment horizontal="center"/>
    </xf>
    <xf numFmtId="0" fontId="0" fillId="0" borderId="68" xfId="0" applyBorder="1" applyAlignment="1">
      <alignment horizontal="center"/>
    </xf>
    <xf numFmtId="0" fontId="0" fillId="0" borderId="94" xfId="0" applyBorder="1" applyAlignment="1">
      <alignment horizontal="center"/>
    </xf>
    <xf numFmtId="0" fontId="0" fillId="0" borderId="92" xfId="0" applyBorder="1" applyAlignment="1">
      <alignment horizontal="center"/>
    </xf>
    <xf numFmtId="0" fontId="0" fillId="0" borderId="12" xfId="0" applyBorder="1" applyAlignment="1">
      <alignment horizontal="center"/>
    </xf>
    <xf numFmtId="0" fontId="90" fillId="0" borderId="0" xfId="0" applyFont="1" applyAlignment="1">
      <alignment horizontal="center"/>
    </xf>
    <xf numFmtId="0" fontId="61" fillId="0" borderId="9" xfId="0" applyFont="1" applyBorder="1" applyAlignment="1">
      <alignment horizontal="center" vertical="center" wrapText="1"/>
    </xf>
    <xf numFmtId="0" fontId="61" fillId="0" borderId="0" xfId="0" applyFont="1" applyAlignment="1">
      <alignment horizontal="center" vertical="center" wrapText="1"/>
    </xf>
    <xf numFmtId="0" fontId="61" fillId="0" borderId="10" xfId="0" applyFont="1" applyBorder="1" applyAlignment="1">
      <alignment horizontal="center" vertical="center" wrapText="1"/>
    </xf>
    <xf numFmtId="0" fontId="24" fillId="0" borderId="11" xfId="0" applyFont="1" applyBorder="1" applyAlignment="1">
      <alignment horizontal="left" vertical="center"/>
    </xf>
    <xf numFmtId="0" fontId="24" fillId="0" borderId="12" xfId="0" applyFont="1" applyBorder="1" applyAlignment="1">
      <alignment horizontal="left" vertical="center"/>
    </xf>
    <xf numFmtId="0" fontId="24" fillId="0" borderId="75" xfId="0" applyFont="1" applyBorder="1" applyAlignment="1">
      <alignment horizontal="center" vertical="center"/>
    </xf>
    <xf numFmtId="0" fontId="24" fillId="0" borderId="19" xfId="0" applyFont="1" applyBorder="1" applyAlignment="1">
      <alignment horizontal="center" vertical="center"/>
    </xf>
    <xf numFmtId="0" fontId="24" fillId="0" borderId="72" xfId="0" applyFont="1" applyBorder="1" applyAlignment="1">
      <alignment horizontal="left" vertical="center" wrapText="1"/>
    </xf>
    <xf numFmtId="0" fontId="24" fillId="0" borderId="78" xfId="0" applyFont="1" applyBorder="1" applyAlignment="1">
      <alignment horizontal="left" vertical="center" wrapText="1"/>
    </xf>
    <xf numFmtId="0" fontId="24" fillId="0" borderId="15" xfId="0" applyFont="1" applyBorder="1" applyAlignment="1">
      <alignment horizontal="center" vertical="center"/>
    </xf>
    <xf numFmtId="0" fontId="24" fillId="0" borderId="65" xfId="0" applyFont="1" applyBorder="1" applyAlignment="1">
      <alignment horizontal="center" vertical="center"/>
    </xf>
    <xf numFmtId="0" fontId="24" fillId="0" borderId="18" xfId="0" applyFont="1" applyBorder="1" applyAlignment="1">
      <alignment horizontal="center" vertical="center"/>
    </xf>
    <xf numFmtId="0" fontId="54" fillId="0" borderId="3" xfId="0" applyFont="1" applyBorder="1" applyAlignment="1">
      <alignment horizontal="center" vertical="center"/>
    </xf>
    <xf numFmtId="0" fontId="54" fillId="0" borderId="74" xfId="0" applyFont="1" applyBorder="1" applyAlignment="1">
      <alignment horizontal="center" vertical="center"/>
    </xf>
    <xf numFmtId="4" fontId="53" fillId="0" borderId="58" xfId="0" applyNumberFormat="1" applyFont="1" applyBorder="1" applyAlignment="1">
      <alignment horizontal="center" vertical="center" wrapText="1"/>
    </xf>
    <xf numFmtId="4" fontId="53" fillId="0" borderId="65" xfId="0" applyNumberFormat="1" applyFont="1" applyBorder="1" applyAlignment="1">
      <alignment horizontal="center" vertical="center" wrapText="1"/>
    </xf>
    <xf numFmtId="4" fontId="53" fillId="0" borderId="16" xfId="0" applyNumberFormat="1" applyFont="1" applyBorder="1" applyAlignment="1">
      <alignment horizontal="center" vertical="center" wrapText="1"/>
    </xf>
    <xf numFmtId="0" fontId="54" fillId="0" borderId="4" xfId="0" applyFont="1" applyBorder="1" applyAlignment="1">
      <alignment horizontal="center" vertical="center"/>
    </xf>
    <xf numFmtId="0" fontId="24" fillId="0" borderId="15" xfId="0" applyFont="1" applyBorder="1" applyAlignment="1">
      <alignment horizontal="left" vertical="center" wrapText="1"/>
    </xf>
    <xf numFmtId="0" fontId="24" fillId="0" borderId="65" xfId="0" applyFont="1" applyBorder="1" applyAlignment="1">
      <alignment horizontal="left" vertical="center" wrapText="1"/>
    </xf>
    <xf numFmtId="0" fontId="24" fillId="0" borderId="75" xfId="0" applyFont="1" applyBorder="1" applyAlignment="1">
      <alignment horizontal="left" vertical="center"/>
    </xf>
    <xf numFmtId="0" fontId="24" fillId="0" borderId="18" xfId="0" applyFont="1" applyBorder="1" applyAlignment="1">
      <alignment horizontal="left" vertical="center"/>
    </xf>
    <xf numFmtId="0" fontId="60" fillId="0" borderId="98" xfId="0" applyFont="1" applyBorder="1" applyAlignment="1">
      <alignment horizontal="center" vertical="center" wrapText="1"/>
    </xf>
    <xf numFmtId="0" fontId="60" fillId="0" borderId="32" xfId="0" applyFont="1" applyBorder="1" applyAlignment="1">
      <alignment horizontal="center" vertical="center" wrapText="1"/>
    </xf>
    <xf numFmtId="0" fontId="60" fillId="0" borderId="86" xfId="0" applyFont="1" applyBorder="1" applyAlignment="1">
      <alignment horizontal="center" vertical="center" wrapText="1"/>
    </xf>
    <xf numFmtId="0" fontId="24" fillId="0" borderId="2" xfId="0" applyFont="1" applyBorder="1" applyAlignment="1">
      <alignment horizontal="left" vertical="center"/>
    </xf>
    <xf numFmtId="0" fontId="24" fillId="0" borderId="15" xfId="0" applyFont="1" applyBorder="1" applyAlignment="1">
      <alignment horizontal="left" vertical="center"/>
    </xf>
    <xf numFmtId="0" fontId="24" fillId="0" borderId="65" xfId="0" applyFont="1" applyBorder="1" applyAlignment="1">
      <alignment horizontal="left" vertical="center"/>
    </xf>
    <xf numFmtId="0" fontId="7" fillId="3" borderId="1" xfId="3" applyFont="1" applyFill="1" applyBorder="1" applyAlignment="1" applyProtection="1">
      <alignment horizontal="center" vertical="center" wrapText="1"/>
      <protection locked="0"/>
    </xf>
    <xf numFmtId="3" fontId="8" fillId="2" borderId="13" xfId="5" applyNumberFormat="1" applyFont="1" applyFill="1" applyBorder="1" applyAlignment="1">
      <alignment horizontal="center" vertical="center" wrapText="1"/>
    </xf>
    <xf numFmtId="3" fontId="8" fillId="2" borderId="66" xfId="5" applyNumberFormat="1" applyFont="1" applyFill="1" applyBorder="1" applyAlignment="1">
      <alignment horizontal="center" vertical="center" wrapText="1"/>
    </xf>
    <xf numFmtId="0" fontId="60" fillId="0" borderId="72" xfId="0" applyFont="1" applyBorder="1" applyAlignment="1">
      <alignment horizontal="center" vertical="center" wrapText="1"/>
    </xf>
    <xf numFmtId="0" fontId="60" fillId="0" borderId="78" xfId="0" applyFont="1" applyBorder="1" applyAlignment="1">
      <alignment horizontal="center" vertical="center" wrapText="1"/>
    </xf>
    <xf numFmtId="0" fontId="60" fillId="0" borderId="73" xfId="0" applyFont="1" applyBorder="1" applyAlignment="1">
      <alignment horizontal="center" vertical="center" wrapText="1"/>
    </xf>
    <xf numFmtId="0" fontId="60" fillId="0" borderId="15" xfId="0" applyFont="1" applyBorder="1" applyAlignment="1">
      <alignment horizontal="center" vertical="center" wrapText="1"/>
    </xf>
    <xf numFmtId="0" fontId="60" fillId="0" borderId="75" xfId="0" applyFont="1" applyBorder="1" applyAlignment="1">
      <alignment horizontal="center" vertical="center" wrapText="1"/>
    </xf>
    <xf numFmtId="0" fontId="60" fillId="0" borderId="18" xfId="0" applyFont="1" applyBorder="1" applyAlignment="1">
      <alignment horizontal="center" vertical="center" wrapText="1"/>
    </xf>
    <xf numFmtId="0" fontId="60" fillId="0" borderId="19" xfId="0" applyFont="1" applyBorder="1" applyAlignment="1">
      <alignment horizontal="center" vertical="center" wrapText="1"/>
    </xf>
    <xf numFmtId="0" fontId="0" fillId="0" borderId="25" xfId="0" applyBorder="1" applyAlignment="1">
      <alignment horizontal="center"/>
    </xf>
    <xf numFmtId="0" fontId="0" fillId="0" borderId="27" xfId="0" applyBorder="1" applyAlignment="1">
      <alignment horizontal="center"/>
    </xf>
    <xf numFmtId="0" fontId="0" fillId="0" borderId="9" xfId="0" applyBorder="1" applyAlignment="1">
      <alignment horizontal="center"/>
    </xf>
    <xf numFmtId="0" fontId="0" fillId="0" borderId="10" xfId="0" applyBorder="1" applyAlignment="1">
      <alignment horizontal="center"/>
    </xf>
    <xf numFmtId="0" fontId="0" fillId="0" borderId="52" xfId="0" applyBorder="1" applyAlignment="1">
      <alignment horizontal="center"/>
    </xf>
    <xf numFmtId="0" fontId="0" fillId="0" borderId="24" xfId="0" applyBorder="1" applyAlignment="1">
      <alignment horizontal="center"/>
    </xf>
    <xf numFmtId="0" fontId="8" fillId="0" borderId="80" xfId="31" applyFont="1" applyBorder="1" applyAlignment="1">
      <alignment horizontal="center" vertical="center" wrapText="1"/>
    </xf>
    <xf numFmtId="0" fontId="8" fillId="0" borderId="81" xfId="31" applyFont="1" applyBorder="1" applyAlignment="1">
      <alignment horizontal="center" vertical="center" wrapText="1"/>
    </xf>
    <xf numFmtId="0" fontId="8" fillId="0" borderId="82" xfId="31" applyFont="1" applyBorder="1" applyAlignment="1">
      <alignment horizontal="center" vertical="center" wrapText="1"/>
    </xf>
    <xf numFmtId="0" fontId="8" fillId="0" borderId="3" xfId="31" applyFont="1" applyBorder="1" applyAlignment="1">
      <alignment horizontal="center" vertical="center" wrapText="1"/>
    </xf>
    <xf numFmtId="0" fontId="8" fillId="0" borderId="4" xfId="31" applyFont="1" applyBorder="1" applyAlignment="1">
      <alignment horizontal="center" vertical="center" wrapText="1"/>
    </xf>
    <xf numFmtId="0" fontId="8" fillId="0" borderId="8" xfId="31" applyFont="1" applyBorder="1" applyAlignment="1">
      <alignment horizontal="center" vertical="center" wrapText="1"/>
    </xf>
    <xf numFmtId="3" fontId="8" fillId="4" borderId="3" xfId="4" applyNumberFormat="1" applyFont="1" applyFill="1" applyBorder="1" applyAlignment="1">
      <alignment vertical="center" wrapText="1"/>
    </xf>
    <xf numFmtId="3" fontId="8" fillId="4" borderId="4" xfId="4" applyNumberFormat="1" applyFont="1" applyFill="1" applyBorder="1" applyAlignment="1">
      <alignment vertical="center" wrapText="1"/>
    </xf>
    <xf numFmtId="0" fontId="12" fillId="0" borderId="0" xfId="0" applyFont="1" applyAlignment="1">
      <alignment horizontal="left"/>
    </xf>
    <xf numFmtId="0" fontId="6" fillId="2" borderId="52" xfId="5" applyFont="1" applyFill="1" applyBorder="1" applyAlignment="1">
      <alignment horizontal="center" vertical="center" wrapText="1"/>
    </xf>
    <xf numFmtId="0" fontId="6" fillId="2" borderId="30" xfId="5" applyFont="1" applyFill="1" applyBorder="1" applyAlignment="1">
      <alignment horizontal="center" vertical="center" wrapText="1"/>
    </xf>
    <xf numFmtId="0" fontId="6" fillId="2" borderId="24" xfId="5" applyFont="1" applyFill="1" applyBorder="1" applyAlignment="1">
      <alignment horizontal="center" vertical="center" wrapText="1"/>
    </xf>
    <xf numFmtId="3" fontId="7" fillId="2" borderId="0" xfId="5" applyNumberFormat="1" applyFont="1" applyFill="1" applyAlignment="1">
      <alignment horizontal="center" vertical="center" wrapText="1"/>
    </xf>
    <xf numFmtId="0" fontId="7" fillId="4" borderId="4" xfId="3" applyFont="1" applyFill="1" applyBorder="1" applyAlignment="1" applyProtection="1">
      <alignment horizontal="left" vertical="center" wrapText="1"/>
      <protection locked="0"/>
    </xf>
    <xf numFmtId="0" fontId="7" fillId="4" borderId="74" xfId="3" applyFont="1" applyFill="1" applyBorder="1" applyAlignment="1" applyProtection="1">
      <alignment horizontal="left" vertical="center" wrapText="1"/>
      <protection locked="0"/>
    </xf>
    <xf numFmtId="0" fontId="7" fillId="4" borderId="4" xfId="3" applyFont="1" applyFill="1" applyBorder="1" applyAlignment="1" applyProtection="1">
      <alignment vertical="center" wrapText="1"/>
      <protection locked="0"/>
    </xf>
    <xf numFmtId="0" fontId="8" fillId="4" borderId="36" xfId="5" applyFont="1" applyFill="1" applyBorder="1" applyAlignment="1">
      <alignment vertical="center" wrapText="1"/>
    </xf>
    <xf numFmtId="0" fontId="8" fillId="4" borderId="35" xfId="5" applyFont="1" applyFill="1" applyBorder="1" applyAlignment="1">
      <alignment vertical="center" wrapText="1"/>
    </xf>
    <xf numFmtId="0" fontId="8" fillId="4" borderId="34" xfId="5" applyFont="1" applyFill="1" applyBorder="1" applyAlignment="1">
      <alignment vertical="center" wrapText="1"/>
    </xf>
    <xf numFmtId="3" fontId="25" fillId="0" borderId="29" xfId="9" applyNumberFormat="1" applyFont="1" applyBorder="1" applyAlignment="1">
      <alignment horizontal="left" wrapText="1"/>
    </xf>
    <xf numFmtId="3" fontId="25" fillId="0" borderId="16" xfId="9" applyNumberFormat="1" applyFont="1" applyBorder="1" applyAlignment="1">
      <alignment horizontal="left" wrapText="1"/>
    </xf>
    <xf numFmtId="3" fontId="14" fillId="0" borderId="29" xfId="9" applyNumberFormat="1" applyFont="1" applyBorder="1" applyAlignment="1">
      <alignment horizontal="center"/>
    </xf>
    <xf numFmtId="3" fontId="14" fillId="0" borderId="16" xfId="9" applyNumberFormat="1" applyFont="1" applyBorder="1" applyAlignment="1">
      <alignment horizontal="center"/>
    </xf>
    <xf numFmtId="3" fontId="22" fillId="5" borderId="64" xfId="9" applyNumberFormat="1" applyFont="1" applyFill="1" applyBorder="1" applyAlignment="1">
      <alignment horizontal="center" vertical="center"/>
    </xf>
    <xf numFmtId="3" fontId="22" fillId="5" borderId="54" xfId="9" applyNumberFormat="1" applyFont="1" applyFill="1" applyBorder="1" applyAlignment="1">
      <alignment horizontal="center" vertical="center"/>
    </xf>
    <xf numFmtId="3" fontId="22" fillId="5" borderId="61" xfId="9" applyNumberFormat="1" applyFont="1" applyFill="1" applyBorder="1" applyAlignment="1">
      <alignment horizontal="center" vertical="center"/>
    </xf>
    <xf numFmtId="3" fontId="56" fillId="0" borderId="22" xfId="9" applyNumberFormat="1" applyFont="1" applyBorder="1" applyAlignment="1">
      <alignment horizontal="center" vertical="justify"/>
    </xf>
    <xf numFmtId="3" fontId="56" fillId="0" borderId="0" xfId="9" applyNumberFormat="1" applyFont="1" applyAlignment="1">
      <alignment horizontal="center" vertical="justify"/>
    </xf>
    <xf numFmtId="3" fontId="56" fillId="0" borderId="6" xfId="9" applyNumberFormat="1" applyFont="1" applyBorder="1" applyAlignment="1">
      <alignment horizontal="center" vertical="justify"/>
    </xf>
    <xf numFmtId="3" fontId="57" fillId="0" borderId="29" xfId="9" applyNumberFormat="1" applyFont="1" applyBorder="1" applyAlignment="1">
      <alignment horizontal="left" wrapText="1"/>
    </xf>
    <xf numFmtId="3" fontId="57" fillId="0" borderId="16" xfId="9" applyNumberFormat="1" applyFont="1" applyBorder="1" applyAlignment="1">
      <alignment horizontal="left" wrapText="1"/>
    </xf>
    <xf numFmtId="3" fontId="17" fillId="0" borderId="22" xfId="9" applyNumberFormat="1" applyFont="1" applyBorder="1" applyAlignment="1">
      <alignment horizontal="center" vertical="justify"/>
    </xf>
    <xf numFmtId="3" fontId="17" fillId="0" borderId="0" xfId="9" applyNumberFormat="1" applyFont="1" applyAlignment="1">
      <alignment horizontal="center" vertical="justify"/>
    </xf>
    <xf numFmtId="3" fontId="17" fillId="0" borderId="6" xfId="9" applyNumberFormat="1" applyFont="1" applyBorder="1" applyAlignment="1">
      <alignment horizontal="center" vertical="justify"/>
    </xf>
    <xf numFmtId="3" fontId="14" fillId="0" borderId="29" xfId="9" applyNumberFormat="1" applyFont="1" applyBorder="1" applyAlignment="1">
      <alignment horizontal="center" wrapText="1"/>
    </xf>
    <xf numFmtId="3" fontId="14" fillId="0" borderId="16" xfId="9" applyNumberFormat="1" applyFont="1" applyBorder="1" applyAlignment="1">
      <alignment horizontal="center" wrapText="1"/>
    </xf>
    <xf numFmtId="0" fontId="10" fillId="0" borderId="58" xfId="0" applyFont="1" applyBorder="1" applyAlignment="1">
      <alignment horizontal="center" vertical="top" wrapText="1"/>
    </xf>
    <xf numFmtId="0" fontId="10" fillId="0" borderId="16" xfId="0" applyFont="1" applyBorder="1" applyAlignment="1">
      <alignment horizontal="center" vertical="top" wrapText="1"/>
    </xf>
    <xf numFmtId="3" fontId="22" fillId="5" borderId="64" xfId="9" applyNumberFormat="1" applyFont="1" applyFill="1" applyBorder="1" applyAlignment="1">
      <alignment horizontal="center" vertical="center" wrapText="1"/>
    </xf>
    <xf numFmtId="3" fontId="22" fillId="5" borderId="54" xfId="9" applyNumberFormat="1" applyFont="1" applyFill="1" applyBorder="1" applyAlignment="1">
      <alignment horizontal="center" vertical="center" wrapText="1"/>
    </xf>
    <xf numFmtId="3" fontId="22" fillId="5" borderId="61" xfId="9" applyNumberFormat="1" applyFont="1" applyFill="1" applyBorder="1" applyAlignment="1">
      <alignment horizontal="center" vertical="center" wrapText="1"/>
    </xf>
    <xf numFmtId="3" fontId="22" fillId="0" borderId="1" xfId="9" applyNumberFormat="1" applyFont="1" applyBorder="1" applyAlignment="1">
      <alignment horizontal="center" vertical="center" wrapText="1"/>
    </xf>
    <xf numFmtId="3" fontId="14" fillId="0" borderId="1" xfId="9" applyNumberFormat="1" applyFont="1" applyBorder="1" applyAlignment="1">
      <alignment horizontal="center"/>
    </xf>
    <xf numFmtId="3" fontId="22" fillId="0" borderId="22" xfId="9" applyNumberFormat="1" applyFont="1" applyBorder="1" applyAlignment="1">
      <alignment horizontal="center" vertical="justify"/>
    </xf>
    <xf numFmtId="3" fontId="22" fillId="0" borderId="0" xfId="9" applyNumberFormat="1" applyFont="1" applyAlignment="1">
      <alignment horizontal="center" vertical="justify"/>
    </xf>
    <xf numFmtId="3" fontId="22" fillId="0" borderId="6" xfId="9" applyNumberFormat="1" applyFont="1" applyBorder="1" applyAlignment="1">
      <alignment horizontal="center" vertical="justify"/>
    </xf>
    <xf numFmtId="0" fontId="6" fillId="2" borderId="1" xfId="5" applyFont="1" applyFill="1" applyBorder="1" applyAlignment="1">
      <alignment horizontal="center" vertical="center" wrapText="1"/>
    </xf>
    <xf numFmtId="3" fontId="8" fillId="2" borderId="1" xfId="5" applyNumberFormat="1" applyFont="1" applyFill="1" applyBorder="1" applyAlignment="1">
      <alignment horizontal="center" vertical="center" wrapText="1"/>
    </xf>
    <xf numFmtId="3" fontId="7" fillId="2" borderId="1" xfId="5" applyNumberFormat="1" applyFont="1" applyFill="1" applyBorder="1" applyAlignment="1">
      <alignment horizontal="center" vertical="center" wrapText="1"/>
    </xf>
    <xf numFmtId="0" fontId="7" fillId="10" borderId="1" xfId="3" applyFont="1" applyFill="1" applyBorder="1" applyAlignment="1" applyProtection="1">
      <alignment horizontal="left" vertical="center" wrapText="1"/>
      <protection locked="0"/>
    </xf>
    <xf numFmtId="0" fontId="58" fillId="10" borderId="1" xfId="5" applyFont="1" applyFill="1" applyBorder="1" applyAlignment="1">
      <alignment horizontal="left" vertical="center"/>
    </xf>
    <xf numFmtId="2" fontId="8" fillId="10" borderId="1" xfId="5" applyNumberFormat="1" applyFont="1" applyFill="1" applyBorder="1" applyAlignment="1">
      <alignment horizontal="left" vertical="center" wrapText="1"/>
    </xf>
    <xf numFmtId="3" fontId="16" fillId="2" borderId="30" xfId="5" applyNumberFormat="1" applyFont="1" applyFill="1" applyBorder="1" applyAlignment="1">
      <alignment horizontal="right"/>
    </xf>
    <xf numFmtId="3" fontId="16" fillId="2" borderId="31" xfId="5" applyNumberFormat="1" applyFont="1" applyFill="1" applyBorder="1" applyAlignment="1">
      <alignment horizontal="right"/>
    </xf>
    <xf numFmtId="3" fontId="16" fillId="2" borderId="3" xfId="5" applyNumberFormat="1" applyFont="1" applyFill="1" applyBorder="1" applyAlignment="1">
      <alignment horizontal="left"/>
    </xf>
    <xf numFmtId="3" fontId="16" fillId="2" borderId="4" xfId="5" applyNumberFormat="1" applyFont="1" applyFill="1" applyBorder="1" applyAlignment="1">
      <alignment horizontal="left"/>
    </xf>
    <xf numFmtId="3" fontId="16" fillId="2" borderId="8" xfId="5" applyNumberFormat="1" applyFont="1" applyFill="1" applyBorder="1" applyAlignment="1">
      <alignment horizontal="left"/>
    </xf>
    <xf numFmtId="3" fontId="14" fillId="2" borderId="15" xfId="5" applyNumberFormat="1" applyFont="1" applyFill="1" applyBorder="1" applyAlignment="1">
      <alignment horizontal="left"/>
    </xf>
    <xf numFmtId="3" fontId="14" fillId="2" borderId="16" xfId="5" applyNumberFormat="1" applyFont="1" applyFill="1" applyBorder="1" applyAlignment="1">
      <alignment horizontal="left"/>
    </xf>
    <xf numFmtId="3" fontId="16" fillId="2" borderId="18" xfId="5" applyNumberFormat="1" applyFont="1" applyFill="1" applyBorder="1" applyAlignment="1">
      <alignment horizontal="right"/>
    </xf>
    <xf numFmtId="3" fontId="16" fillId="2" borderId="19" xfId="5" applyNumberFormat="1" applyFont="1" applyFill="1" applyBorder="1" applyAlignment="1">
      <alignment horizontal="right"/>
    </xf>
    <xf numFmtId="3" fontId="13" fillId="2" borderId="3" xfId="5" applyNumberFormat="1" applyFont="1" applyFill="1" applyBorder="1" applyAlignment="1">
      <alignment horizontal="right"/>
    </xf>
    <xf numFmtId="3" fontId="13" fillId="2" borderId="4" xfId="5" applyNumberFormat="1" applyFont="1" applyFill="1" applyBorder="1" applyAlignment="1">
      <alignment horizontal="right"/>
    </xf>
    <xf numFmtId="3" fontId="13" fillId="2" borderId="8" xfId="5" applyNumberFormat="1" applyFont="1" applyFill="1" applyBorder="1" applyAlignment="1">
      <alignment horizontal="right"/>
    </xf>
    <xf numFmtId="3" fontId="16" fillId="2" borderId="11" xfId="5" applyNumberFormat="1" applyFont="1" applyFill="1" applyBorder="1" applyAlignment="1">
      <alignment horizontal="center"/>
    </xf>
    <xf numFmtId="3" fontId="16" fillId="2" borderId="12" xfId="5" applyNumberFormat="1" applyFont="1" applyFill="1" applyBorder="1" applyAlignment="1">
      <alignment horizontal="center"/>
    </xf>
    <xf numFmtId="3" fontId="14" fillId="2" borderId="15" xfId="5" applyNumberFormat="1" applyFont="1" applyFill="1" applyBorder="1" applyAlignment="1">
      <alignment horizontal="left" wrapText="1"/>
    </xf>
    <xf numFmtId="3" fontId="14" fillId="2" borderId="16" xfId="5" applyNumberFormat="1" applyFont="1" applyFill="1" applyBorder="1" applyAlignment="1">
      <alignment horizontal="left" wrapText="1"/>
    </xf>
    <xf numFmtId="3" fontId="16" fillId="2" borderId="1" xfId="5" applyNumberFormat="1" applyFont="1" applyFill="1" applyBorder="1" applyAlignment="1">
      <alignment horizontal="left" vertical="center" wrapText="1"/>
    </xf>
    <xf numFmtId="3" fontId="14" fillId="2" borderId="29" xfId="5" applyNumberFormat="1" applyFont="1" applyFill="1" applyBorder="1" applyAlignment="1">
      <alignment horizontal="left" wrapText="1"/>
    </xf>
    <xf numFmtId="3" fontId="14" fillId="2" borderId="15" xfId="5" applyNumberFormat="1" applyFont="1" applyFill="1" applyBorder="1" applyAlignment="1">
      <alignment horizontal="center"/>
    </xf>
    <xf numFmtId="3" fontId="14" fillId="2" borderId="16" xfId="5" applyNumberFormat="1" applyFont="1" applyFill="1" applyBorder="1" applyAlignment="1">
      <alignment horizontal="center"/>
    </xf>
    <xf numFmtId="3" fontId="16" fillId="2" borderId="72" xfId="5" applyNumberFormat="1" applyFont="1" applyFill="1" applyBorder="1" applyAlignment="1">
      <alignment horizontal="center"/>
    </xf>
    <xf numFmtId="3" fontId="16" fillId="2" borderId="73" xfId="5" applyNumberFormat="1" applyFont="1" applyFill="1" applyBorder="1" applyAlignment="1">
      <alignment horizontal="center"/>
    </xf>
    <xf numFmtId="3" fontId="16" fillId="2" borderId="58" xfId="5" applyNumberFormat="1" applyFont="1" applyFill="1" applyBorder="1" applyAlignment="1">
      <alignment horizontal="left" vertical="center" wrapText="1"/>
    </xf>
    <xf numFmtId="3" fontId="16" fillId="2" borderId="65" xfId="5" applyNumberFormat="1" applyFont="1" applyFill="1" applyBorder="1" applyAlignment="1">
      <alignment horizontal="left" vertical="center" wrapText="1"/>
    </xf>
    <xf numFmtId="3" fontId="16" fillId="2" borderId="16" xfId="5" applyNumberFormat="1" applyFont="1" applyFill="1" applyBorder="1" applyAlignment="1">
      <alignment horizontal="left" vertical="center" wrapText="1"/>
    </xf>
    <xf numFmtId="3" fontId="16" fillId="2" borderId="22" xfId="5" applyNumberFormat="1" applyFont="1" applyFill="1" applyBorder="1" applyAlignment="1">
      <alignment horizontal="right"/>
    </xf>
    <xf numFmtId="3" fontId="16" fillId="2" borderId="23" xfId="5" applyNumberFormat="1" applyFont="1" applyFill="1" applyBorder="1" applyAlignment="1">
      <alignment horizontal="right"/>
    </xf>
    <xf numFmtId="3" fontId="13" fillId="2" borderId="5" xfId="5" applyNumberFormat="1" applyFont="1" applyFill="1" applyBorder="1" applyAlignment="1">
      <alignment horizontal="center" vertical="center"/>
    </xf>
    <xf numFmtId="3" fontId="13" fillId="2" borderId="6" xfId="5" applyNumberFormat="1" applyFont="1" applyFill="1" applyBorder="1" applyAlignment="1">
      <alignment horizontal="center" vertical="center"/>
    </xf>
    <xf numFmtId="3" fontId="13" fillId="2" borderId="7" xfId="5" applyNumberFormat="1" applyFont="1" applyFill="1" applyBorder="1" applyAlignment="1">
      <alignment horizontal="center" vertical="center"/>
    </xf>
    <xf numFmtId="3" fontId="15" fillId="2" borderId="4" xfId="5" applyNumberFormat="1" applyFont="1" applyFill="1" applyBorder="1" applyAlignment="1">
      <alignment horizontal="left" vertical="distributed"/>
    </xf>
    <xf numFmtId="3" fontId="15" fillId="2" borderId="8" xfId="5" applyNumberFormat="1" applyFont="1" applyFill="1" applyBorder="1" applyAlignment="1">
      <alignment horizontal="left" vertical="distributed"/>
    </xf>
    <xf numFmtId="169" fontId="29" fillId="0" borderId="0" xfId="7" applyFont="1" applyFill="1" applyBorder="1" applyAlignment="1" applyProtection="1">
      <alignment horizontal="center" vertical="top" wrapText="1"/>
    </xf>
    <xf numFmtId="0" fontId="6" fillId="2" borderId="68" xfId="0" applyFont="1" applyFill="1" applyBorder="1" applyAlignment="1">
      <alignment horizontal="center" vertical="distributed" shrinkToFit="1"/>
    </xf>
    <xf numFmtId="0" fontId="6" fillId="2" borderId="0" xfId="0" applyFont="1" applyFill="1" applyAlignment="1">
      <alignment horizontal="center" vertical="distributed" shrinkToFit="1"/>
    </xf>
    <xf numFmtId="0" fontId="30" fillId="0" borderId="0" xfId="0" applyFont="1" applyAlignment="1">
      <alignment horizontal="center" vertical="top" wrapText="1"/>
    </xf>
  </cellXfs>
  <cellStyles count="40">
    <cellStyle name="Currency" xfId="8" xr:uid="{00000000-0005-0000-0000-000000000000}"/>
    <cellStyle name="Millares" xfId="20" builtinId="3"/>
    <cellStyle name="Millares 2" xfId="7" xr:uid="{00000000-0005-0000-0000-000002000000}"/>
    <cellStyle name="Millares 2 2" xfId="25" xr:uid="{00000000-0005-0000-0000-000003000000}"/>
    <cellStyle name="Millares 2 5 3" xfId="34" xr:uid="{00000000-0005-0000-0000-000004000000}"/>
    <cellStyle name="Millares 3" xfId="15" xr:uid="{00000000-0005-0000-0000-000005000000}"/>
    <cellStyle name="Millares 4" xfId="28" xr:uid="{00000000-0005-0000-0000-000006000000}"/>
    <cellStyle name="Millares 4 2" xfId="16" xr:uid="{00000000-0005-0000-0000-000007000000}"/>
    <cellStyle name="Millares 4 7" xfId="38" xr:uid="{00000000-0005-0000-0000-000008000000}"/>
    <cellStyle name="Millares 5" xfId="30" xr:uid="{00000000-0005-0000-0000-000009000000}"/>
    <cellStyle name="Moneda" xfId="13" builtinId="4"/>
    <cellStyle name="Moneda 10" xfId="33" xr:uid="{00000000-0005-0000-0000-00000B000000}"/>
    <cellStyle name="Moneda 2" xfId="6" xr:uid="{00000000-0005-0000-0000-00000C000000}"/>
    <cellStyle name="Moneda 2 2" xfId="22" xr:uid="{00000000-0005-0000-0000-00000D000000}"/>
    <cellStyle name="Moneda 2 2 4" xfId="39" xr:uid="{00000000-0005-0000-0000-00000E000000}"/>
    <cellStyle name="Moneda 3" xfId="17" xr:uid="{00000000-0005-0000-0000-00000F000000}"/>
    <cellStyle name="Moneda 3 2" xfId="26" xr:uid="{00000000-0005-0000-0000-000010000000}"/>
    <cellStyle name="Moneda 4" xfId="29" xr:uid="{00000000-0005-0000-0000-000011000000}"/>
    <cellStyle name="Moneda_Propuesta SCV-045-99 2" xfId="18" xr:uid="{00000000-0005-0000-0000-000013000000}"/>
    <cellStyle name="Normal" xfId="0" builtinId="0"/>
    <cellStyle name="Normal 10 3" xfId="35" xr:uid="{00000000-0005-0000-0000-000015000000}"/>
    <cellStyle name="Normal 2" xfId="12" xr:uid="{00000000-0005-0000-0000-000016000000}"/>
    <cellStyle name="Normal 2 5" xfId="32" xr:uid="{00000000-0005-0000-0000-000017000000}"/>
    <cellStyle name="Normal 23" xfId="31" xr:uid="{00000000-0005-0000-0000-000018000000}"/>
    <cellStyle name="Normal 26" xfId="37" xr:uid="{00000000-0005-0000-0000-000019000000}"/>
    <cellStyle name="Normal 3" xfId="9" xr:uid="{00000000-0005-0000-0000-00001A000000}"/>
    <cellStyle name="Normal 3 2" xfId="2" xr:uid="{00000000-0005-0000-0000-00001B000000}"/>
    <cellStyle name="Normal 3 2 2" xfId="5" xr:uid="{00000000-0005-0000-0000-00001C000000}"/>
    <cellStyle name="Normal 3 2 2 2" xfId="24" xr:uid="{00000000-0005-0000-0000-00001D000000}"/>
    <cellStyle name="Normal 3 3" xfId="27" xr:uid="{00000000-0005-0000-0000-00001E000000}"/>
    <cellStyle name="Normal 4" xfId="14" xr:uid="{00000000-0005-0000-0000-00001F000000}"/>
    <cellStyle name="Normal 4 2 2" xfId="11" xr:uid="{00000000-0005-0000-0000-000020000000}"/>
    <cellStyle name="Normal 5" xfId="21" xr:uid="{00000000-0005-0000-0000-000021000000}"/>
    <cellStyle name="Normal 5 2 2" xfId="36" xr:uid="{00000000-0005-0000-0000-000022000000}"/>
    <cellStyle name="Normal 8" xfId="3" xr:uid="{00000000-0005-0000-0000-000023000000}"/>
    <cellStyle name="Normal_Formulario de Item, cantid y precio" xfId="4" xr:uid="{00000000-0005-0000-0000-000024000000}"/>
    <cellStyle name="Porcentaje" xfId="1" builtinId="5"/>
    <cellStyle name="Porcentaje 2" xfId="19" xr:uid="{00000000-0005-0000-0000-000026000000}"/>
    <cellStyle name="Porcentaje 2 2" xfId="23" xr:uid="{00000000-0005-0000-0000-000027000000}"/>
    <cellStyle name="Porcentual 2" xfId="10" xr:uid="{00000000-0005-0000-0000-000028000000}"/>
  </cellStyles>
  <dxfs count="8">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1.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externalLink" Target="externalLinks/externalLink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7.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6.xml"/><Relationship Id="rId28"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5.xml"/><Relationship Id="rId27"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2.jpeg"/><Relationship Id="rId2" Type="http://schemas.openxmlformats.org/officeDocument/2006/relationships/image" Target="../media/image4.png"/><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2.jpeg"/><Relationship Id="rId2" Type="http://schemas.openxmlformats.org/officeDocument/2006/relationships/image" Target="../media/image4.png"/><Relationship Id="rId1" Type="http://schemas.openxmlformats.org/officeDocument/2006/relationships/image" Target="../media/image5.png"/></Relationships>
</file>

<file path=xl/drawings/_rels/drawing5.xml.rels><?xml version="1.0" encoding="UTF-8" standalone="yes"?>
<Relationships xmlns="http://schemas.openxmlformats.org/package/2006/relationships"><Relationship Id="rId3" Type="http://schemas.openxmlformats.org/officeDocument/2006/relationships/image" Target="../media/image2.jpeg"/><Relationship Id="rId2" Type="http://schemas.openxmlformats.org/officeDocument/2006/relationships/image" Target="../media/image4.png"/><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3" Type="http://schemas.openxmlformats.org/officeDocument/2006/relationships/image" Target="../media/image2.jpeg"/><Relationship Id="rId2" Type="http://schemas.openxmlformats.org/officeDocument/2006/relationships/image" Target="../media/image4.png"/><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3" Type="http://schemas.openxmlformats.org/officeDocument/2006/relationships/image" Target="../media/image2.jpeg"/><Relationship Id="rId2" Type="http://schemas.openxmlformats.org/officeDocument/2006/relationships/image" Target="../media/image4.png"/><Relationship Id="rId1" Type="http://schemas.openxmlformats.org/officeDocument/2006/relationships/image" Target="../media/image6.png"/></Relationships>
</file>

<file path=xl/drawings/_rels/drawing10.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3" Type="http://schemas.openxmlformats.org/officeDocument/2006/relationships/image" Target="../media/image2.jpeg"/><Relationship Id="rId2" Type="http://schemas.openxmlformats.org/officeDocument/2006/relationships/image" Target="../media/image4.png"/><Relationship Id="rId1" Type="http://schemas.openxmlformats.org/officeDocument/2006/relationships/image" Target="../media/image7.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9.jpeg"/><Relationship Id="rId1" Type="http://schemas.openxmlformats.org/officeDocument/2006/relationships/image" Target="../media/image8.jpeg"/></Relationships>
</file>

<file path=xl/drawings/_rels/vmlDrawing2.vml.rels><?xml version="1.0" encoding="UTF-8" standalone="yes"?>
<Relationships xmlns="http://schemas.openxmlformats.org/package/2006/relationships"><Relationship Id="rId2" Type="http://schemas.openxmlformats.org/officeDocument/2006/relationships/image" Target="../media/image9.jpeg"/><Relationship Id="rId1" Type="http://schemas.openxmlformats.org/officeDocument/2006/relationships/image" Target="../media/image8.jpeg"/></Relationships>
</file>

<file path=xl/drawings/_rels/vmlDrawing3.vml.rels><?xml version="1.0" encoding="UTF-8" standalone="yes"?>
<Relationships xmlns="http://schemas.openxmlformats.org/package/2006/relationships"><Relationship Id="rId2" Type="http://schemas.openxmlformats.org/officeDocument/2006/relationships/image" Target="../media/image9.jpeg"/><Relationship Id="rId1" Type="http://schemas.openxmlformats.org/officeDocument/2006/relationships/image" Target="../media/image8.jpeg"/></Relationships>
</file>

<file path=xl/drawings/_rels/vmlDrawing4.vml.rels><?xml version="1.0" encoding="UTF-8" standalone="yes"?>
<Relationships xmlns="http://schemas.openxmlformats.org/package/2006/relationships"><Relationship Id="rId2" Type="http://schemas.openxmlformats.org/officeDocument/2006/relationships/image" Target="../media/image8.jpeg"/><Relationship Id="rId1" Type="http://schemas.openxmlformats.org/officeDocument/2006/relationships/image" Target="../media/image9.jpeg"/></Relationships>
</file>

<file path=xl/drawings/_rels/vmlDrawing5.vml.rels><?xml version="1.0" encoding="UTF-8" standalone="yes"?>
<Relationships xmlns="http://schemas.openxmlformats.org/package/2006/relationships"><Relationship Id="rId2" Type="http://schemas.openxmlformats.org/officeDocument/2006/relationships/image" Target="../media/image9.jpeg"/><Relationship Id="rId1" Type="http://schemas.openxmlformats.org/officeDocument/2006/relationships/image" Target="../media/image8.jpeg"/></Relationships>
</file>

<file path=xl/drawings/drawing1.xml><?xml version="1.0" encoding="utf-8"?>
<xdr:wsDr xmlns:xdr="http://schemas.openxmlformats.org/drawingml/2006/spreadsheetDrawing" xmlns:a="http://schemas.openxmlformats.org/drawingml/2006/main">
  <xdr:twoCellAnchor editAs="oneCell">
    <xdr:from>
      <xdr:col>0</xdr:col>
      <xdr:colOff>100542</xdr:colOff>
      <xdr:row>6</xdr:row>
      <xdr:rowOff>608062</xdr:rowOff>
    </xdr:from>
    <xdr:to>
      <xdr:col>0</xdr:col>
      <xdr:colOff>1640417</xdr:colOff>
      <xdr:row>7</xdr:row>
      <xdr:rowOff>289193</xdr:rowOff>
    </xdr:to>
    <xdr:pic>
      <xdr:nvPicPr>
        <xdr:cNvPr id="3" name="Imagen 2">
          <a:extLst>
            <a:ext uri="{FF2B5EF4-FFF2-40B4-BE49-F238E27FC236}">
              <a16:creationId xmlns:a16="http://schemas.microsoft.com/office/drawing/2014/main" id="{05058626-D75E-405F-AF49-722DF9A9BD9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2464" t="24437" r="74425"/>
        <a:stretch>
          <a:fillRect/>
        </a:stretch>
      </xdr:blipFill>
      <xdr:spPr bwMode="auto">
        <a:xfrm>
          <a:off x="100542" y="1560562"/>
          <a:ext cx="1539875" cy="11839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370416</xdr:colOff>
      <xdr:row>6</xdr:row>
      <xdr:rowOff>402167</xdr:rowOff>
    </xdr:from>
    <xdr:to>
      <xdr:col>6</xdr:col>
      <xdr:colOff>651402</xdr:colOff>
      <xdr:row>7</xdr:row>
      <xdr:rowOff>391584</xdr:rowOff>
    </xdr:to>
    <xdr:pic>
      <xdr:nvPicPr>
        <xdr:cNvPr id="5" name="Imagen 5" descr="Imagen que contiene Gráfico&#10;&#10;Descripción generada automáticamente">
          <a:extLst>
            <a:ext uri="{FF2B5EF4-FFF2-40B4-BE49-F238E27FC236}">
              <a16:creationId xmlns:a16="http://schemas.microsoft.com/office/drawing/2014/main" id="{DC8A3952-E89B-47AB-9E3F-56943923F3B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4662" t="3624" r="87764" b="81834"/>
        <a:stretch>
          <a:fillRect/>
        </a:stretch>
      </xdr:blipFill>
      <xdr:spPr bwMode="auto">
        <a:xfrm>
          <a:off x="5598583" y="1354667"/>
          <a:ext cx="1042986" cy="1492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68035</xdr:colOff>
      <xdr:row>0</xdr:row>
      <xdr:rowOff>302759</xdr:rowOff>
    </xdr:from>
    <xdr:to>
      <xdr:col>1</xdr:col>
      <xdr:colOff>2003</xdr:colOff>
      <xdr:row>2</xdr:row>
      <xdr:rowOff>181837</xdr:rowOff>
    </xdr:to>
    <xdr:pic>
      <xdr:nvPicPr>
        <xdr:cNvPr id="3" name="Imagen 2">
          <a:extLst>
            <a:ext uri="{FF2B5EF4-FFF2-40B4-BE49-F238E27FC236}">
              <a16:creationId xmlns:a16="http://schemas.microsoft.com/office/drawing/2014/main" id="{97132DDE-1A7B-4F5F-9EB4-AD06DC7AD92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2464" t="24437" r="74425"/>
        <a:stretch>
          <a:fillRect/>
        </a:stretch>
      </xdr:blipFill>
      <xdr:spPr bwMode="auto">
        <a:xfrm>
          <a:off x="68035" y="302759"/>
          <a:ext cx="1672281" cy="10935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136072</xdr:colOff>
      <xdr:row>18</xdr:row>
      <xdr:rowOff>108857</xdr:rowOff>
    </xdr:from>
    <xdr:to>
      <xdr:col>0</xdr:col>
      <xdr:colOff>1646465</xdr:colOff>
      <xdr:row>25</xdr:row>
      <xdr:rowOff>134710</xdr:rowOff>
    </xdr:to>
    <xdr:pic>
      <xdr:nvPicPr>
        <xdr:cNvPr id="4" name="image22.png">
          <a:extLst>
            <a:ext uri="{FF2B5EF4-FFF2-40B4-BE49-F238E27FC236}">
              <a16:creationId xmlns:a16="http://schemas.microsoft.com/office/drawing/2014/main" id="{85D88D72-4B3C-4D4C-9CAD-8A466D3D5E58}"/>
            </a:ext>
          </a:extLst>
        </xdr:cNvPr>
        <xdr:cNvPicPr/>
      </xdr:nvPicPr>
      <xdr:blipFill>
        <a:blip xmlns:r="http://schemas.openxmlformats.org/officeDocument/2006/relationships" r:embed="rId2"/>
        <a:srcRect l="17195" t="27513" r="22751" b="30688"/>
        <a:stretch>
          <a:fillRect/>
        </a:stretch>
      </xdr:blipFill>
      <xdr:spPr>
        <a:xfrm>
          <a:off x="136072" y="7252607"/>
          <a:ext cx="1510393" cy="1318532"/>
        </a:xfrm>
        <a:prstGeom prst="rect">
          <a:avLst/>
        </a:prstGeom>
        <a:ln/>
      </xdr:spPr>
    </xdr:pic>
    <xdr:clientData/>
  </xdr:twoCellAnchor>
  <xdr:twoCellAnchor editAs="oneCell">
    <xdr:from>
      <xdr:col>7</xdr:col>
      <xdr:colOff>204108</xdr:colOff>
      <xdr:row>0</xdr:row>
      <xdr:rowOff>231321</xdr:rowOff>
    </xdr:from>
    <xdr:to>
      <xdr:col>7</xdr:col>
      <xdr:colOff>1218716</xdr:colOff>
      <xdr:row>2</xdr:row>
      <xdr:rowOff>136071</xdr:rowOff>
    </xdr:to>
    <xdr:pic>
      <xdr:nvPicPr>
        <xdr:cNvPr id="5" name="Imagen 5" descr="Imagen que contiene Gráfico&#10;&#10;Descripción generada automáticamente">
          <a:extLst>
            <a:ext uri="{FF2B5EF4-FFF2-40B4-BE49-F238E27FC236}">
              <a16:creationId xmlns:a16="http://schemas.microsoft.com/office/drawing/2014/main" id="{56A87C1A-6ACB-4C26-A0E8-DDFEF6B74841}"/>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l="4662" t="3624" r="87764" b="81834"/>
        <a:stretch>
          <a:fillRect/>
        </a:stretch>
      </xdr:blipFill>
      <xdr:spPr bwMode="auto">
        <a:xfrm>
          <a:off x="14301108" y="231321"/>
          <a:ext cx="1014608" cy="11293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95250</xdr:colOff>
      <xdr:row>6</xdr:row>
      <xdr:rowOff>772105</xdr:rowOff>
    </xdr:from>
    <xdr:to>
      <xdr:col>0</xdr:col>
      <xdr:colOff>1823355</xdr:colOff>
      <xdr:row>7</xdr:row>
      <xdr:rowOff>95250</xdr:rowOff>
    </xdr:to>
    <xdr:pic>
      <xdr:nvPicPr>
        <xdr:cNvPr id="3" name="Imagen 2">
          <a:extLst>
            <a:ext uri="{FF2B5EF4-FFF2-40B4-BE49-F238E27FC236}">
              <a16:creationId xmlns:a16="http://schemas.microsoft.com/office/drawing/2014/main" id="{18D8F951-89C4-49D0-835B-1A9C123E11B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2464" t="24437" r="74425"/>
        <a:stretch>
          <a:fillRect/>
        </a:stretch>
      </xdr:blipFill>
      <xdr:spPr bwMode="auto">
        <a:xfrm>
          <a:off x="95250" y="1724605"/>
          <a:ext cx="1728105" cy="16726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365125</xdr:colOff>
      <xdr:row>6</xdr:row>
      <xdr:rowOff>650875</xdr:rowOff>
    </xdr:from>
    <xdr:to>
      <xdr:col>6</xdr:col>
      <xdr:colOff>646111</xdr:colOff>
      <xdr:row>7</xdr:row>
      <xdr:rowOff>111125</xdr:rowOff>
    </xdr:to>
    <xdr:pic>
      <xdr:nvPicPr>
        <xdr:cNvPr id="4" name="Imagen 5" descr="Imagen que contiene Gráfico&#10;&#10;Descripción generada automáticamente">
          <a:extLst>
            <a:ext uri="{FF2B5EF4-FFF2-40B4-BE49-F238E27FC236}">
              <a16:creationId xmlns:a16="http://schemas.microsoft.com/office/drawing/2014/main" id="{B7910A48-8906-42EB-8F7D-409C7F83FA9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4662" t="3624" r="87764" b="81834"/>
        <a:stretch>
          <a:fillRect/>
        </a:stretch>
      </xdr:blipFill>
      <xdr:spPr bwMode="auto">
        <a:xfrm>
          <a:off x="5588000" y="1603375"/>
          <a:ext cx="1042986" cy="1809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57150</xdr:colOff>
      <xdr:row>0</xdr:row>
      <xdr:rowOff>370762</xdr:rowOff>
    </xdr:from>
    <xdr:to>
      <xdr:col>0</xdr:col>
      <xdr:colOff>1066800</xdr:colOff>
      <xdr:row>3</xdr:row>
      <xdr:rowOff>9526</xdr:rowOff>
    </xdr:to>
    <xdr:pic>
      <xdr:nvPicPr>
        <xdr:cNvPr id="2" name="Imagen 1">
          <a:extLst>
            <a:ext uri="{FF2B5EF4-FFF2-40B4-BE49-F238E27FC236}">
              <a16:creationId xmlns:a16="http://schemas.microsoft.com/office/drawing/2014/main" id="{4792688E-BDD0-4A2D-9591-A937C4BF1C6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2464" t="24437" r="74425"/>
        <a:stretch>
          <a:fillRect/>
        </a:stretch>
      </xdr:blipFill>
      <xdr:spPr bwMode="auto">
        <a:xfrm>
          <a:off x="57150" y="370762"/>
          <a:ext cx="1009650" cy="8960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23</xdr:row>
      <xdr:rowOff>61232</xdr:rowOff>
    </xdr:from>
    <xdr:to>
      <xdr:col>1</xdr:col>
      <xdr:colOff>395968</xdr:colOff>
      <xdr:row>30</xdr:row>
      <xdr:rowOff>125185</xdr:rowOff>
    </xdr:to>
    <xdr:pic>
      <xdr:nvPicPr>
        <xdr:cNvPr id="4" name="image22.png">
          <a:extLst>
            <a:ext uri="{FF2B5EF4-FFF2-40B4-BE49-F238E27FC236}">
              <a16:creationId xmlns:a16="http://schemas.microsoft.com/office/drawing/2014/main" id="{1F712065-0153-4D8A-A823-0C27306240FD}"/>
            </a:ext>
          </a:extLst>
        </xdr:cNvPr>
        <xdr:cNvPicPr/>
      </xdr:nvPicPr>
      <xdr:blipFill>
        <a:blip xmlns:r="http://schemas.openxmlformats.org/officeDocument/2006/relationships" r:embed="rId2"/>
        <a:srcRect l="17195" t="27513" r="22751" b="30688"/>
        <a:stretch>
          <a:fillRect/>
        </a:stretch>
      </xdr:blipFill>
      <xdr:spPr>
        <a:xfrm>
          <a:off x="0" y="6547757"/>
          <a:ext cx="1510393" cy="1378403"/>
        </a:xfrm>
        <a:prstGeom prst="rect">
          <a:avLst/>
        </a:prstGeom>
        <a:ln/>
      </xdr:spPr>
    </xdr:pic>
    <xdr:clientData/>
  </xdr:twoCellAnchor>
  <xdr:twoCellAnchor editAs="oneCell">
    <xdr:from>
      <xdr:col>5</xdr:col>
      <xdr:colOff>209551</xdr:colOff>
      <xdr:row>0</xdr:row>
      <xdr:rowOff>371475</xdr:rowOff>
    </xdr:from>
    <xdr:to>
      <xdr:col>5</xdr:col>
      <xdr:colOff>1028701</xdr:colOff>
      <xdr:row>3</xdr:row>
      <xdr:rowOff>104775</xdr:rowOff>
    </xdr:to>
    <xdr:pic>
      <xdr:nvPicPr>
        <xdr:cNvPr id="5" name="Imagen 5" descr="Imagen que contiene Gráfico&#10;&#10;Descripción generada automáticamente">
          <a:extLst>
            <a:ext uri="{FF2B5EF4-FFF2-40B4-BE49-F238E27FC236}">
              <a16:creationId xmlns:a16="http://schemas.microsoft.com/office/drawing/2014/main" id="{3438C944-0EB1-4302-9327-8FB43CC1446A}"/>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l="4662" t="3624" r="87764" b="81834"/>
        <a:stretch>
          <a:fillRect/>
        </a:stretch>
      </xdr:blipFill>
      <xdr:spPr bwMode="auto">
        <a:xfrm>
          <a:off x="6229351" y="371475"/>
          <a:ext cx="819150" cy="990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381000</xdr:colOff>
      <xdr:row>0</xdr:row>
      <xdr:rowOff>111125</xdr:rowOff>
    </xdr:from>
    <xdr:to>
      <xdr:col>1</xdr:col>
      <xdr:colOff>2308225</xdr:colOff>
      <xdr:row>4</xdr:row>
      <xdr:rowOff>95250</xdr:rowOff>
    </xdr:to>
    <xdr:pic>
      <xdr:nvPicPr>
        <xdr:cNvPr id="2" name="Imagen 1">
          <a:extLst>
            <a:ext uri="{FF2B5EF4-FFF2-40B4-BE49-F238E27FC236}">
              <a16:creationId xmlns:a16="http://schemas.microsoft.com/office/drawing/2014/main" id="{60AF0D78-EECF-463C-A143-02CE9F48BDB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2464" t="24437" r="74425"/>
        <a:stretch>
          <a:fillRect/>
        </a:stretch>
      </xdr:blipFill>
      <xdr:spPr bwMode="auto">
        <a:xfrm>
          <a:off x="381000" y="111125"/>
          <a:ext cx="2800350" cy="1158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50</xdr:row>
      <xdr:rowOff>64033</xdr:rowOff>
    </xdr:from>
    <xdr:to>
      <xdr:col>1</xdr:col>
      <xdr:colOff>634093</xdr:colOff>
      <xdr:row>57</xdr:row>
      <xdr:rowOff>147036</xdr:rowOff>
    </xdr:to>
    <xdr:pic>
      <xdr:nvPicPr>
        <xdr:cNvPr id="6" name="image22.png">
          <a:extLst>
            <a:ext uri="{FF2B5EF4-FFF2-40B4-BE49-F238E27FC236}">
              <a16:creationId xmlns:a16="http://schemas.microsoft.com/office/drawing/2014/main" id="{C7CD992D-1D40-459F-B372-57805D0E36E2}"/>
            </a:ext>
          </a:extLst>
        </xdr:cNvPr>
        <xdr:cNvPicPr/>
      </xdr:nvPicPr>
      <xdr:blipFill>
        <a:blip xmlns:r="http://schemas.openxmlformats.org/officeDocument/2006/relationships" r:embed="rId2"/>
        <a:srcRect l="17195" t="27513" r="22751" b="30688"/>
        <a:stretch>
          <a:fillRect/>
        </a:stretch>
      </xdr:blipFill>
      <xdr:spPr>
        <a:xfrm>
          <a:off x="0" y="9454562"/>
          <a:ext cx="1508152" cy="1394092"/>
        </a:xfrm>
        <a:prstGeom prst="rect">
          <a:avLst/>
        </a:prstGeom>
        <a:ln/>
      </xdr:spPr>
    </xdr:pic>
    <xdr:clientData/>
  </xdr:twoCellAnchor>
  <xdr:twoCellAnchor editAs="oneCell">
    <xdr:from>
      <xdr:col>8</xdr:col>
      <xdr:colOff>571500</xdr:colOff>
      <xdr:row>0</xdr:row>
      <xdr:rowOff>112059</xdr:rowOff>
    </xdr:from>
    <xdr:to>
      <xdr:col>9</xdr:col>
      <xdr:colOff>649942</xdr:colOff>
      <xdr:row>3</xdr:row>
      <xdr:rowOff>67235</xdr:rowOff>
    </xdr:to>
    <xdr:pic>
      <xdr:nvPicPr>
        <xdr:cNvPr id="4" name="Imagen 5" descr="Imagen que contiene Gráfico&#10;&#10;Descripción generada automáticamente">
          <a:extLst>
            <a:ext uri="{FF2B5EF4-FFF2-40B4-BE49-F238E27FC236}">
              <a16:creationId xmlns:a16="http://schemas.microsoft.com/office/drawing/2014/main" id="{CE756213-D1E6-4EDD-AFAD-463D8823EC62}"/>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l="4662" t="3624" r="87764" b="81834"/>
        <a:stretch>
          <a:fillRect/>
        </a:stretch>
      </xdr:blipFill>
      <xdr:spPr bwMode="auto">
        <a:xfrm>
          <a:off x="12404912" y="112059"/>
          <a:ext cx="1030942" cy="93008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66675</xdr:colOff>
      <xdr:row>6</xdr:row>
      <xdr:rowOff>953081</xdr:rowOff>
    </xdr:from>
    <xdr:to>
      <xdr:col>0</xdr:col>
      <xdr:colOff>1794780</xdr:colOff>
      <xdr:row>7</xdr:row>
      <xdr:rowOff>142875</xdr:rowOff>
    </xdr:to>
    <xdr:pic>
      <xdr:nvPicPr>
        <xdr:cNvPr id="2" name="Imagen 1">
          <a:extLst>
            <a:ext uri="{FF2B5EF4-FFF2-40B4-BE49-F238E27FC236}">
              <a16:creationId xmlns:a16="http://schemas.microsoft.com/office/drawing/2014/main" id="{1C33E295-A749-47F7-86B9-E356989C8C9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2464" t="24437" r="74425"/>
        <a:stretch>
          <a:fillRect/>
        </a:stretch>
      </xdr:blipFill>
      <xdr:spPr bwMode="auto">
        <a:xfrm>
          <a:off x="66675" y="1924631"/>
          <a:ext cx="1728105" cy="153294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245415</xdr:colOff>
      <xdr:row>6</xdr:row>
      <xdr:rowOff>1095374</xdr:rowOff>
    </xdr:from>
    <xdr:to>
      <xdr:col>6</xdr:col>
      <xdr:colOff>697567</xdr:colOff>
      <xdr:row>7</xdr:row>
      <xdr:rowOff>19050</xdr:rowOff>
    </xdr:to>
    <xdr:pic>
      <xdr:nvPicPr>
        <xdr:cNvPr id="3" name="Imagen 5" descr="Imagen que contiene Gráfico&#10;&#10;Descripción generada automáticamente">
          <a:extLst>
            <a:ext uri="{FF2B5EF4-FFF2-40B4-BE49-F238E27FC236}">
              <a16:creationId xmlns:a16="http://schemas.microsoft.com/office/drawing/2014/main" id="{8D9BD435-74BE-4ED7-8FBE-2BD421BA1D1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4662" t="3624" r="87764" b="81834"/>
        <a:stretch>
          <a:fillRect/>
        </a:stretch>
      </xdr:blipFill>
      <xdr:spPr bwMode="auto">
        <a:xfrm>
          <a:off x="5474640" y="2066924"/>
          <a:ext cx="1214152" cy="12668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80963</xdr:colOff>
      <xdr:row>0</xdr:row>
      <xdr:rowOff>428625</xdr:rowOff>
    </xdr:from>
    <xdr:to>
      <xdr:col>0</xdr:col>
      <xdr:colOff>1685925</xdr:colOff>
      <xdr:row>2</xdr:row>
      <xdr:rowOff>190501</xdr:rowOff>
    </xdr:to>
    <xdr:pic>
      <xdr:nvPicPr>
        <xdr:cNvPr id="2" name="Imagen 1">
          <a:extLst>
            <a:ext uri="{FF2B5EF4-FFF2-40B4-BE49-F238E27FC236}">
              <a16:creationId xmlns:a16="http://schemas.microsoft.com/office/drawing/2014/main" id="{32AFDB48-6D72-4698-B8BC-930456AC402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2464" t="24437" r="74425"/>
        <a:stretch>
          <a:fillRect/>
        </a:stretch>
      </xdr:blipFill>
      <xdr:spPr bwMode="auto">
        <a:xfrm>
          <a:off x="80963" y="428625"/>
          <a:ext cx="1604962" cy="16859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136072</xdr:colOff>
      <xdr:row>94</xdr:row>
      <xdr:rowOff>108857</xdr:rowOff>
    </xdr:from>
    <xdr:to>
      <xdr:col>0</xdr:col>
      <xdr:colOff>1646465</xdr:colOff>
      <xdr:row>101</xdr:row>
      <xdr:rowOff>172810</xdr:rowOff>
    </xdr:to>
    <xdr:pic>
      <xdr:nvPicPr>
        <xdr:cNvPr id="4" name="image22.png">
          <a:extLst>
            <a:ext uri="{FF2B5EF4-FFF2-40B4-BE49-F238E27FC236}">
              <a16:creationId xmlns:a16="http://schemas.microsoft.com/office/drawing/2014/main" id="{5705005B-C506-442E-B7FD-56769E90E7CF}"/>
            </a:ext>
          </a:extLst>
        </xdr:cNvPr>
        <xdr:cNvPicPr/>
      </xdr:nvPicPr>
      <xdr:blipFill>
        <a:blip xmlns:r="http://schemas.openxmlformats.org/officeDocument/2006/relationships" r:embed="rId2"/>
        <a:srcRect l="17195" t="27513" r="22751" b="30688"/>
        <a:stretch>
          <a:fillRect/>
        </a:stretch>
      </xdr:blipFill>
      <xdr:spPr>
        <a:xfrm>
          <a:off x="136072" y="7252607"/>
          <a:ext cx="1510393" cy="1340303"/>
        </a:xfrm>
        <a:prstGeom prst="rect">
          <a:avLst/>
        </a:prstGeom>
        <a:ln/>
      </xdr:spPr>
    </xdr:pic>
    <xdr:clientData/>
  </xdr:twoCellAnchor>
  <xdr:twoCellAnchor editAs="oneCell">
    <xdr:from>
      <xdr:col>5</xdr:col>
      <xdr:colOff>180975</xdr:colOff>
      <xdr:row>0</xdr:row>
      <xdr:rowOff>476250</xdr:rowOff>
    </xdr:from>
    <xdr:to>
      <xdr:col>5</xdr:col>
      <xdr:colOff>1211917</xdr:colOff>
      <xdr:row>0</xdr:row>
      <xdr:rowOff>1600200</xdr:rowOff>
    </xdr:to>
    <xdr:pic>
      <xdr:nvPicPr>
        <xdr:cNvPr id="5" name="Imagen 5" descr="Imagen que contiene Gráfico&#10;&#10;Descripción generada automáticamente">
          <a:extLst>
            <a:ext uri="{FF2B5EF4-FFF2-40B4-BE49-F238E27FC236}">
              <a16:creationId xmlns:a16="http://schemas.microsoft.com/office/drawing/2014/main" id="{244689EB-53BC-4398-83A0-ACC120CC996C}"/>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l="4662" t="3624" r="87764" b="81834"/>
        <a:stretch>
          <a:fillRect/>
        </a:stretch>
      </xdr:blipFill>
      <xdr:spPr bwMode="auto">
        <a:xfrm>
          <a:off x="5543550" y="476250"/>
          <a:ext cx="1030942" cy="1123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111125</xdr:colOff>
      <xdr:row>6</xdr:row>
      <xdr:rowOff>629232</xdr:rowOff>
    </xdr:from>
    <xdr:to>
      <xdr:col>0</xdr:col>
      <xdr:colOff>1778000</xdr:colOff>
      <xdr:row>6</xdr:row>
      <xdr:rowOff>2333625</xdr:rowOff>
    </xdr:to>
    <xdr:pic>
      <xdr:nvPicPr>
        <xdr:cNvPr id="2" name="Imagen 1">
          <a:extLst>
            <a:ext uri="{FF2B5EF4-FFF2-40B4-BE49-F238E27FC236}">
              <a16:creationId xmlns:a16="http://schemas.microsoft.com/office/drawing/2014/main" id="{94AFCE98-76F7-4A86-9D09-05403C465A7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2464" t="24437" r="74425"/>
        <a:stretch>
          <a:fillRect/>
        </a:stretch>
      </xdr:blipFill>
      <xdr:spPr bwMode="auto">
        <a:xfrm>
          <a:off x="111125" y="1581732"/>
          <a:ext cx="1666875" cy="17043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285750</xdr:colOff>
      <xdr:row>6</xdr:row>
      <xdr:rowOff>857250</xdr:rowOff>
    </xdr:from>
    <xdr:to>
      <xdr:col>6</xdr:col>
      <xdr:colOff>554692</xdr:colOff>
      <xdr:row>6</xdr:row>
      <xdr:rowOff>2063750</xdr:rowOff>
    </xdr:to>
    <xdr:pic>
      <xdr:nvPicPr>
        <xdr:cNvPr id="3" name="Imagen 5" descr="Imagen que contiene Gráfico&#10;&#10;Descripción generada automáticamente">
          <a:extLst>
            <a:ext uri="{FF2B5EF4-FFF2-40B4-BE49-F238E27FC236}">
              <a16:creationId xmlns:a16="http://schemas.microsoft.com/office/drawing/2014/main" id="{0A80208C-76E8-4457-B5C9-B820AEFBB1A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4662" t="3624" r="87764" b="81834"/>
        <a:stretch>
          <a:fillRect/>
        </a:stretch>
      </xdr:blipFill>
      <xdr:spPr bwMode="auto">
        <a:xfrm>
          <a:off x="5508625" y="1809750"/>
          <a:ext cx="1030942" cy="1206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370490</xdr:colOff>
      <xdr:row>0</xdr:row>
      <xdr:rowOff>308943</xdr:rowOff>
    </xdr:from>
    <xdr:to>
      <xdr:col>1</xdr:col>
      <xdr:colOff>1325218</xdr:colOff>
      <xdr:row>2</xdr:row>
      <xdr:rowOff>165651</xdr:rowOff>
    </xdr:to>
    <xdr:pic>
      <xdr:nvPicPr>
        <xdr:cNvPr id="2" name="Imagen 1">
          <a:extLst>
            <a:ext uri="{FF2B5EF4-FFF2-40B4-BE49-F238E27FC236}">
              <a16:creationId xmlns:a16="http://schemas.microsoft.com/office/drawing/2014/main" id="{1AC88CFC-0EF2-493F-BC98-BE4906E4205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2464" t="24437" r="74425"/>
        <a:stretch>
          <a:fillRect/>
        </a:stretch>
      </xdr:blipFill>
      <xdr:spPr bwMode="auto">
        <a:xfrm>
          <a:off x="370490" y="308943"/>
          <a:ext cx="1716728" cy="1306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136072</xdr:colOff>
      <xdr:row>12</xdr:row>
      <xdr:rowOff>108857</xdr:rowOff>
    </xdr:from>
    <xdr:to>
      <xdr:col>1</xdr:col>
      <xdr:colOff>1649364</xdr:colOff>
      <xdr:row>19</xdr:row>
      <xdr:rowOff>172810</xdr:rowOff>
    </xdr:to>
    <xdr:pic>
      <xdr:nvPicPr>
        <xdr:cNvPr id="4" name="image22.png">
          <a:extLst>
            <a:ext uri="{FF2B5EF4-FFF2-40B4-BE49-F238E27FC236}">
              <a16:creationId xmlns:a16="http://schemas.microsoft.com/office/drawing/2014/main" id="{107E89E9-D1BA-4301-BD73-F40C69B80D97}"/>
            </a:ext>
          </a:extLst>
        </xdr:cNvPr>
        <xdr:cNvPicPr/>
      </xdr:nvPicPr>
      <xdr:blipFill>
        <a:blip xmlns:r="http://schemas.openxmlformats.org/officeDocument/2006/relationships" r:embed="rId2"/>
        <a:srcRect l="17195" t="27513" r="22751" b="30688"/>
        <a:stretch>
          <a:fillRect/>
        </a:stretch>
      </xdr:blipFill>
      <xdr:spPr>
        <a:xfrm>
          <a:off x="136072" y="7252607"/>
          <a:ext cx="1510393" cy="1340303"/>
        </a:xfrm>
        <a:prstGeom prst="rect">
          <a:avLst/>
        </a:prstGeom>
        <a:ln/>
      </xdr:spPr>
    </xdr:pic>
    <xdr:clientData/>
  </xdr:twoCellAnchor>
  <xdr:twoCellAnchor editAs="oneCell">
    <xdr:from>
      <xdr:col>7</xdr:col>
      <xdr:colOff>91108</xdr:colOff>
      <xdr:row>0</xdr:row>
      <xdr:rowOff>397565</xdr:rowOff>
    </xdr:from>
    <xdr:to>
      <xdr:col>7</xdr:col>
      <xdr:colOff>944217</xdr:colOff>
      <xdr:row>1</xdr:row>
      <xdr:rowOff>74544</xdr:rowOff>
    </xdr:to>
    <xdr:pic>
      <xdr:nvPicPr>
        <xdr:cNvPr id="5" name="Imagen 5" descr="Imagen que contiene Gráfico&#10;&#10;Descripción generada automáticamente">
          <a:extLst>
            <a:ext uri="{FF2B5EF4-FFF2-40B4-BE49-F238E27FC236}">
              <a16:creationId xmlns:a16="http://schemas.microsoft.com/office/drawing/2014/main" id="{8E44B0D9-D85A-4437-BB08-2A83A196C36F}"/>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l="4662" t="3624" r="87764" b="81834"/>
        <a:stretch>
          <a:fillRect/>
        </a:stretch>
      </xdr:blipFill>
      <xdr:spPr bwMode="auto">
        <a:xfrm>
          <a:off x="5822673" y="397565"/>
          <a:ext cx="853109" cy="9193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120650</xdr:colOff>
      <xdr:row>6</xdr:row>
      <xdr:rowOff>828675</xdr:rowOff>
    </xdr:from>
    <xdr:to>
      <xdr:col>0</xdr:col>
      <xdr:colOff>1737630</xdr:colOff>
      <xdr:row>7</xdr:row>
      <xdr:rowOff>152400</xdr:rowOff>
    </xdr:to>
    <xdr:pic>
      <xdr:nvPicPr>
        <xdr:cNvPr id="2" name="Imagen 1">
          <a:extLst>
            <a:ext uri="{FF2B5EF4-FFF2-40B4-BE49-F238E27FC236}">
              <a16:creationId xmlns:a16="http://schemas.microsoft.com/office/drawing/2014/main" id="{55E59812-5554-49E7-A2B9-C8A3F58B609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2464" t="24437" r="74425"/>
        <a:stretch>
          <a:fillRect/>
        </a:stretch>
      </xdr:blipFill>
      <xdr:spPr bwMode="auto">
        <a:xfrm>
          <a:off x="120650" y="1800225"/>
          <a:ext cx="1616980" cy="1666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342900</xdr:colOff>
      <xdr:row>6</xdr:row>
      <xdr:rowOff>981075</xdr:rowOff>
    </xdr:from>
    <xdr:to>
      <xdr:col>6</xdr:col>
      <xdr:colOff>611842</xdr:colOff>
      <xdr:row>6</xdr:row>
      <xdr:rowOff>2276475</xdr:rowOff>
    </xdr:to>
    <xdr:pic>
      <xdr:nvPicPr>
        <xdr:cNvPr id="3" name="Imagen 5" descr="Imagen que contiene Gráfico&#10;&#10;Descripción generada automáticamente">
          <a:extLst>
            <a:ext uri="{FF2B5EF4-FFF2-40B4-BE49-F238E27FC236}">
              <a16:creationId xmlns:a16="http://schemas.microsoft.com/office/drawing/2014/main" id="{5BA59161-00D1-42D7-8F64-692962A48E9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4662" t="3624" r="87764" b="81834"/>
        <a:stretch>
          <a:fillRect/>
        </a:stretch>
      </xdr:blipFill>
      <xdr:spPr bwMode="auto">
        <a:xfrm>
          <a:off x="5572125" y="1952625"/>
          <a:ext cx="1030942" cy="1295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47627</xdr:colOff>
      <xdr:row>0</xdr:row>
      <xdr:rowOff>123826</xdr:rowOff>
    </xdr:from>
    <xdr:to>
      <xdr:col>0</xdr:col>
      <xdr:colOff>1344706</xdr:colOff>
      <xdr:row>2</xdr:row>
      <xdr:rowOff>119926</xdr:rowOff>
    </xdr:to>
    <xdr:pic>
      <xdr:nvPicPr>
        <xdr:cNvPr id="3" name="Imagen 2">
          <a:extLst>
            <a:ext uri="{FF2B5EF4-FFF2-40B4-BE49-F238E27FC236}">
              <a16:creationId xmlns:a16="http://schemas.microsoft.com/office/drawing/2014/main" id="{EB22191C-AB1A-4691-9E50-AE1110432EAC}"/>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2464" t="24437" r="74425"/>
        <a:stretch>
          <a:fillRect/>
        </a:stretch>
      </xdr:blipFill>
      <xdr:spPr bwMode="auto">
        <a:xfrm>
          <a:off x="47627" y="123826"/>
          <a:ext cx="1297079" cy="75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108</xdr:row>
      <xdr:rowOff>61232</xdr:rowOff>
    </xdr:from>
    <xdr:to>
      <xdr:col>1</xdr:col>
      <xdr:colOff>43543</xdr:colOff>
      <xdr:row>115</xdr:row>
      <xdr:rowOff>163285</xdr:rowOff>
    </xdr:to>
    <xdr:pic>
      <xdr:nvPicPr>
        <xdr:cNvPr id="4" name="image22.png">
          <a:extLst>
            <a:ext uri="{FF2B5EF4-FFF2-40B4-BE49-F238E27FC236}">
              <a16:creationId xmlns:a16="http://schemas.microsoft.com/office/drawing/2014/main" id="{665D1A96-2E5C-41D9-898E-8148A2370770}"/>
            </a:ext>
          </a:extLst>
        </xdr:cNvPr>
        <xdr:cNvPicPr/>
      </xdr:nvPicPr>
      <xdr:blipFill>
        <a:blip xmlns:r="http://schemas.openxmlformats.org/officeDocument/2006/relationships" r:embed="rId2"/>
        <a:srcRect l="17195" t="27513" r="22751" b="30688"/>
        <a:stretch>
          <a:fillRect/>
        </a:stretch>
      </xdr:blipFill>
      <xdr:spPr>
        <a:xfrm>
          <a:off x="0" y="6547757"/>
          <a:ext cx="1510393" cy="1378403"/>
        </a:xfrm>
        <a:prstGeom prst="rect">
          <a:avLst/>
        </a:prstGeom>
        <a:ln/>
      </xdr:spPr>
    </xdr:pic>
    <xdr:clientData/>
  </xdr:twoCellAnchor>
  <xdr:twoCellAnchor editAs="oneCell">
    <xdr:from>
      <xdr:col>7</xdr:col>
      <xdr:colOff>145676</xdr:colOff>
      <xdr:row>0</xdr:row>
      <xdr:rowOff>67235</xdr:rowOff>
    </xdr:from>
    <xdr:to>
      <xdr:col>7</xdr:col>
      <xdr:colOff>963705</xdr:colOff>
      <xdr:row>2</xdr:row>
      <xdr:rowOff>43239</xdr:rowOff>
    </xdr:to>
    <xdr:pic>
      <xdr:nvPicPr>
        <xdr:cNvPr id="5" name="Imagen 5" descr="Imagen que contiene Gráfico&#10;&#10;Descripción generada automáticamente">
          <a:extLst>
            <a:ext uri="{FF2B5EF4-FFF2-40B4-BE49-F238E27FC236}">
              <a16:creationId xmlns:a16="http://schemas.microsoft.com/office/drawing/2014/main" id="{690E7E36-D25A-4188-9BA4-ECCF06D49A6F}"/>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l="4662" t="3624" r="87764" b="81834"/>
        <a:stretch>
          <a:fillRect/>
        </a:stretch>
      </xdr:blipFill>
      <xdr:spPr bwMode="auto">
        <a:xfrm>
          <a:off x="10343029" y="67235"/>
          <a:ext cx="818029" cy="738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2.xml><?xml version="1.0" encoding="utf-8"?>
<xdr:wsDr xmlns:xdr="http://schemas.openxmlformats.org/drawingml/2006/spreadsheetDrawing" xmlns:a="http://schemas.openxmlformats.org/drawingml/2006/main">
  <xdr:twoCellAnchor>
    <xdr:from>
      <xdr:col>4</xdr:col>
      <xdr:colOff>704850</xdr:colOff>
      <xdr:row>192</xdr:row>
      <xdr:rowOff>0</xdr:rowOff>
    </xdr:from>
    <xdr:to>
      <xdr:col>4</xdr:col>
      <xdr:colOff>714375</xdr:colOff>
      <xdr:row>199</xdr:row>
      <xdr:rowOff>0</xdr:rowOff>
    </xdr:to>
    <xdr:sp macro="" textlink="">
      <xdr:nvSpPr>
        <xdr:cNvPr id="2" name="Line 2">
          <a:extLst>
            <a:ext uri="{FF2B5EF4-FFF2-40B4-BE49-F238E27FC236}">
              <a16:creationId xmlns:a16="http://schemas.microsoft.com/office/drawing/2014/main" id="{15EEA34F-6BAB-4D9D-96FF-B948B0C03E63}"/>
            </a:ext>
          </a:extLst>
        </xdr:cNvPr>
        <xdr:cNvSpPr>
          <a:spLocks noChangeShapeType="1"/>
        </xdr:cNvSpPr>
      </xdr:nvSpPr>
      <xdr:spPr bwMode="auto">
        <a:xfrm flipH="1">
          <a:off x="8915400" y="18992850"/>
          <a:ext cx="9525" cy="14001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581025</xdr:colOff>
      <xdr:row>192</xdr:row>
      <xdr:rowOff>0</xdr:rowOff>
    </xdr:from>
    <xdr:to>
      <xdr:col>6</xdr:col>
      <xdr:colOff>0</xdr:colOff>
      <xdr:row>199</xdr:row>
      <xdr:rowOff>0</xdr:rowOff>
    </xdr:to>
    <xdr:sp macro="" textlink="">
      <xdr:nvSpPr>
        <xdr:cNvPr id="3" name="Line 3">
          <a:extLst>
            <a:ext uri="{FF2B5EF4-FFF2-40B4-BE49-F238E27FC236}">
              <a16:creationId xmlns:a16="http://schemas.microsoft.com/office/drawing/2014/main" id="{F448667B-1C9D-4388-92A4-F015DA7D2B8A}"/>
            </a:ext>
          </a:extLst>
        </xdr:cNvPr>
        <xdr:cNvSpPr>
          <a:spLocks noChangeShapeType="1"/>
        </xdr:cNvSpPr>
      </xdr:nvSpPr>
      <xdr:spPr bwMode="auto">
        <a:xfrm>
          <a:off x="9953625" y="18992850"/>
          <a:ext cx="1695450" cy="14001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581025</xdr:colOff>
      <xdr:row>192</xdr:row>
      <xdr:rowOff>0</xdr:rowOff>
    </xdr:from>
    <xdr:to>
      <xdr:col>6</xdr:col>
      <xdr:colOff>0</xdr:colOff>
      <xdr:row>199</xdr:row>
      <xdr:rowOff>0</xdr:rowOff>
    </xdr:to>
    <xdr:sp macro="" textlink="">
      <xdr:nvSpPr>
        <xdr:cNvPr id="4" name="Line 4">
          <a:extLst>
            <a:ext uri="{FF2B5EF4-FFF2-40B4-BE49-F238E27FC236}">
              <a16:creationId xmlns:a16="http://schemas.microsoft.com/office/drawing/2014/main" id="{A33CBEA9-804C-4F05-96D7-BDA21A3AE69B}"/>
            </a:ext>
          </a:extLst>
        </xdr:cNvPr>
        <xdr:cNvSpPr>
          <a:spLocks noChangeShapeType="1"/>
        </xdr:cNvSpPr>
      </xdr:nvSpPr>
      <xdr:spPr bwMode="auto">
        <a:xfrm>
          <a:off x="9953625" y="18992850"/>
          <a:ext cx="1695450" cy="14001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314325</xdr:colOff>
      <xdr:row>192</xdr:row>
      <xdr:rowOff>0</xdr:rowOff>
    </xdr:from>
    <xdr:to>
      <xdr:col>6</xdr:col>
      <xdr:colOff>323850</xdr:colOff>
      <xdr:row>199</xdr:row>
      <xdr:rowOff>0</xdr:rowOff>
    </xdr:to>
    <xdr:sp macro="" textlink="">
      <xdr:nvSpPr>
        <xdr:cNvPr id="5" name="Line 5">
          <a:extLst>
            <a:ext uri="{FF2B5EF4-FFF2-40B4-BE49-F238E27FC236}">
              <a16:creationId xmlns:a16="http://schemas.microsoft.com/office/drawing/2014/main" id="{39A1147C-9D58-4E5E-8425-D6C73874588D}"/>
            </a:ext>
          </a:extLst>
        </xdr:cNvPr>
        <xdr:cNvSpPr>
          <a:spLocks noChangeShapeType="1"/>
        </xdr:cNvSpPr>
      </xdr:nvSpPr>
      <xdr:spPr bwMode="auto">
        <a:xfrm>
          <a:off x="11963400" y="18992850"/>
          <a:ext cx="9525" cy="14001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581025</xdr:colOff>
      <xdr:row>192</xdr:row>
      <xdr:rowOff>0</xdr:rowOff>
    </xdr:from>
    <xdr:to>
      <xdr:col>6</xdr:col>
      <xdr:colOff>0</xdr:colOff>
      <xdr:row>199</xdr:row>
      <xdr:rowOff>0</xdr:rowOff>
    </xdr:to>
    <xdr:sp macro="" textlink="">
      <xdr:nvSpPr>
        <xdr:cNvPr id="6" name="Line 6">
          <a:extLst>
            <a:ext uri="{FF2B5EF4-FFF2-40B4-BE49-F238E27FC236}">
              <a16:creationId xmlns:a16="http://schemas.microsoft.com/office/drawing/2014/main" id="{6E3F0555-FD53-450F-A50A-DF4B5AFD08C5}"/>
            </a:ext>
          </a:extLst>
        </xdr:cNvPr>
        <xdr:cNvSpPr>
          <a:spLocks noChangeShapeType="1"/>
        </xdr:cNvSpPr>
      </xdr:nvSpPr>
      <xdr:spPr bwMode="auto">
        <a:xfrm>
          <a:off x="9953625" y="18992850"/>
          <a:ext cx="1695450" cy="14001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76711E2C/PRESUPUESTO%202020%20ACUEDUCTO%20%20MIRADOR-TIERRAGRATA..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LEONARDO%20O&#209;ATE/ALCALDIA%20LA%20PAZ/WILSON%20RINCON/PROYECTOS/VIA%20SAN%20JOSE%20-%20LA%20DUDA/PRESUPUESTO%20VIA%20SAN%20JOS&#201;%20-%20LA%20DUD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LEONARDO%20O&#209;ATE/ALCALDIA%20LA%20PAZ/WILSON%20RINCON/PROYECTOS/GALPONES/PRESUPUESTO%20DE%20OBRA.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D:/LEONARDO%20O&#209;ATE/ALCALDIA%20LA%20PAZ/WILSON%20RINCON/PROYECTOS/JHON%20GALLEGOS/2026/2.%20EL%20SILENCIO/PRESUPUESTO/PRESUPUESTO%20VIA%20EL%20SILENCIO.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LEONARDO%20O&#209;ATE/ALCALDIA%20LA%20PAZ/WILSON%20RINCON/PROYECTOS/HORAS%20MAQUINAS/HORAS%20MAQUINAS%20-%20SAN%20JOS&#201;/PRESPUESTO%20HORAS%20MAQUINAS%20-%20SAN%20JOS&#20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76711E2C/PRESUPUESTO%20VIADUCTOS_DEF.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76711E2C/Presupuesto%20san%20jose%20de%20oriente%202017.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DO DE UNITARIOS"/>
      <sheetName val="ANALISIS UNITARIOS "/>
      <sheetName val="ANALISIS BASICOS E INSUMOS"/>
      <sheetName val="Hoja2"/>
      <sheetName val="Hoja1"/>
      <sheetName val="Hoja3"/>
      <sheetName val="MO"/>
      <sheetName val="presup acueducto"/>
      <sheetName val="MO OK"/>
      <sheetName val="presupuesto tierra grata"/>
      <sheetName val="presupusto aroca"/>
      <sheetName val="cotizacion tuberia pead"/>
      <sheetName val="PRESUPUESTO"/>
      <sheetName val="cadena de valor acued"/>
      <sheetName val="CAP 1,2,3,4,5"/>
      <sheetName val="CAP  6,7,8,9,10"/>
      <sheetName val="DESCAPOTE"/>
      <sheetName val="CRONOG DE OBRA Y FLUJO DE FONDO"/>
      <sheetName val="cadena valor acueducto"/>
      <sheetName val=" cant obra bocatoma"/>
      <sheetName val="cant obra aduccion"/>
      <sheetName val="cant obra desarenador"/>
      <sheetName val="cant obra conduccion"/>
      <sheetName val="cant obra redes internas"/>
      <sheetName val="cant obra tanque"/>
      <sheetName val="cant obra planta"/>
      <sheetName val="cant almacenamiento campamento"/>
      <sheetName val="cantidad obra viaducto"/>
      <sheetName val="VIADUCTO LINEA DE CONDUCCION"/>
      <sheetName val="APU VIADUCTO"/>
      <sheetName val="cantidades viaducto"/>
      <sheetName val="cantidades caseta"/>
      <sheetName val="MEMORIAS CANTIDADES DE OBRA"/>
      <sheetName val="apus acued"/>
      <sheetName val="APU APOYO TIERRA GRATA"/>
      <sheetName val="apu aroca"/>
      <sheetName val="APUS RESTOS PROYECTO"/>
      <sheetName val="APUS SISTEMA DE TRATAMIENTO"/>
      <sheetName val="total proy acued"/>
      <sheetName val="TOTAL PROYECTO"/>
      <sheetName val="interventoria acued"/>
      <sheetName val="INTERVENTORIA"/>
      <sheetName val="INTERVENTORIA OK"/>
      <sheetName val="factor mult acueduc"/>
      <sheetName val="FACTOR MULT"/>
      <sheetName val="FACTOR MULTIPLICADOR OK"/>
      <sheetName val="cronograma acueducto"/>
      <sheetName val="CRONOGRAMA ACTIVIDADES"/>
      <sheetName val="costo total acued"/>
      <sheetName val="costo total acueducto"/>
      <sheetName val="aiu acued"/>
      <sheetName val="AIU OK"/>
      <sheetName val="Cantidades mirador pvc"/>
      <sheetName val="A.I.U. "/>
    </sheetNames>
    <sheetDataSet>
      <sheetData sheetId="0"/>
      <sheetData sheetId="1"/>
      <sheetData sheetId="2"/>
      <sheetData sheetId="3"/>
      <sheetData sheetId="4"/>
      <sheetData sheetId="5"/>
      <sheetData sheetId="6">
        <row r="39">
          <cell r="K39">
            <v>22077.996018657534</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GRAL"/>
      <sheetName val="FLUJOGRAMA"/>
      <sheetName val="FACTOR PRESTACIONAL"/>
      <sheetName val="AIU"/>
      <sheetName val="PRESUPUESTO"/>
      <sheetName val="EQUIPO"/>
      <sheetName val="MATERIALES"/>
      <sheetName val="ANAL. PRESTAC."/>
      <sheetName val="OTROS"/>
      <sheetName val="BASICOS CONCRETOS"/>
      <sheetName val="ROCERIA"/>
      <sheetName val="APU"/>
      <sheetName val="CANTIDADES"/>
      <sheetName val="RELLENO"/>
      <sheetName val="200.2"/>
      <sheetName val="Localizacion-Replanteo SE"/>
      <sheetName val="201P"/>
      <sheetName val="201.12"/>
      <sheetName val="210.2"/>
      <sheetName val="211P"/>
      <sheetName val="220"/>
      <sheetName val="230.1"/>
      <sheetName val="230.2"/>
      <sheetName val="CONFORMACION DE CALZADA"/>
      <sheetName val="320"/>
      <sheetName val="500"/>
      <sheetName val="PLACA HUELLA"/>
      <sheetName val="PIEDRA PEGADA"/>
      <sheetName val="EXCAVACIONES"/>
      <sheetName val="RELLENOS"/>
      <sheetName val="630.1P"/>
      <sheetName val="630.3"/>
      <sheetName val="630.4 BATEAS"/>
      <sheetName val="CONCRETO 3000 PSI"/>
      <sheetName val="CONCRETO 2500 PSI"/>
      <sheetName val="BASES Y ALETAS"/>
      <sheetName val="CONCRETO SOLADOS"/>
      <sheetName val="CONCRETO CICLOPEO"/>
      <sheetName val="MOETERO 1,3"/>
      <sheetName val="631P"/>
      <sheetName val="ACERO DE REFUERZO"/>
      <sheetName val="ACERO DE REFUERZO 6O"/>
      <sheetName val="ALCANT"/>
      <sheetName val="TUBERIA 36&quot;"/>
      <sheetName val="660.2"/>
      <sheetName val="661 T - 2"/>
      <sheetName val="670"/>
      <sheetName val="CUNETAS EN CONCRETO"/>
      <sheetName val="681"/>
      <sheetName val="850.2P"/>
      <sheetName val="850.4.5P"/>
      <sheetName val="850.4.6P"/>
      <sheetName val="900.P"/>
      <sheetName val="900.3"/>
      <sheetName val="1000.1P"/>
      <sheetName val="1000.2P"/>
      <sheetName val="Hoja1"/>
      <sheetName val="Hoja2"/>
      <sheetName val="Hoja3"/>
      <sheetName val="CRONOGRAMA"/>
    </sheetNames>
    <sheetDataSet>
      <sheetData sheetId="0"/>
      <sheetData sheetId="1"/>
      <sheetData sheetId="2">
        <row r="37">
          <cell r="K37">
            <v>71.102000000000004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GENERAL "/>
      <sheetName val="AIU"/>
      <sheetName val="CANTIDAD pavim"/>
      <sheetName val="ANALISIS UNITARIOS"/>
      <sheetName val="CRONOGRAMA"/>
      <sheetName val="DISCRIMINACION DEL AIU"/>
      <sheetName val="PGIO"/>
      <sheetName val="INTERVENTORIA"/>
      <sheetName val="APU ALCANTARILLA"/>
      <sheetName val="210.1"/>
      <sheetName val="210.2.2"/>
      <sheetName val="320.1"/>
      <sheetName val="3"/>
      <sheetName val="900.1"/>
      <sheetName val="500.1"/>
      <sheetName val="630-07"/>
      <sheetName val="672.1"/>
      <sheetName val="640.1"/>
      <sheetName val="9"/>
      <sheetName val="4.1"/>
      <sheetName val="INSUMOS 1"/>
      <sheetName val="MO 1"/>
      <sheetName val="ANALISIS BASICOS 1"/>
    </sheetNames>
    <sheetDataSet>
      <sheetData sheetId="0">
        <row r="59">
          <cell r="G59">
            <v>385814820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1"/>
      <sheetName val="CRONOGRAMA"/>
      <sheetName val="H2"/>
      <sheetName val="PRESUPUESTO"/>
      <sheetName val="H4"/>
      <sheetName val="CANTIDADES"/>
      <sheetName val="AIU"/>
      <sheetName val="H3"/>
      <sheetName val="APU "/>
      <sheetName val="H5"/>
      <sheetName val="MANO DE OBRA"/>
      <sheetName val="PPTO 2"/>
      <sheetName val="APU 2"/>
      <sheetName val="Cantidad 2"/>
      <sheetName val="Cronograma 2"/>
      <sheetName val="APU VIADUCTO"/>
      <sheetName val="ANALISIS BASICOS E INSUMOS"/>
    </sheetNames>
    <sheetDataSet>
      <sheetData sheetId="0"/>
      <sheetData sheetId="1"/>
      <sheetData sheetId="2"/>
      <sheetData sheetId="3"/>
      <sheetData sheetId="4"/>
      <sheetData sheetId="5"/>
      <sheetData sheetId="6"/>
      <sheetData sheetId="7"/>
      <sheetData sheetId="8"/>
      <sheetData sheetId="9"/>
      <sheetData sheetId="10">
        <row r="58">
          <cell r="C58" t="str">
            <v>Oficial A Instalaciones</v>
          </cell>
        </row>
      </sheetData>
      <sheetData sheetId="11"/>
      <sheetData sheetId="12"/>
      <sheetData sheetId="13"/>
      <sheetData sheetId="14"/>
      <sheetData sheetId="15"/>
      <sheetData sheetId="16"/>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LUJOGRAMA"/>
      <sheetName val="CRONOGRAMA"/>
      <sheetName val="PRESUPUESTO"/>
      <sheetName val="AIU"/>
      <sheetName val="MEMORIA DE CANTIDADES"/>
      <sheetName val="PRES. Altern 1"/>
      <sheetName val="APU PAV."/>
      <sheetName val="MANO DE OBRA"/>
      <sheetName val="FACTOR PRESTACIONAL"/>
      <sheetName val="EQUIPOS - INVIAS"/>
      <sheetName val="CUADRO RESUMEN CANT"/>
      <sheetName val="CLL 2D ENTRE CRA 10 Y 11"/>
      <sheetName val="CLL 2F ENTRE CRA 11 Y 13"/>
      <sheetName val="CLL 3A ENTRE CRA 10 Y 13"/>
      <sheetName val="CLL 4B ENTRE CRA 5 Y 6"/>
      <sheetName val="CLL1 ENTRE CRA 7 Y 8"/>
      <sheetName val="CLL5 ENTRE CRA 6B Y 6C"/>
      <sheetName val="CRA 6 ENTRE CLL 5 Y 5A"/>
      <sheetName val="CRA 6B ENTRE CLL 5 Y 5A"/>
      <sheetName val="CRA 8 ENTRE CLL 1A Y CLL 1C"/>
      <sheetName val="CRA 12 A ENTRE CLL 3 Y 3A"/>
      <sheetName val="CRA 13 ENTRE CLL 3A Y 2F"/>
      <sheetName val="CARRERA 14 ENTRE CLL 2 Y CLL 2C"/>
      <sheetName val="CLL2 - CARRERA 14"/>
      <sheetName val="CARRERA 13 CALLE 2 Y CALLE 2C"/>
      <sheetName val="CALLE 2 ENTRE CARRERA 12 Y 13 "/>
      <sheetName val="PRESUPUESTO INTERVENTORIA"/>
      <sheetName val="GASTOS DE LEGALIZACION"/>
      <sheetName val="Hoja1"/>
    </sheetNames>
    <sheetDataSet>
      <sheetData sheetId="0"/>
      <sheetData sheetId="1"/>
      <sheetData sheetId="2"/>
      <sheetData sheetId="3"/>
      <sheetData sheetId="4"/>
      <sheetData sheetId="5"/>
      <sheetData sheetId="6"/>
      <sheetData sheetId="7"/>
      <sheetData sheetId="8">
        <row r="37">
          <cell r="K37">
            <v>71.102000000000004</v>
          </cell>
        </row>
      </sheetData>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VIADUCTO"/>
      <sheetName val="LINEA DE CONDUCCIÓN"/>
      <sheetName val="APU"/>
      <sheetName val="MO"/>
    </sheetNames>
    <sheetDataSet>
      <sheetData sheetId="0"/>
      <sheetData sheetId="1">
        <row r="6">
          <cell r="A6">
            <v>1.1000000000000001</v>
          </cell>
          <cell r="B6" t="str">
            <v>DESCAPOTE A MANUAL EN TERRENO COMUN, HASTA EXP .15 MT</v>
          </cell>
          <cell r="C6" t="str">
            <v>M2</v>
          </cell>
        </row>
        <row r="8">
          <cell r="A8">
            <v>2.1</v>
          </cell>
          <cell r="B8" t="str">
            <v xml:space="preserve">EXCAVACION MANUAL EN MATERIAL COMUN </v>
          </cell>
          <cell r="C8" t="str">
            <v>M3</v>
          </cell>
        </row>
        <row r="9">
          <cell r="A9">
            <v>2.2000000000000002</v>
          </cell>
          <cell r="B9" t="str">
            <v xml:space="preserve">EXCAVACION MANUAL EN ROCA </v>
          </cell>
          <cell r="C9" t="str">
            <v>M3</v>
          </cell>
        </row>
        <row r="10">
          <cell r="A10">
            <v>2.2999999999999998</v>
          </cell>
          <cell r="B10" t="str">
            <v>RELLENO SELECCIONADO CON MATERIAL DE LA MISMA EXCAVACION</v>
          </cell>
          <cell r="C10" t="str">
            <v>M3</v>
          </cell>
        </row>
        <row r="12">
          <cell r="A12">
            <v>3.1</v>
          </cell>
          <cell r="B12" t="str">
            <v>CONCRETO PARA SOLADO EN 2000 PSI</v>
          </cell>
          <cell r="C12" t="str">
            <v>M3</v>
          </cell>
        </row>
        <row r="13">
          <cell r="A13">
            <v>3.2</v>
          </cell>
          <cell r="B13" t="str">
            <v>CONCRETO DE 3000 PSI PARA ZAPATAS</v>
          </cell>
          <cell r="C13" t="str">
            <v>M3</v>
          </cell>
        </row>
        <row r="14">
          <cell r="A14">
            <v>3.3</v>
          </cell>
          <cell r="B14" t="str">
            <v>CONCRETO DE 3000 PSI PARA COLUMNAS Y VIGAS</v>
          </cell>
          <cell r="C14" t="str">
            <v>M3</v>
          </cell>
        </row>
        <row r="15">
          <cell r="A15">
            <v>3.4</v>
          </cell>
          <cell r="B15" t="str">
            <v>ACERO DE REFUERZO DE 60,000 PSI</v>
          </cell>
          <cell r="C15" t="str">
            <v>Kg</v>
          </cell>
        </row>
      </sheetData>
      <sheetData sheetId="2"/>
      <sheetData sheetId="3">
        <row r="76">
          <cell r="D76">
            <v>169766.99325073973</v>
          </cell>
        </row>
        <row r="77">
          <cell r="D77">
            <v>21220.874156342466</v>
          </cell>
        </row>
        <row r="100">
          <cell r="D100">
            <v>15418.533395237671</v>
          </cell>
        </row>
      </sheetData>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2)"/>
      <sheetName val="Hoja8"/>
      <sheetName val="Presupuesto"/>
      <sheetName val="Base Datos"/>
      <sheetName val="APU"/>
      <sheetName val="Hoja1"/>
      <sheetName val="m.o san jose"/>
      <sheetName val="Hoja3"/>
      <sheetName val="Insumos"/>
      <sheetName val="Hoja4"/>
      <sheetName val="Hoja5"/>
      <sheetName val="Hoja6"/>
      <sheetName val="AIU"/>
      <sheetName val="Bocatoma"/>
      <sheetName val="Aduccion"/>
      <sheetName val="Desarenador"/>
      <sheetName val="Linea de Conducción"/>
      <sheetName val="Redes Internas"/>
      <sheetName val="Tanque"/>
      <sheetName val="Planta"/>
      <sheetName val="Hoja7"/>
    </sheetNames>
    <sheetDataSet>
      <sheetData sheetId="0" refreshError="1"/>
      <sheetData sheetId="1" refreshError="1"/>
      <sheetData sheetId="2" refreshError="1"/>
      <sheetData sheetId="3" refreshError="1">
        <row r="6">
          <cell r="C6">
            <v>243599.99999999997</v>
          </cell>
        </row>
        <row r="16">
          <cell r="C16">
            <v>30</v>
          </cell>
        </row>
        <row r="17">
          <cell r="C17">
            <v>680</v>
          </cell>
        </row>
        <row r="18">
          <cell r="C18">
            <v>75000</v>
          </cell>
        </row>
        <row r="19">
          <cell r="C19">
            <v>60000</v>
          </cell>
        </row>
        <row r="22">
          <cell r="C22">
            <v>3610</v>
          </cell>
        </row>
        <row r="23">
          <cell r="C23">
            <v>3200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12.xml"/><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187"/>
  <sheetViews>
    <sheetView view="pageBreakPreview" zoomScale="70" zoomScaleNormal="70" zoomScaleSheetLayoutView="70" workbookViewId="0">
      <selection activeCell="F10" sqref="F10"/>
    </sheetView>
  </sheetViews>
  <sheetFormatPr baseColWidth="10" defaultRowHeight="13"/>
  <cols>
    <col min="1" max="1" width="27.3984375" customWidth="1"/>
    <col min="4" max="4" width="16.796875" customWidth="1"/>
    <col min="7" max="7" width="14.796875" customWidth="1"/>
  </cols>
  <sheetData>
    <row r="1" spans="1:7">
      <c r="A1" s="338"/>
      <c r="B1" s="339"/>
      <c r="C1" s="339"/>
      <c r="D1" s="339"/>
      <c r="E1" s="339"/>
      <c r="F1" s="339"/>
      <c r="G1" s="340"/>
    </row>
    <row r="2" spans="1:7">
      <c r="A2" s="341"/>
      <c r="G2" s="342"/>
    </row>
    <row r="3" spans="1:7">
      <c r="A3" s="341"/>
      <c r="G3" s="342"/>
    </row>
    <row r="4" spans="1:7">
      <c r="A4" s="341"/>
      <c r="G4" s="342"/>
    </row>
    <row r="5" spans="1:7">
      <c r="A5" s="341"/>
      <c r="G5" s="342"/>
    </row>
    <row r="6" spans="1:7">
      <c r="A6" s="341"/>
      <c r="G6" s="342"/>
    </row>
    <row r="7" spans="1:7" ht="118.5" customHeight="1">
      <c r="A7" s="640"/>
      <c r="B7" s="643" t="s">
        <v>752</v>
      </c>
      <c r="C7" s="644"/>
      <c r="D7" s="644"/>
      <c r="E7" s="645"/>
      <c r="F7" s="646"/>
      <c r="G7" s="647"/>
    </row>
    <row r="8" spans="1:7" ht="37.5" customHeight="1">
      <c r="A8" s="641"/>
      <c r="B8" s="643" t="s">
        <v>610</v>
      </c>
      <c r="C8" s="644"/>
      <c r="D8" s="644"/>
      <c r="E8" s="645"/>
      <c r="F8" s="648"/>
      <c r="G8" s="649"/>
    </row>
    <row r="9" spans="1:7" ht="39.75" customHeight="1">
      <c r="A9" s="642"/>
      <c r="B9" s="643" t="s">
        <v>611</v>
      </c>
      <c r="C9" s="644"/>
      <c r="D9" s="644"/>
      <c r="E9" s="645"/>
      <c r="F9" s="650"/>
      <c r="G9" s="651"/>
    </row>
    <row r="10" spans="1:7" ht="16.5" customHeight="1">
      <c r="A10" s="341"/>
      <c r="G10" s="342"/>
    </row>
    <row r="11" spans="1:7" ht="16.5" customHeight="1">
      <c r="A11" s="341"/>
      <c r="G11" s="342"/>
    </row>
    <row r="12" spans="1:7">
      <c r="A12" s="341"/>
      <c r="G12" s="342"/>
    </row>
    <row r="13" spans="1:7" ht="15" customHeight="1">
      <c r="A13" s="637"/>
      <c r="B13" s="638"/>
      <c r="C13" s="638"/>
      <c r="D13" s="638"/>
      <c r="E13" s="638"/>
      <c r="F13" s="638"/>
      <c r="G13" s="639"/>
    </row>
    <row r="14" spans="1:7" ht="15" customHeight="1">
      <c r="A14" s="637"/>
      <c r="B14" s="638"/>
      <c r="C14" s="638"/>
      <c r="D14" s="638"/>
      <c r="E14" s="638"/>
      <c r="F14" s="638"/>
      <c r="G14" s="639"/>
    </row>
    <row r="15" spans="1:7" ht="15" customHeight="1">
      <c r="A15" s="637"/>
      <c r="B15" s="638"/>
      <c r="C15" s="638"/>
      <c r="D15" s="638"/>
      <c r="E15" s="638"/>
      <c r="F15" s="638"/>
      <c r="G15" s="639"/>
    </row>
    <row r="16" spans="1:7" ht="15" customHeight="1">
      <c r="A16" s="637"/>
      <c r="B16" s="638"/>
      <c r="C16" s="638"/>
      <c r="D16" s="638"/>
      <c r="E16" s="638"/>
      <c r="F16" s="638"/>
      <c r="G16" s="639"/>
    </row>
    <row r="17" spans="1:7" ht="15" customHeight="1">
      <c r="A17" s="637"/>
      <c r="B17" s="638"/>
      <c r="C17" s="638"/>
      <c r="D17" s="638"/>
      <c r="E17" s="638"/>
      <c r="F17" s="638"/>
      <c r="G17" s="639"/>
    </row>
    <row r="18" spans="1:7">
      <c r="A18" s="341"/>
      <c r="G18" s="342"/>
    </row>
    <row r="19" spans="1:7">
      <c r="A19" s="341"/>
      <c r="G19" s="342"/>
    </row>
    <row r="20" spans="1:7">
      <c r="A20" s="341"/>
      <c r="G20" s="342"/>
    </row>
    <row r="21" spans="1:7">
      <c r="A21" s="637" t="s">
        <v>612</v>
      </c>
      <c r="B21" s="638"/>
      <c r="C21" s="638"/>
      <c r="D21" s="638"/>
      <c r="E21" s="638"/>
      <c r="F21" s="638"/>
      <c r="G21" s="639"/>
    </row>
    <row r="22" spans="1:7">
      <c r="A22" s="637"/>
      <c r="B22" s="638"/>
      <c r="C22" s="638"/>
      <c r="D22" s="638"/>
      <c r="E22" s="638"/>
      <c r="F22" s="638"/>
      <c r="G22" s="639"/>
    </row>
    <row r="23" spans="1:7">
      <c r="A23" s="637"/>
      <c r="B23" s="638"/>
      <c r="C23" s="638"/>
      <c r="D23" s="638"/>
      <c r="E23" s="638"/>
      <c r="F23" s="638"/>
      <c r="G23" s="639"/>
    </row>
    <row r="24" spans="1:7">
      <c r="A24" s="637"/>
      <c r="B24" s="638"/>
      <c r="C24" s="638"/>
      <c r="D24" s="638"/>
      <c r="E24" s="638"/>
      <c r="F24" s="638"/>
      <c r="G24" s="639"/>
    </row>
    <row r="25" spans="1:7">
      <c r="A25" s="637"/>
      <c r="B25" s="638"/>
      <c r="C25" s="638"/>
      <c r="D25" s="638"/>
      <c r="E25" s="638"/>
      <c r="F25" s="638"/>
      <c r="G25" s="639"/>
    </row>
    <row r="26" spans="1:7">
      <c r="A26" s="341"/>
      <c r="G26" s="342"/>
    </row>
    <row r="27" spans="1:7">
      <c r="A27" s="341"/>
      <c r="G27" s="342"/>
    </row>
    <row r="28" spans="1:7">
      <c r="A28" s="341"/>
      <c r="G28" s="342"/>
    </row>
    <row r="29" spans="1:7">
      <c r="A29" s="341"/>
      <c r="G29" s="342"/>
    </row>
    <row r="30" spans="1:7">
      <c r="A30" s="341"/>
      <c r="G30" s="342"/>
    </row>
    <row r="31" spans="1:7">
      <c r="A31" s="341"/>
      <c r="G31" s="342"/>
    </row>
    <row r="32" spans="1:7">
      <c r="A32" s="341"/>
      <c r="G32" s="342"/>
    </row>
    <row r="33" spans="1:7">
      <c r="A33" s="341"/>
      <c r="G33" s="342"/>
    </row>
    <row r="34" spans="1:7">
      <c r="A34" s="341"/>
      <c r="G34" s="342"/>
    </row>
    <row r="35" spans="1:7">
      <c r="A35" s="341"/>
      <c r="G35" s="342"/>
    </row>
    <row r="36" spans="1:7">
      <c r="A36" s="341"/>
      <c r="G36" s="342"/>
    </row>
    <row r="37" spans="1:7" ht="14" thickBot="1">
      <c r="A37" s="343"/>
      <c r="B37" s="307"/>
      <c r="C37" s="307"/>
      <c r="D37" s="307"/>
      <c r="E37" s="307"/>
      <c r="F37" s="307"/>
      <c r="G37" s="344"/>
    </row>
    <row r="38" spans="1:7">
      <c r="A38" s="341"/>
      <c r="G38" s="342"/>
    </row>
    <row r="39" spans="1:7">
      <c r="A39" s="341"/>
      <c r="G39" s="342"/>
    </row>
    <row r="40" spans="1:7">
      <c r="A40" s="341"/>
      <c r="G40" s="342"/>
    </row>
    <row r="41" spans="1:7">
      <c r="A41" s="341"/>
      <c r="G41" s="342"/>
    </row>
    <row r="42" spans="1:7">
      <c r="A42" s="341"/>
      <c r="G42" s="342"/>
    </row>
    <row r="43" spans="1:7">
      <c r="A43" s="341"/>
      <c r="G43" s="342"/>
    </row>
    <row r="44" spans="1:7">
      <c r="A44" s="341"/>
      <c r="G44" s="342"/>
    </row>
    <row r="45" spans="1:7">
      <c r="A45" s="341"/>
      <c r="G45" s="342"/>
    </row>
    <row r="46" spans="1:7" ht="14" thickBot="1">
      <c r="A46" s="343"/>
      <c r="B46" s="307"/>
      <c r="C46" s="307"/>
      <c r="D46" s="307"/>
      <c r="E46" s="307"/>
      <c r="F46" s="307"/>
      <c r="G46" s="344"/>
    </row>
    <row r="47" spans="1:7">
      <c r="A47" s="341"/>
      <c r="G47" s="342"/>
    </row>
    <row r="48" spans="1:7">
      <c r="A48" s="341"/>
      <c r="G48" s="342"/>
    </row>
    <row r="49" spans="1:7">
      <c r="A49" s="341"/>
      <c r="G49" s="342"/>
    </row>
    <row r="50" spans="1:7">
      <c r="A50" s="341"/>
      <c r="G50" s="342"/>
    </row>
    <row r="51" spans="1:7">
      <c r="A51" s="341"/>
      <c r="G51" s="342"/>
    </row>
    <row r="52" spans="1:7">
      <c r="A52" s="341"/>
      <c r="G52" s="342"/>
    </row>
    <row r="53" spans="1:7">
      <c r="A53" s="341"/>
      <c r="G53" s="342"/>
    </row>
    <row r="54" spans="1:7">
      <c r="A54" s="341"/>
      <c r="G54" s="342"/>
    </row>
    <row r="55" spans="1:7">
      <c r="A55" s="341"/>
      <c r="G55" s="342"/>
    </row>
    <row r="56" spans="1:7">
      <c r="A56" s="341"/>
      <c r="G56" s="342"/>
    </row>
    <row r="57" spans="1:7">
      <c r="A57" s="341"/>
      <c r="G57" s="342"/>
    </row>
    <row r="58" spans="1:7">
      <c r="A58" s="341"/>
      <c r="G58" s="342"/>
    </row>
    <row r="59" spans="1:7">
      <c r="A59" s="341"/>
      <c r="G59" s="342"/>
    </row>
    <row r="60" spans="1:7">
      <c r="A60" s="341"/>
      <c r="G60" s="342"/>
    </row>
    <row r="61" spans="1:7">
      <c r="A61" s="341"/>
      <c r="G61" s="342"/>
    </row>
    <row r="62" spans="1:7">
      <c r="A62" s="341"/>
      <c r="G62" s="342"/>
    </row>
    <row r="63" spans="1:7">
      <c r="A63" s="341"/>
      <c r="G63" s="342"/>
    </row>
    <row r="64" spans="1:7">
      <c r="A64" s="341"/>
      <c r="G64" s="342"/>
    </row>
    <row r="65" spans="1:7">
      <c r="A65" s="341"/>
      <c r="G65" s="342"/>
    </row>
    <row r="66" spans="1:7">
      <c r="A66" s="341"/>
      <c r="G66" s="342"/>
    </row>
    <row r="67" spans="1:7">
      <c r="A67" s="341"/>
      <c r="G67" s="342"/>
    </row>
    <row r="68" spans="1:7">
      <c r="A68" s="341"/>
      <c r="G68" s="342"/>
    </row>
    <row r="69" spans="1:7">
      <c r="A69" s="341"/>
      <c r="G69" s="342"/>
    </row>
    <row r="70" spans="1:7">
      <c r="A70" s="341"/>
      <c r="G70" s="342"/>
    </row>
    <row r="71" spans="1:7">
      <c r="A71" s="341"/>
      <c r="G71" s="342"/>
    </row>
    <row r="72" spans="1:7">
      <c r="A72" s="341"/>
      <c r="G72" s="342"/>
    </row>
    <row r="73" spans="1:7">
      <c r="A73" s="341"/>
      <c r="G73" s="342"/>
    </row>
    <row r="74" spans="1:7">
      <c r="A74" s="341"/>
      <c r="G74" s="342"/>
    </row>
    <row r="75" spans="1:7">
      <c r="A75" s="341"/>
      <c r="G75" s="342"/>
    </row>
    <row r="76" spans="1:7">
      <c r="A76" s="341"/>
      <c r="G76" s="342"/>
    </row>
    <row r="77" spans="1:7">
      <c r="A77" s="341"/>
      <c r="G77" s="342"/>
    </row>
    <row r="78" spans="1:7">
      <c r="A78" s="341"/>
      <c r="G78" s="342"/>
    </row>
    <row r="79" spans="1:7">
      <c r="A79" s="341"/>
      <c r="G79" s="342"/>
    </row>
    <row r="80" spans="1:7">
      <c r="A80" s="341"/>
      <c r="G80" s="342"/>
    </row>
    <row r="81" spans="1:7">
      <c r="A81" s="341"/>
      <c r="G81" s="342"/>
    </row>
    <row r="82" spans="1:7">
      <c r="A82" s="341"/>
      <c r="G82" s="342"/>
    </row>
    <row r="83" spans="1:7">
      <c r="A83" s="341"/>
      <c r="G83" s="342"/>
    </row>
    <row r="84" spans="1:7">
      <c r="A84" s="341"/>
      <c r="G84" s="342"/>
    </row>
    <row r="85" spans="1:7">
      <c r="A85" s="341"/>
      <c r="G85" s="342"/>
    </row>
    <row r="86" spans="1:7">
      <c r="A86" s="341"/>
      <c r="G86" s="342"/>
    </row>
    <row r="87" spans="1:7">
      <c r="A87" s="341"/>
      <c r="G87" s="342"/>
    </row>
    <row r="88" spans="1:7">
      <c r="A88" s="341"/>
      <c r="G88" s="342"/>
    </row>
    <row r="89" spans="1:7">
      <c r="A89" s="341"/>
      <c r="G89" s="342"/>
    </row>
    <row r="90" spans="1:7">
      <c r="A90" s="341"/>
      <c r="G90" s="342"/>
    </row>
    <row r="91" spans="1:7">
      <c r="A91" s="341"/>
      <c r="G91" s="342"/>
    </row>
    <row r="92" spans="1:7">
      <c r="A92" s="341"/>
      <c r="G92" s="342"/>
    </row>
    <row r="93" spans="1:7">
      <c r="A93" s="341"/>
      <c r="G93" s="342"/>
    </row>
    <row r="94" spans="1:7">
      <c r="A94" s="341"/>
      <c r="G94" s="342"/>
    </row>
    <row r="95" spans="1:7">
      <c r="A95" s="341"/>
      <c r="G95" s="342"/>
    </row>
    <row r="96" spans="1:7">
      <c r="A96" s="341"/>
      <c r="G96" s="342"/>
    </row>
    <row r="97" spans="1:7">
      <c r="A97" s="341"/>
      <c r="G97" s="342"/>
    </row>
    <row r="98" spans="1:7">
      <c r="A98" s="341"/>
      <c r="G98" s="342"/>
    </row>
    <row r="99" spans="1:7">
      <c r="A99" s="341"/>
      <c r="G99" s="342"/>
    </row>
    <row r="100" spans="1:7">
      <c r="A100" s="341"/>
      <c r="G100" s="342"/>
    </row>
    <row r="101" spans="1:7">
      <c r="A101" s="341"/>
      <c r="G101" s="342"/>
    </row>
    <row r="102" spans="1:7">
      <c r="A102" s="341"/>
      <c r="G102" s="342"/>
    </row>
    <row r="103" spans="1:7">
      <c r="A103" s="341"/>
      <c r="G103" s="342"/>
    </row>
    <row r="104" spans="1:7">
      <c r="A104" s="341"/>
      <c r="G104" s="342"/>
    </row>
    <row r="105" spans="1:7">
      <c r="A105" s="341"/>
      <c r="G105" s="342"/>
    </row>
    <row r="106" spans="1:7">
      <c r="A106" s="341"/>
      <c r="G106" s="342"/>
    </row>
    <row r="107" spans="1:7">
      <c r="A107" s="341"/>
      <c r="G107" s="342"/>
    </row>
    <row r="108" spans="1:7">
      <c r="A108" s="341"/>
      <c r="G108" s="342"/>
    </row>
    <row r="109" spans="1:7">
      <c r="A109" s="341"/>
      <c r="G109" s="342"/>
    </row>
    <row r="110" spans="1:7">
      <c r="A110" s="341"/>
      <c r="G110" s="342"/>
    </row>
    <row r="111" spans="1:7">
      <c r="A111" s="341"/>
      <c r="G111" s="342"/>
    </row>
    <row r="112" spans="1:7">
      <c r="A112" s="341"/>
      <c r="G112" s="342"/>
    </row>
    <row r="113" spans="1:7">
      <c r="A113" s="341"/>
      <c r="G113" s="342"/>
    </row>
    <row r="114" spans="1:7">
      <c r="A114" s="341"/>
      <c r="G114" s="342"/>
    </row>
    <row r="115" spans="1:7">
      <c r="A115" s="341"/>
      <c r="G115" s="342"/>
    </row>
    <row r="116" spans="1:7">
      <c r="A116" s="341"/>
      <c r="G116" s="342"/>
    </row>
    <row r="117" spans="1:7">
      <c r="A117" s="341"/>
      <c r="G117" s="342"/>
    </row>
    <row r="118" spans="1:7">
      <c r="A118" s="341"/>
      <c r="G118" s="342"/>
    </row>
    <row r="119" spans="1:7">
      <c r="A119" s="341"/>
      <c r="G119" s="342"/>
    </row>
    <row r="120" spans="1:7">
      <c r="A120" s="341"/>
      <c r="G120" s="342"/>
    </row>
    <row r="121" spans="1:7">
      <c r="A121" s="341"/>
      <c r="G121" s="342"/>
    </row>
    <row r="122" spans="1:7">
      <c r="A122" s="341"/>
      <c r="G122" s="342"/>
    </row>
    <row r="123" spans="1:7">
      <c r="A123" s="341"/>
      <c r="G123" s="342"/>
    </row>
    <row r="124" spans="1:7">
      <c r="A124" s="341"/>
      <c r="G124" s="342"/>
    </row>
    <row r="125" spans="1:7">
      <c r="A125" s="341"/>
      <c r="G125" s="342"/>
    </row>
    <row r="126" spans="1:7">
      <c r="A126" s="341"/>
      <c r="G126" s="342"/>
    </row>
    <row r="127" spans="1:7">
      <c r="A127" s="341"/>
      <c r="G127" s="342"/>
    </row>
    <row r="128" spans="1:7">
      <c r="A128" s="341"/>
      <c r="G128" s="342"/>
    </row>
    <row r="129" spans="1:7">
      <c r="A129" s="341"/>
      <c r="G129" s="342"/>
    </row>
    <row r="130" spans="1:7">
      <c r="A130" s="341"/>
      <c r="G130" s="342"/>
    </row>
    <row r="131" spans="1:7">
      <c r="A131" s="341"/>
      <c r="G131" s="342"/>
    </row>
    <row r="132" spans="1:7">
      <c r="A132" s="341"/>
      <c r="G132" s="342"/>
    </row>
    <row r="133" spans="1:7">
      <c r="A133" s="341"/>
      <c r="G133" s="342"/>
    </row>
    <row r="134" spans="1:7">
      <c r="A134" s="341"/>
      <c r="G134" s="342"/>
    </row>
    <row r="135" spans="1:7">
      <c r="A135" s="341"/>
      <c r="G135" s="342"/>
    </row>
    <row r="136" spans="1:7">
      <c r="A136" s="341"/>
      <c r="G136" s="342"/>
    </row>
    <row r="137" spans="1:7">
      <c r="A137" s="341"/>
      <c r="G137" s="342"/>
    </row>
    <row r="138" spans="1:7">
      <c r="A138" s="341"/>
      <c r="G138" s="342"/>
    </row>
    <row r="139" spans="1:7">
      <c r="A139" s="341"/>
      <c r="G139" s="342"/>
    </row>
    <row r="140" spans="1:7">
      <c r="A140" s="341"/>
      <c r="G140" s="342"/>
    </row>
    <row r="141" spans="1:7">
      <c r="A141" s="341"/>
      <c r="G141" s="342"/>
    </row>
    <row r="142" spans="1:7">
      <c r="A142" s="341"/>
      <c r="G142" s="342"/>
    </row>
    <row r="143" spans="1:7">
      <c r="A143" s="341"/>
      <c r="G143" s="342"/>
    </row>
    <row r="144" spans="1:7">
      <c r="A144" s="341"/>
      <c r="G144" s="342"/>
    </row>
    <row r="145" spans="1:7">
      <c r="A145" s="341"/>
      <c r="G145" s="342"/>
    </row>
    <row r="146" spans="1:7">
      <c r="A146" s="341"/>
      <c r="G146" s="342"/>
    </row>
    <row r="147" spans="1:7">
      <c r="A147" s="341"/>
      <c r="G147" s="342"/>
    </row>
    <row r="148" spans="1:7">
      <c r="A148" s="341"/>
      <c r="G148" s="342"/>
    </row>
    <row r="149" spans="1:7">
      <c r="A149" s="341"/>
      <c r="G149" s="342"/>
    </row>
    <row r="150" spans="1:7">
      <c r="A150" s="341"/>
      <c r="G150" s="342"/>
    </row>
    <row r="151" spans="1:7">
      <c r="A151" s="341"/>
      <c r="G151" s="342"/>
    </row>
    <row r="152" spans="1:7">
      <c r="A152" s="341"/>
      <c r="G152" s="342"/>
    </row>
    <row r="153" spans="1:7">
      <c r="A153" s="341"/>
      <c r="G153" s="342"/>
    </row>
    <row r="154" spans="1:7">
      <c r="A154" s="341"/>
      <c r="G154" s="342"/>
    </row>
    <row r="155" spans="1:7">
      <c r="A155" s="341"/>
      <c r="G155" s="342"/>
    </row>
    <row r="156" spans="1:7">
      <c r="A156" s="341"/>
      <c r="G156" s="342"/>
    </row>
    <row r="157" spans="1:7">
      <c r="A157" s="341"/>
      <c r="G157" s="342"/>
    </row>
    <row r="158" spans="1:7">
      <c r="A158" s="341"/>
      <c r="G158" s="342"/>
    </row>
    <row r="159" spans="1:7">
      <c r="A159" s="341"/>
      <c r="G159" s="342"/>
    </row>
    <row r="160" spans="1:7">
      <c r="A160" s="341"/>
      <c r="G160" s="342"/>
    </row>
    <row r="161" spans="1:7">
      <c r="A161" s="341"/>
      <c r="G161" s="342"/>
    </row>
    <row r="162" spans="1:7">
      <c r="A162" s="341"/>
      <c r="G162" s="342"/>
    </row>
    <row r="163" spans="1:7">
      <c r="A163" s="341"/>
      <c r="G163" s="342"/>
    </row>
    <row r="164" spans="1:7">
      <c r="A164" s="341"/>
      <c r="G164" s="342"/>
    </row>
    <row r="165" spans="1:7">
      <c r="A165" s="341"/>
      <c r="G165" s="342"/>
    </row>
    <row r="166" spans="1:7">
      <c r="A166" s="341"/>
      <c r="G166" s="342"/>
    </row>
    <row r="167" spans="1:7">
      <c r="A167" s="341"/>
      <c r="G167" s="342"/>
    </row>
    <row r="168" spans="1:7">
      <c r="A168" s="341"/>
      <c r="G168" s="342"/>
    </row>
    <row r="169" spans="1:7">
      <c r="A169" s="341"/>
      <c r="G169" s="342"/>
    </row>
    <row r="170" spans="1:7">
      <c r="A170" s="341"/>
      <c r="G170" s="342"/>
    </row>
    <row r="171" spans="1:7">
      <c r="A171" s="341"/>
      <c r="G171" s="342"/>
    </row>
    <row r="172" spans="1:7">
      <c r="A172" s="341"/>
      <c r="G172" s="342"/>
    </row>
    <row r="173" spans="1:7">
      <c r="A173" s="341"/>
      <c r="G173" s="342"/>
    </row>
    <row r="174" spans="1:7">
      <c r="A174" s="341"/>
      <c r="G174" s="342"/>
    </row>
    <row r="175" spans="1:7">
      <c r="A175" s="341"/>
      <c r="G175" s="342"/>
    </row>
    <row r="176" spans="1:7">
      <c r="A176" s="341"/>
      <c r="G176" s="342"/>
    </row>
    <row r="177" spans="1:7">
      <c r="A177" s="341"/>
      <c r="G177" s="342"/>
    </row>
    <row r="178" spans="1:7">
      <c r="A178" s="341"/>
      <c r="G178" s="342"/>
    </row>
    <row r="179" spans="1:7">
      <c r="A179" s="341"/>
      <c r="G179" s="342"/>
    </row>
    <row r="180" spans="1:7">
      <c r="A180" s="341"/>
      <c r="G180" s="342"/>
    </row>
    <row r="181" spans="1:7">
      <c r="A181" s="341"/>
      <c r="G181" s="342"/>
    </row>
    <row r="182" spans="1:7">
      <c r="A182" s="341"/>
      <c r="G182" s="342"/>
    </row>
    <row r="183" spans="1:7">
      <c r="A183" s="341"/>
      <c r="G183" s="342"/>
    </row>
    <row r="184" spans="1:7">
      <c r="A184" s="341"/>
      <c r="G184" s="342"/>
    </row>
    <row r="185" spans="1:7">
      <c r="A185" s="341"/>
      <c r="G185" s="342"/>
    </row>
    <row r="186" spans="1:7">
      <c r="A186" s="341"/>
      <c r="G186" s="342"/>
    </row>
    <row r="187" spans="1:7" ht="14" thickBot="1">
      <c r="A187" s="343"/>
      <c r="B187" s="307"/>
      <c r="C187" s="307"/>
      <c r="D187" s="307"/>
      <c r="E187" s="307"/>
      <c r="F187" s="307"/>
      <c r="G187" s="344"/>
    </row>
  </sheetData>
  <mergeCells count="7">
    <mergeCell ref="A21:G25"/>
    <mergeCell ref="A7:A9"/>
    <mergeCell ref="B7:E7"/>
    <mergeCell ref="F7:G9"/>
    <mergeCell ref="B8:E8"/>
    <mergeCell ref="B9:E9"/>
    <mergeCell ref="A13:G17"/>
  </mergeCells>
  <pageMargins left="0.7" right="0.7" top="0.75" bottom="0.75" header="0.3" footer="0.3"/>
  <pageSetup scale="87"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L74"/>
  <sheetViews>
    <sheetView view="pageBreakPreview" topLeftCell="A4" zoomScale="70" zoomScaleNormal="55" zoomScaleSheetLayoutView="70" workbookViewId="0">
      <selection activeCell="B20" sqref="B20"/>
    </sheetView>
  </sheetViews>
  <sheetFormatPr baseColWidth="10" defaultRowHeight="23"/>
  <cols>
    <col min="1" max="1" width="26.19921875" style="353" customWidth="1"/>
    <col min="2" max="2" width="69" style="353" customWidth="1"/>
    <col min="3" max="3" width="29.796875" style="354" bestFit="1" customWidth="1"/>
    <col min="4" max="4" width="21.796875" style="353" bestFit="1" customWidth="1"/>
    <col min="5" max="7" width="21.796875" style="353" customWidth="1"/>
    <col min="8" max="8" width="22.796875" style="353" bestFit="1" customWidth="1"/>
    <col min="9" max="9" width="23.59765625" style="353" bestFit="1" customWidth="1"/>
    <col min="10" max="10" width="3.796875" style="355" customWidth="1"/>
    <col min="11" max="11" width="23.59765625" style="353" bestFit="1" customWidth="1"/>
    <col min="12" max="12" width="15" style="353" customWidth="1"/>
    <col min="13" max="225" width="11.3984375" style="346"/>
    <col min="226" max="226" width="26.19921875" style="346" customWidth="1"/>
    <col min="227" max="227" width="69" style="346" customWidth="1"/>
    <col min="228" max="228" width="23" style="346" bestFit="1" customWidth="1"/>
    <col min="229" max="229" width="16" style="346" customWidth="1"/>
    <col min="230" max="231" width="14.19921875" style="346" bestFit="1" customWidth="1"/>
    <col min="232" max="232" width="14" style="346" customWidth="1"/>
    <col min="233" max="233" width="14.19921875" style="346" bestFit="1" customWidth="1"/>
    <col min="234" max="235" width="15" style="346" bestFit="1" customWidth="1"/>
    <col min="236" max="236" width="13" style="346" bestFit="1" customWidth="1"/>
    <col min="237" max="259" width="11.3984375" style="346"/>
    <col min="260" max="260" width="13.796875" style="346" bestFit="1" customWidth="1"/>
    <col min="261" max="481" width="11.3984375" style="346"/>
    <col min="482" max="482" width="26.19921875" style="346" customWidth="1"/>
    <col min="483" max="483" width="69" style="346" customWidth="1"/>
    <col min="484" max="484" width="23" style="346" bestFit="1" customWidth="1"/>
    <col min="485" max="485" width="16" style="346" customWidth="1"/>
    <col min="486" max="487" width="14.19921875" style="346" bestFit="1" customWidth="1"/>
    <col min="488" max="488" width="14" style="346" customWidth="1"/>
    <col min="489" max="489" width="14.19921875" style="346" bestFit="1" customWidth="1"/>
    <col min="490" max="491" width="15" style="346" bestFit="1" customWidth="1"/>
    <col min="492" max="492" width="13" style="346" bestFit="1" customWidth="1"/>
    <col min="493" max="515" width="11.3984375" style="346"/>
    <col min="516" max="516" width="13.796875" style="346" bestFit="1" customWidth="1"/>
    <col min="517" max="737" width="11.3984375" style="346"/>
    <col min="738" max="738" width="26.19921875" style="346" customWidth="1"/>
    <col min="739" max="739" width="69" style="346" customWidth="1"/>
    <col min="740" max="740" width="23" style="346" bestFit="1" customWidth="1"/>
    <col min="741" max="741" width="16" style="346" customWidth="1"/>
    <col min="742" max="743" width="14.19921875" style="346" bestFit="1" customWidth="1"/>
    <col min="744" max="744" width="14" style="346" customWidth="1"/>
    <col min="745" max="745" width="14.19921875" style="346" bestFit="1" customWidth="1"/>
    <col min="746" max="747" width="15" style="346" bestFit="1" customWidth="1"/>
    <col min="748" max="748" width="13" style="346" bestFit="1" customWidth="1"/>
    <col min="749" max="771" width="11.3984375" style="346"/>
    <col min="772" max="772" width="13.796875" style="346" bestFit="1" customWidth="1"/>
    <col min="773" max="993" width="11.3984375" style="346"/>
    <col min="994" max="994" width="26.19921875" style="346" customWidth="1"/>
    <col min="995" max="995" width="69" style="346" customWidth="1"/>
    <col min="996" max="996" width="23" style="346" bestFit="1" customWidth="1"/>
    <col min="997" max="997" width="16" style="346" customWidth="1"/>
    <col min="998" max="999" width="14.19921875" style="346" bestFit="1" customWidth="1"/>
    <col min="1000" max="1000" width="14" style="346" customWidth="1"/>
    <col min="1001" max="1001" width="14.19921875" style="346" bestFit="1" customWidth="1"/>
    <col min="1002" max="1003" width="15" style="346" bestFit="1" customWidth="1"/>
    <col min="1004" max="1004" width="13" style="346" bestFit="1" customWidth="1"/>
    <col min="1005" max="1027" width="11.3984375" style="346"/>
    <col min="1028" max="1028" width="13.796875" style="346" bestFit="1" customWidth="1"/>
    <col min="1029" max="1249" width="11.3984375" style="346"/>
    <col min="1250" max="1250" width="26.19921875" style="346" customWidth="1"/>
    <col min="1251" max="1251" width="69" style="346" customWidth="1"/>
    <col min="1252" max="1252" width="23" style="346" bestFit="1" customWidth="1"/>
    <col min="1253" max="1253" width="16" style="346" customWidth="1"/>
    <col min="1254" max="1255" width="14.19921875" style="346" bestFit="1" customWidth="1"/>
    <col min="1256" max="1256" width="14" style="346" customWidth="1"/>
    <col min="1257" max="1257" width="14.19921875" style="346" bestFit="1" customWidth="1"/>
    <col min="1258" max="1259" width="15" style="346" bestFit="1" customWidth="1"/>
    <col min="1260" max="1260" width="13" style="346" bestFit="1" customWidth="1"/>
    <col min="1261" max="1283" width="11.3984375" style="346"/>
    <col min="1284" max="1284" width="13.796875" style="346" bestFit="1" customWidth="1"/>
    <col min="1285" max="1505" width="11.3984375" style="346"/>
    <col min="1506" max="1506" width="26.19921875" style="346" customWidth="1"/>
    <col min="1507" max="1507" width="69" style="346" customWidth="1"/>
    <col min="1508" max="1508" width="23" style="346" bestFit="1" customWidth="1"/>
    <col min="1509" max="1509" width="16" style="346" customWidth="1"/>
    <col min="1510" max="1511" width="14.19921875" style="346" bestFit="1" customWidth="1"/>
    <col min="1512" max="1512" width="14" style="346" customWidth="1"/>
    <col min="1513" max="1513" width="14.19921875" style="346" bestFit="1" customWidth="1"/>
    <col min="1514" max="1515" width="15" style="346" bestFit="1" customWidth="1"/>
    <col min="1516" max="1516" width="13" style="346" bestFit="1" customWidth="1"/>
    <col min="1517" max="1539" width="11.3984375" style="346"/>
    <col min="1540" max="1540" width="13.796875" style="346" bestFit="1" customWidth="1"/>
    <col min="1541" max="1761" width="11.3984375" style="346"/>
    <col min="1762" max="1762" width="26.19921875" style="346" customWidth="1"/>
    <col min="1763" max="1763" width="69" style="346" customWidth="1"/>
    <col min="1764" max="1764" width="23" style="346" bestFit="1" customWidth="1"/>
    <col min="1765" max="1765" width="16" style="346" customWidth="1"/>
    <col min="1766" max="1767" width="14.19921875" style="346" bestFit="1" customWidth="1"/>
    <col min="1768" max="1768" width="14" style="346" customWidth="1"/>
    <col min="1769" max="1769" width="14.19921875" style="346" bestFit="1" customWidth="1"/>
    <col min="1770" max="1771" width="15" style="346" bestFit="1" customWidth="1"/>
    <col min="1772" max="1772" width="13" style="346" bestFit="1" customWidth="1"/>
    <col min="1773" max="1795" width="11.3984375" style="346"/>
    <col min="1796" max="1796" width="13.796875" style="346" bestFit="1" customWidth="1"/>
    <col min="1797" max="2017" width="11.3984375" style="346"/>
    <col min="2018" max="2018" width="26.19921875" style="346" customWidth="1"/>
    <col min="2019" max="2019" width="69" style="346" customWidth="1"/>
    <col min="2020" max="2020" width="23" style="346" bestFit="1" customWidth="1"/>
    <col min="2021" max="2021" width="16" style="346" customWidth="1"/>
    <col min="2022" max="2023" width="14.19921875" style="346" bestFit="1" customWidth="1"/>
    <col min="2024" max="2024" width="14" style="346" customWidth="1"/>
    <col min="2025" max="2025" width="14.19921875" style="346" bestFit="1" customWidth="1"/>
    <col min="2026" max="2027" width="15" style="346" bestFit="1" customWidth="1"/>
    <col min="2028" max="2028" width="13" style="346" bestFit="1" customWidth="1"/>
    <col min="2029" max="2051" width="11.3984375" style="346"/>
    <col min="2052" max="2052" width="13.796875" style="346" bestFit="1" customWidth="1"/>
    <col min="2053" max="2273" width="11.3984375" style="346"/>
    <col min="2274" max="2274" width="26.19921875" style="346" customWidth="1"/>
    <col min="2275" max="2275" width="69" style="346" customWidth="1"/>
    <col min="2276" max="2276" width="23" style="346" bestFit="1" customWidth="1"/>
    <col min="2277" max="2277" width="16" style="346" customWidth="1"/>
    <col min="2278" max="2279" width="14.19921875" style="346" bestFit="1" customWidth="1"/>
    <col min="2280" max="2280" width="14" style="346" customWidth="1"/>
    <col min="2281" max="2281" width="14.19921875" style="346" bestFit="1" customWidth="1"/>
    <col min="2282" max="2283" width="15" style="346" bestFit="1" customWidth="1"/>
    <col min="2284" max="2284" width="13" style="346" bestFit="1" customWidth="1"/>
    <col min="2285" max="2307" width="11.3984375" style="346"/>
    <col min="2308" max="2308" width="13.796875" style="346" bestFit="1" customWidth="1"/>
    <col min="2309" max="2529" width="11.3984375" style="346"/>
    <col min="2530" max="2530" width="26.19921875" style="346" customWidth="1"/>
    <col min="2531" max="2531" width="69" style="346" customWidth="1"/>
    <col min="2532" max="2532" width="23" style="346" bestFit="1" customWidth="1"/>
    <col min="2533" max="2533" width="16" style="346" customWidth="1"/>
    <col min="2534" max="2535" width="14.19921875" style="346" bestFit="1" customWidth="1"/>
    <col min="2536" max="2536" width="14" style="346" customWidth="1"/>
    <col min="2537" max="2537" width="14.19921875" style="346" bestFit="1" customWidth="1"/>
    <col min="2538" max="2539" width="15" style="346" bestFit="1" customWidth="1"/>
    <col min="2540" max="2540" width="13" style="346" bestFit="1" customWidth="1"/>
    <col min="2541" max="2563" width="11.3984375" style="346"/>
    <col min="2564" max="2564" width="13.796875" style="346" bestFit="1" customWidth="1"/>
    <col min="2565" max="2785" width="11.3984375" style="346"/>
    <col min="2786" max="2786" width="26.19921875" style="346" customWidth="1"/>
    <col min="2787" max="2787" width="69" style="346" customWidth="1"/>
    <col min="2788" max="2788" width="23" style="346" bestFit="1" customWidth="1"/>
    <col min="2789" max="2789" width="16" style="346" customWidth="1"/>
    <col min="2790" max="2791" width="14.19921875" style="346" bestFit="1" customWidth="1"/>
    <col min="2792" max="2792" width="14" style="346" customWidth="1"/>
    <col min="2793" max="2793" width="14.19921875" style="346" bestFit="1" customWidth="1"/>
    <col min="2794" max="2795" width="15" style="346" bestFit="1" customWidth="1"/>
    <col min="2796" max="2796" width="13" style="346" bestFit="1" customWidth="1"/>
    <col min="2797" max="2819" width="11.3984375" style="346"/>
    <col min="2820" max="2820" width="13.796875" style="346" bestFit="1" customWidth="1"/>
    <col min="2821" max="3041" width="11.3984375" style="346"/>
    <col min="3042" max="3042" width="26.19921875" style="346" customWidth="1"/>
    <col min="3043" max="3043" width="69" style="346" customWidth="1"/>
    <col min="3044" max="3044" width="23" style="346" bestFit="1" customWidth="1"/>
    <col min="3045" max="3045" width="16" style="346" customWidth="1"/>
    <col min="3046" max="3047" width="14.19921875" style="346" bestFit="1" customWidth="1"/>
    <col min="3048" max="3048" width="14" style="346" customWidth="1"/>
    <col min="3049" max="3049" width="14.19921875" style="346" bestFit="1" customWidth="1"/>
    <col min="3050" max="3051" width="15" style="346" bestFit="1" customWidth="1"/>
    <col min="3052" max="3052" width="13" style="346" bestFit="1" customWidth="1"/>
    <col min="3053" max="3075" width="11.3984375" style="346"/>
    <col min="3076" max="3076" width="13.796875" style="346" bestFit="1" customWidth="1"/>
    <col min="3077" max="3297" width="11.3984375" style="346"/>
    <col min="3298" max="3298" width="26.19921875" style="346" customWidth="1"/>
    <col min="3299" max="3299" width="69" style="346" customWidth="1"/>
    <col min="3300" max="3300" width="23" style="346" bestFit="1" customWidth="1"/>
    <col min="3301" max="3301" width="16" style="346" customWidth="1"/>
    <col min="3302" max="3303" width="14.19921875" style="346" bestFit="1" customWidth="1"/>
    <col min="3304" max="3304" width="14" style="346" customWidth="1"/>
    <col min="3305" max="3305" width="14.19921875" style="346" bestFit="1" customWidth="1"/>
    <col min="3306" max="3307" width="15" style="346" bestFit="1" customWidth="1"/>
    <col min="3308" max="3308" width="13" style="346" bestFit="1" customWidth="1"/>
    <col min="3309" max="3331" width="11.3984375" style="346"/>
    <col min="3332" max="3332" width="13.796875" style="346" bestFit="1" customWidth="1"/>
    <col min="3333" max="3553" width="11.3984375" style="346"/>
    <col min="3554" max="3554" width="26.19921875" style="346" customWidth="1"/>
    <col min="3555" max="3555" width="69" style="346" customWidth="1"/>
    <col min="3556" max="3556" width="23" style="346" bestFit="1" customWidth="1"/>
    <col min="3557" max="3557" width="16" style="346" customWidth="1"/>
    <col min="3558" max="3559" width="14.19921875" style="346" bestFit="1" customWidth="1"/>
    <col min="3560" max="3560" width="14" style="346" customWidth="1"/>
    <col min="3561" max="3561" width="14.19921875" style="346" bestFit="1" customWidth="1"/>
    <col min="3562" max="3563" width="15" style="346" bestFit="1" customWidth="1"/>
    <col min="3564" max="3564" width="13" style="346" bestFit="1" customWidth="1"/>
    <col min="3565" max="3587" width="11.3984375" style="346"/>
    <col min="3588" max="3588" width="13.796875" style="346" bestFit="1" customWidth="1"/>
    <col min="3589" max="3809" width="11.3984375" style="346"/>
    <col min="3810" max="3810" width="26.19921875" style="346" customWidth="1"/>
    <col min="3811" max="3811" width="69" style="346" customWidth="1"/>
    <col min="3812" max="3812" width="23" style="346" bestFit="1" customWidth="1"/>
    <col min="3813" max="3813" width="16" style="346" customWidth="1"/>
    <col min="3814" max="3815" width="14.19921875" style="346" bestFit="1" customWidth="1"/>
    <col min="3816" max="3816" width="14" style="346" customWidth="1"/>
    <col min="3817" max="3817" width="14.19921875" style="346" bestFit="1" customWidth="1"/>
    <col min="3818" max="3819" width="15" style="346" bestFit="1" customWidth="1"/>
    <col min="3820" max="3820" width="13" style="346" bestFit="1" customWidth="1"/>
    <col min="3821" max="3843" width="11.3984375" style="346"/>
    <col min="3844" max="3844" width="13.796875" style="346" bestFit="1" customWidth="1"/>
    <col min="3845" max="4065" width="11.3984375" style="346"/>
    <col min="4066" max="4066" width="26.19921875" style="346" customWidth="1"/>
    <col min="4067" max="4067" width="69" style="346" customWidth="1"/>
    <col min="4068" max="4068" width="23" style="346" bestFit="1" customWidth="1"/>
    <col min="4069" max="4069" width="16" style="346" customWidth="1"/>
    <col min="4070" max="4071" width="14.19921875" style="346" bestFit="1" customWidth="1"/>
    <col min="4072" max="4072" width="14" style="346" customWidth="1"/>
    <col min="4073" max="4073" width="14.19921875" style="346" bestFit="1" customWidth="1"/>
    <col min="4074" max="4075" width="15" style="346" bestFit="1" customWidth="1"/>
    <col min="4076" max="4076" width="13" style="346" bestFit="1" customWidth="1"/>
    <col min="4077" max="4099" width="11.3984375" style="346"/>
    <col min="4100" max="4100" width="13.796875" style="346" bestFit="1" customWidth="1"/>
    <col min="4101" max="4321" width="11.3984375" style="346"/>
    <col min="4322" max="4322" width="26.19921875" style="346" customWidth="1"/>
    <col min="4323" max="4323" width="69" style="346" customWidth="1"/>
    <col min="4324" max="4324" width="23" style="346" bestFit="1" customWidth="1"/>
    <col min="4325" max="4325" width="16" style="346" customWidth="1"/>
    <col min="4326" max="4327" width="14.19921875" style="346" bestFit="1" customWidth="1"/>
    <col min="4328" max="4328" width="14" style="346" customWidth="1"/>
    <col min="4329" max="4329" width="14.19921875" style="346" bestFit="1" customWidth="1"/>
    <col min="4330" max="4331" width="15" style="346" bestFit="1" customWidth="1"/>
    <col min="4332" max="4332" width="13" style="346" bestFit="1" customWidth="1"/>
    <col min="4333" max="4355" width="11.3984375" style="346"/>
    <col min="4356" max="4356" width="13.796875" style="346" bestFit="1" customWidth="1"/>
    <col min="4357" max="4577" width="11.3984375" style="346"/>
    <col min="4578" max="4578" width="26.19921875" style="346" customWidth="1"/>
    <col min="4579" max="4579" width="69" style="346" customWidth="1"/>
    <col min="4580" max="4580" width="23" style="346" bestFit="1" customWidth="1"/>
    <col min="4581" max="4581" width="16" style="346" customWidth="1"/>
    <col min="4582" max="4583" width="14.19921875" style="346" bestFit="1" customWidth="1"/>
    <col min="4584" max="4584" width="14" style="346" customWidth="1"/>
    <col min="4585" max="4585" width="14.19921875" style="346" bestFit="1" customWidth="1"/>
    <col min="4586" max="4587" width="15" style="346" bestFit="1" customWidth="1"/>
    <col min="4588" max="4588" width="13" style="346" bestFit="1" customWidth="1"/>
    <col min="4589" max="4611" width="11.3984375" style="346"/>
    <col min="4612" max="4612" width="13.796875" style="346" bestFit="1" customWidth="1"/>
    <col min="4613" max="4833" width="11.3984375" style="346"/>
    <col min="4834" max="4834" width="26.19921875" style="346" customWidth="1"/>
    <col min="4835" max="4835" width="69" style="346" customWidth="1"/>
    <col min="4836" max="4836" width="23" style="346" bestFit="1" customWidth="1"/>
    <col min="4837" max="4837" width="16" style="346" customWidth="1"/>
    <col min="4838" max="4839" width="14.19921875" style="346" bestFit="1" customWidth="1"/>
    <col min="4840" max="4840" width="14" style="346" customWidth="1"/>
    <col min="4841" max="4841" width="14.19921875" style="346" bestFit="1" customWidth="1"/>
    <col min="4842" max="4843" width="15" style="346" bestFit="1" customWidth="1"/>
    <col min="4844" max="4844" width="13" style="346" bestFit="1" customWidth="1"/>
    <col min="4845" max="4867" width="11.3984375" style="346"/>
    <col min="4868" max="4868" width="13.796875" style="346" bestFit="1" customWidth="1"/>
    <col min="4869" max="5089" width="11.3984375" style="346"/>
    <col min="5090" max="5090" width="26.19921875" style="346" customWidth="1"/>
    <col min="5091" max="5091" width="69" style="346" customWidth="1"/>
    <col min="5092" max="5092" width="23" style="346" bestFit="1" customWidth="1"/>
    <col min="5093" max="5093" width="16" style="346" customWidth="1"/>
    <col min="5094" max="5095" width="14.19921875" style="346" bestFit="1" customWidth="1"/>
    <col min="5096" max="5096" width="14" style="346" customWidth="1"/>
    <col min="5097" max="5097" width="14.19921875" style="346" bestFit="1" customWidth="1"/>
    <col min="5098" max="5099" width="15" style="346" bestFit="1" customWidth="1"/>
    <col min="5100" max="5100" width="13" style="346" bestFit="1" customWidth="1"/>
    <col min="5101" max="5123" width="11.3984375" style="346"/>
    <col min="5124" max="5124" width="13.796875" style="346" bestFit="1" customWidth="1"/>
    <col min="5125" max="5345" width="11.3984375" style="346"/>
    <col min="5346" max="5346" width="26.19921875" style="346" customWidth="1"/>
    <col min="5347" max="5347" width="69" style="346" customWidth="1"/>
    <col min="5348" max="5348" width="23" style="346" bestFit="1" customWidth="1"/>
    <col min="5349" max="5349" width="16" style="346" customWidth="1"/>
    <col min="5350" max="5351" width="14.19921875" style="346" bestFit="1" customWidth="1"/>
    <col min="5352" max="5352" width="14" style="346" customWidth="1"/>
    <col min="5353" max="5353" width="14.19921875" style="346" bestFit="1" customWidth="1"/>
    <col min="5354" max="5355" width="15" style="346" bestFit="1" customWidth="1"/>
    <col min="5356" max="5356" width="13" style="346" bestFit="1" customWidth="1"/>
    <col min="5357" max="5379" width="11.3984375" style="346"/>
    <col min="5380" max="5380" width="13.796875" style="346" bestFit="1" customWidth="1"/>
    <col min="5381" max="5601" width="11.3984375" style="346"/>
    <col min="5602" max="5602" width="26.19921875" style="346" customWidth="1"/>
    <col min="5603" max="5603" width="69" style="346" customWidth="1"/>
    <col min="5604" max="5604" width="23" style="346" bestFit="1" customWidth="1"/>
    <col min="5605" max="5605" width="16" style="346" customWidth="1"/>
    <col min="5606" max="5607" width="14.19921875" style="346" bestFit="1" customWidth="1"/>
    <col min="5608" max="5608" width="14" style="346" customWidth="1"/>
    <col min="5609" max="5609" width="14.19921875" style="346" bestFit="1" customWidth="1"/>
    <col min="5610" max="5611" width="15" style="346" bestFit="1" customWidth="1"/>
    <col min="5612" max="5612" width="13" style="346" bestFit="1" customWidth="1"/>
    <col min="5613" max="5635" width="11.3984375" style="346"/>
    <col min="5636" max="5636" width="13.796875" style="346" bestFit="1" customWidth="1"/>
    <col min="5637" max="5857" width="11.3984375" style="346"/>
    <col min="5858" max="5858" width="26.19921875" style="346" customWidth="1"/>
    <col min="5859" max="5859" width="69" style="346" customWidth="1"/>
    <col min="5860" max="5860" width="23" style="346" bestFit="1" customWidth="1"/>
    <col min="5861" max="5861" width="16" style="346" customWidth="1"/>
    <col min="5862" max="5863" width="14.19921875" style="346" bestFit="1" customWidth="1"/>
    <col min="5864" max="5864" width="14" style="346" customWidth="1"/>
    <col min="5865" max="5865" width="14.19921875" style="346" bestFit="1" customWidth="1"/>
    <col min="5866" max="5867" width="15" style="346" bestFit="1" customWidth="1"/>
    <col min="5868" max="5868" width="13" style="346" bestFit="1" customWidth="1"/>
    <col min="5869" max="5891" width="11.3984375" style="346"/>
    <col min="5892" max="5892" width="13.796875" style="346" bestFit="1" customWidth="1"/>
    <col min="5893" max="6113" width="11.3984375" style="346"/>
    <col min="6114" max="6114" width="26.19921875" style="346" customWidth="1"/>
    <col min="6115" max="6115" width="69" style="346" customWidth="1"/>
    <col min="6116" max="6116" width="23" style="346" bestFit="1" customWidth="1"/>
    <col min="6117" max="6117" width="16" style="346" customWidth="1"/>
    <col min="6118" max="6119" width="14.19921875" style="346" bestFit="1" customWidth="1"/>
    <col min="6120" max="6120" width="14" style="346" customWidth="1"/>
    <col min="6121" max="6121" width="14.19921875" style="346" bestFit="1" customWidth="1"/>
    <col min="6122" max="6123" width="15" style="346" bestFit="1" customWidth="1"/>
    <col min="6124" max="6124" width="13" style="346" bestFit="1" customWidth="1"/>
    <col min="6125" max="6147" width="11.3984375" style="346"/>
    <col min="6148" max="6148" width="13.796875" style="346" bestFit="1" customWidth="1"/>
    <col min="6149" max="6369" width="11.3984375" style="346"/>
    <col min="6370" max="6370" width="26.19921875" style="346" customWidth="1"/>
    <col min="6371" max="6371" width="69" style="346" customWidth="1"/>
    <col min="6372" max="6372" width="23" style="346" bestFit="1" customWidth="1"/>
    <col min="6373" max="6373" width="16" style="346" customWidth="1"/>
    <col min="6374" max="6375" width="14.19921875" style="346" bestFit="1" customWidth="1"/>
    <col min="6376" max="6376" width="14" style="346" customWidth="1"/>
    <col min="6377" max="6377" width="14.19921875" style="346" bestFit="1" customWidth="1"/>
    <col min="6378" max="6379" width="15" style="346" bestFit="1" customWidth="1"/>
    <col min="6380" max="6380" width="13" style="346" bestFit="1" customWidth="1"/>
    <col min="6381" max="6403" width="11.3984375" style="346"/>
    <col min="6404" max="6404" width="13.796875" style="346" bestFit="1" customWidth="1"/>
    <col min="6405" max="6625" width="11.3984375" style="346"/>
    <col min="6626" max="6626" width="26.19921875" style="346" customWidth="1"/>
    <col min="6627" max="6627" width="69" style="346" customWidth="1"/>
    <col min="6628" max="6628" width="23" style="346" bestFit="1" customWidth="1"/>
    <col min="6629" max="6629" width="16" style="346" customWidth="1"/>
    <col min="6630" max="6631" width="14.19921875" style="346" bestFit="1" customWidth="1"/>
    <col min="6632" max="6632" width="14" style="346" customWidth="1"/>
    <col min="6633" max="6633" width="14.19921875" style="346" bestFit="1" customWidth="1"/>
    <col min="6634" max="6635" width="15" style="346" bestFit="1" customWidth="1"/>
    <col min="6636" max="6636" width="13" style="346" bestFit="1" customWidth="1"/>
    <col min="6637" max="6659" width="11.3984375" style="346"/>
    <col min="6660" max="6660" width="13.796875" style="346" bestFit="1" customWidth="1"/>
    <col min="6661" max="6881" width="11.3984375" style="346"/>
    <col min="6882" max="6882" width="26.19921875" style="346" customWidth="1"/>
    <col min="6883" max="6883" width="69" style="346" customWidth="1"/>
    <col min="6884" max="6884" width="23" style="346" bestFit="1" customWidth="1"/>
    <col min="6885" max="6885" width="16" style="346" customWidth="1"/>
    <col min="6886" max="6887" width="14.19921875" style="346" bestFit="1" customWidth="1"/>
    <col min="6888" max="6888" width="14" style="346" customWidth="1"/>
    <col min="6889" max="6889" width="14.19921875" style="346" bestFit="1" customWidth="1"/>
    <col min="6890" max="6891" width="15" style="346" bestFit="1" customWidth="1"/>
    <col min="6892" max="6892" width="13" style="346" bestFit="1" customWidth="1"/>
    <col min="6893" max="6915" width="11.3984375" style="346"/>
    <col min="6916" max="6916" width="13.796875" style="346" bestFit="1" customWidth="1"/>
    <col min="6917" max="7137" width="11.3984375" style="346"/>
    <col min="7138" max="7138" width="26.19921875" style="346" customWidth="1"/>
    <col min="7139" max="7139" width="69" style="346" customWidth="1"/>
    <col min="7140" max="7140" width="23" style="346" bestFit="1" customWidth="1"/>
    <col min="7141" max="7141" width="16" style="346" customWidth="1"/>
    <col min="7142" max="7143" width="14.19921875" style="346" bestFit="1" customWidth="1"/>
    <col min="7144" max="7144" width="14" style="346" customWidth="1"/>
    <col min="7145" max="7145" width="14.19921875" style="346" bestFit="1" customWidth="1"/>
    <col min="7146" max="7147" width="15" style="346" bestFit="1" customWidth="1"/>
    <col min="7148" max="7148" width="13" style="346" bestFit="1" customWidth="1"/>
    <col min="7149" max="7171" width="11.3984375" style="346"/>
    <col min="7172" max="7172" width="13.796875" style="346" bestFit="1" customWidth="1"/>
    <col min="7173" max="7393" width="11.3984375" style="346"/>
    <col min="7394" max="7394" width="26.19921875" style="346" customWidth="1"/>
    <col min="7395" max="7395" width="69" style="346" customWidth="1"/>
    <col min="7396" max="7396" width="23" style="346" bestFit="1" customWidth="1"/>
    <col min="7397" max="7397" width="16" style="346" customWidth="1"/>
    <col min="7398" max="7399" width="14.19921875" style="346" bestFit="1" customWidth="1"/>
    <col min="7400" max="7400" width="14" style="346" customWidth="1"/>
    <col min="7401" max="7401" width="14.19921875" style="346" bestFit="1" customWidth="1"/>
    <col min="7402" max="7403" width="15" style="346" bestFit="1" customWidth="1"/>
    <col min="7404" max="7404" width="13" style="346" bestFit="1" customWidth="1"/>
    <col min="7405" max="7427" width="11.3984375" style="346"/>
    <col min="7428" max="7428" width="13.796875" style="346" bestFit="1" customWidth="1"/>
    <col min="7429" max="7649" width="11.3984375" style="346"/>
    <col min="7650" max="7650" width="26.19921875" style="346" customWidth="1"/>
    <col min="7651" max="7651" width="69" style="346" customWidth="1"/>
    <col min="7652" max="7652" width="23" style="346" bestFit="1" customWidth="1"/>
    <col min="7653" max="7653" width="16" style="346" customWidth="1"/>
    <col min="7654" max="7655" width="14.19921875" style="346" bestFit="1" customWidth="1"/>
    <col min="7656" max="7656" width="14" style="346" customWidth="1"/>
    <col min="7657" max="7657" width="14.19921875" style="346" bestFit="1" customWidth="1"/>
    <col min="7658" max="7659" width="15" style="346" bestFit="1" customWidth="1"/>
    <col min="7660" max="7660" width="13" style="346" bestFit="1" customWidth="1"/>
    <col min="7661" max="7683" width="11.3984375" style="346"/>
    <col min="7684" max="7684" width="13.796875" style="346" bestFit="1" customWidth="1"/>
    <col min="7685" max="7905" width="11.3984375" style="346"/>
    <col min="7906" max="7906" width="26.19921875" style="346" customWidth="1"/>
    <col min="7907" max="7907" width="69" style="346" customWidth="1"/>
    <col min="7908" max="7908" width="23" style="346" bestFit="1" customWidth="1"/>
    <col min="7909" max="7909" width="16" style="346" customWidth="1"/>
    <col min="7910" max="7911" width="14.19921875" style="346" bestFit="1" customWidth="1"/>
    <col min="7912" max="7912" width="14" style="346" customWidth="1"/>
    <col min="7913" max="7913" width="14.19921875" style="346" bestFit="1" customWidth="1"/>
    <col min="7914" max="7915" width="15" style="346" bestFit="1" customWidth="1"/>
    <col min="7916" max="7916" width="13" style="346" bestFit="1" customWidth="1"/>
    <col min="7917" max="7939" width="11.3984375" style="346"/>
    <col min="7940" max="7940" width="13.796875" style="346" bestFit="1" customWidth="1"/>
    <col min="7941" max="8161" width="11.3984375" style="346"/>
    <col min="8162" max="8162" width="26.19921875" style="346" customWidth="1"/>
    <col min="8163" max="8163" width="69" style="346" customWidth="1"/>
    <col min="8164" max="8164" width="23" style="346" bestFit="1" customWidth="1"/>
    <col min="8165" max="8165" width="16" style="346" customWidth="1"/>
    <col min="8166" max="8167" width="14.19921875" style="346" bestFit="1" customWidth="1"/>
    <col min="8168" max="8168" width="14" style="346" customWidth="1"/>
    <col min="8169" max="8169" width="14.19921875" style="346" bestFit="1" customWidth="1"/>
    <col min="8170" max="8171" width="15" style="346" bestFit="1" customWidth="1"/>
    <col min="8172" max="8172" width="13" style="346" bestFit="1" customWidth="1"/>
    <col min="8173" max="8195" width="11.3984375" style="346"/>
    <col min="8196" max="8196" width="13.796875" style="346" bestFit="1" customWidth="1"/>
    <col min="8197" max="8417" width="11.3984375" style="346"/>
    <col min="8418" max="8418" width="26.19921875" style="346" customWidth="1"/>
    <col min="8419" max="8419" width="69" style="346" customWidth="1"/>
    <col min="8420" max="8420" width="23" style="346" bestFit="1" customWidth="1"/>
    <col min="8421" max="8421" width="16" style="346" customWidth="1"/>
    <col min="8422" max="8423" width="14.19921875" style="346" bestFit="1" customWidth="1"/>
    <col min="8424" max="8424" width="14" style="346" customWidth="1"/>
    <col min="8425" max="8425" width="14.19921875" style="346" bestFit="1" customWidth="1"/>
    <col min="8426" max="8427" width="15" style="346" bestFit="1" customWidth="1"/>
    <col min="8428" max="8428" width="13" style="346" bestFit="1" customWidth="1"/>
    <col min="8429" max="8451" width="11.3984375" style="346"/>
    <col min="8452" max="8452" width="13.796875" style="346" bestFit="1" customWidth="1"/>
    <col min="8453" max="8673" width="11.3984375" style="346"/>
    <col min="8674" max="8674" width="26.19921875" style="346" customWidth="1"/>
    <col min="8675" max="8675" width="69" style="346" customWidth="1"/>
    <col min="8676" max="8676" width="23" style="346" bestFit="1" customWidth="1"/>
    <col min="8677" max="8677" width="16" style="346" customWidth="1"/>
    <col min="8678" max="8679" width="14.19921875" style="346" bestFit="1" customWidth="1"/>
    <col min="8680" max="8680" width="14" style="346" customWidth="1"/>
    <col min="8681" max="8681" width="14.19921875" style="346" bestFit="1" customWidth="1"/>
    <col min="8682" max="8683" width="15" style="346" bestFit="1" customWidth="1"/>
    <col min="8684" max="8684" width="13" style="346" bestFit="1" customWidth="1"/>
    <col min="8685" max="8707" width="11.3984375" style="346"/>
    <col min="8708" max="8708" width="13.796875" style="346" bestFit="1" customWidth="1"/>
    <col min="8709" max="8929" width="11.3984375" style="346"/>
    <col min="8930" max="8930" width="26.19921875" style="346" customWidth="1"/>
    <col min="8931" max="8931" width="69" style="346" customWidth="1"/>
    <col min="8932" max="8932" width="23" style="346" bestFit="1" customWidth="1"/>
    <col min="8933" max="8933" width="16" style="346" customWidth="1"/>
    <col min="8934" max="8935" width="14.19921875" style="346" bestFit="1" customWidth="1"/>
    <col min="8936" max="8936" width="14" style="346" customWidth="1"/>
    <col min="8937" max="8937" width="14.19921875" style="346" bestFit="1" customWidth="1"/>
    <col min="8938" max="8939" width="15" style="346" bestFit="1" customWidth="1"/>
    <col min="8940" max="8940" width="13" style="346" bestFit="1" customWidth="1"/>
    <col min="8941" max="8963" width="11.3984375" style="346"/>
    <col min="8964" max="8964" width="13.796875" style="346" bestFit="1" customWidth="1"/>
    <col min="8965" max="9185" width="11.3984375" style="346"/>
    <col min="9186" max="9186" width="26.19921875" style="346" customWidth="1"/>
    <col min="9187" max="9187" width="69" style="346" customWidth="1"/>
    <col min="9188" max="9188" width="23" style="346" bestFit="1" customWidth="1"/>
    <col min="9189" max="9189" width="16" style="346" customWidth="1"/>
    <col min="9190" max="9191" width="14.19921875" style="346" bestFit="1" customWidth="1"/>
    <col min="9192" max="9192" width="14" style="346" customWidth="1"/>
    <col min="9193" max="9193" width="14.19921875" style="346" bestFit="1" customWidth="1"/>
    <col min="9194" max="9195" width="15" style="346" bestFit="1" customWidth="1"/>
    <col min="9196" max="9196" width="13" style="346" bestFit="1" customWidth="1"/>
    <col min="9197" max="9219" width="11.3984375" style="346"/>
    <col min="9220" max="9220" width="13.796875" style="346" bestFit="1" customWidth="1"/>
    <col min="9221" max="9441" width="11.3984375" style="346"/>
    <col min="9442" max="9442" width="26.19921875" style="346" customWidth="1"/>
    <col min="9443" max="9443" width="69" style="346" customWidth="1"/>
    <col min="9444" max="9444" width="23" style="346" bestFit="1" customWidth="1"/>
    <col min="9445" max="9445" width="16" style="346" customWidth="1"/>
    <col min="9446" max="9447" width="14.19921875" style="346" bestFit="1" customWidth="1"/>
    <col min="9448" max="9448" width="14" style="346" customWidth="1"/>
    <col min="9449" max="9449" width="14.19921875" style="346" bestFit="1" customWidth="1"/>
    <col min="9450" max="9451" width="15" style="346" bestFit="1" customWidth="1"/>
    <col min="9452" max="9452" width="13" style="346" bestFit="1" customWidth="1"/>
    <col min="9453" max="9475" width="11.3984375" style="346"/>
    <col min="9476" max="9476" width="13.796875" style="346" bestFit="1" customWidth="1"/>
    <col min="9477" max="9697" width="11.3984375" style="346"/>
    <col min="9698" max="9698" width="26.19921875" style="346" customWidth="1"/>
    <col min="9699" max="9699" width="69" style="346" customWidth="1"/>
    <col min="9700" max="9700" width="23" style="346" bestFit="1" customWidth="1"/>
    <col min="9701" max="9701" width="16" style="346" customWidth="1"/>
    <col min="9702" max="9703" width="14.19921875" style="346" bestFit="1" customWidth="1"/>
    <col min="9704" max="9704" width="14" style="346" customWidth="1"/>
    <col min="9705" max="9705" width="14.19921875" style="346" bestFit="1" customWidth="1"/>
    <col min="9706" max="9707" width="15" style="346" bestFit="1" customWidth="1"/>
    <col min="9708" max="9708" width="13" style="346" bestFit="1" customWidth="1"/>
    <col min="9709" max="9731" width="11.3984375" style="346"/>
    <col min="9732" max="9732" width="13.796875" style="346" bestFit="1" customWidth="1"/>
    <col min="9733" max="9953" width="11.3984375" style="346"/>
    <col min="9954" max="9954" width="26.19921875" style="346" customWidth="1"/>
    <col min="9955" max="9955" width="69" style="346" customWidth="1"/>
    <col min="9956" max="9956" width="23" style="346" bestFit="1" customWidth="1"/>
    <col min="9957" max="9957" width="16" style="346" customWidth="1"/>
    <col min="9958" max="9959" width="14.19921875" style="346" bestFit="1" customWidth="1"/>
    <col min="9960" max="9960" width="14" style="346" customWidth="1"/>
    <col min="9961" max="9961" width="14.19921875" style="346" bestFit="1" customWidth="1"/>
    <col min="9962" max="9963" width="15" style="346" bestFit="1" customWidth="1"/>
    <col min="9964" max="9964" width="13" style="346" bestFit="1" customWidth="1"/>
    <col min="9965" max="9987" width="11.3984375" style="346"/>
    <col min="9988" max="9988" width="13.796875" style="346" bestFit="1" customWidth="1"/>
    <col min="9989" max="10209" width="11.3984375" style="346"/>
    <col min="10210" max="10210" width="26.19921875" style="346" customWidth="1"/>
    <col min="10211" max="10211" width="69" style="346" customWidth="1"/>
    <col min="10212" max="10212" width="23" style="346" bestFit="1" customWidth="1"/>
    <col min="10213" max="10213" width="16" style="346" customWidth="1"/>
    <col min="10214" max="10215" width="14.19921875" style="346" bestFit="1" customWidth="1"/>
    <col min="10216" max="10216" width="14" style="346" customWidth="1"/>
    <col min="10217" max="10217" width="14.19921875" style="346" bestFit="1" customWidth="1"/>
    <col min="10218" max="10219" width="15" style="346" bestFit="1" customWidth="1"/>
    <col min="10220" max="10220" width="13" style="346" bestFit="1" customWidth="1"/>
    <col min="10221" max="10243" width="11.3984375" style="346"/>
    <col min="10244" max="10244" width="13.796875" style="346" bestFit="1" customWidth="1"/>
    <col min="10245" max="10465" width="11.3984375" style="346"/>
    <col min="10466" max="10466" width="26.19921875" style="346" customWidth="1"/>
    <col min="10467" max="10467" width="69" style="346" customWidth="1"/>
    <col min="10468" max="10468" width="23" style="346" bestFit="1" customWidth="1"/>
    <col min="10469" max="10469" width="16" style="346" customWidth="1"/>
    <col min="10470" max="10471" width="14.19921875" style="346" bestFit="1" customWidth="1"/>
    <col min="10472" max="10472" width="14" style="346" customWidth="1"/>
    <col min="10473" max="10473" width="14.19921875" style="346" bestFit="1" customWidth="1"/>
    <col min="10474" max="10475" width="15" style="346" bestFit="1" customWidth="1"/>
    <col min="10476" max="10476" width="13" style="346" bestFit="1" customWidth="1"/>
    <col min="10477" max="10499" width="11.3984375" style="346"/>
    <col min="10500" max="10500" width="13.796875" style="346" bestFit="1" customWidth="1"/>
    <col min="10501" max="10721" width="11.3984375" style="346"/>
    <col min="10722" max="10722" width="26.19921875" style="346" customWidth="1"/>
    <col min="10723" max="10723" width="69" style="346" customWidth="1"/>
    <col min="10724" max="10724" width="23" style="346" bestFit="1" customWidth="1"/>
    <col min="10725" max="10725" width="16" style="346" customWidth="1"/>
    <col min="10726" max="10727" width="14.19921875" style="346" bestFit="1" customWidth="1"/>
    <col min="10728" max="10728" width="14" style="346" customWidth="1"/>
    <col min="10729" max="10729" width="14.19921875" style="346" bestFit="1" customWidth="1"/>
    <col min="10730" max="10731" width="15" style="346" bestFit="1" customWidth="1"/>
    <col min="10732" max="10732" width="13" style="346" bestFit="1" customWidth="1"/>
    <col min="10733" max="10755" width="11.3984375" style="346"/>
    <col min="10756" max="10756" width="13.796875" style="346" bestFit="1" customWidth="1"/>
    <col min="10757" max="10977" width="11.3984375" style="346"/>
    <col min="10978" max="10978" width="26.19921875" style="346" customWidth="1"/>
    <col min="10979" max="10979" width="69" style="346" customWidth="1"/>
    <col min="10980" max="10980" width="23" style="346" bestFit="1" customWidth="1"/>
    <col min="10981" max="10981" width="16" style="346" customWidth="1"/>
    <col min="10982" max="10983" width="14.19921875" style="346" bestFit="1" customWidth="1"/>
    <col min="10984" max="10984" width="14" style="346" customWidth="1"/>
    <col min="10985" max="10985" width="14.19921875" style="346" bestFit="1" customWidth="1"/>
    <col min="10986" max="10987" width="15" style="346" bestFit="1" customWidth="1"/>
    <col min="10988" max="10988" width="13" style="346" bestFit="1" customWidth="1"/>
    <col min="10989" max="11011" width="11.3984375" style="346"/>
    <col min="11012" max="11012" width="13.796875" style="346" bestFit="1" customWidth="1"/>
    <col min="11013" max="11233" width="11.3984375" style="346"/>
    <col min="11234" max="11234" width="26.19921875" style="346" customWidth="1"/>
    <col min="11235" max="11235" width="69" style="346" customWidth="1"/>
    <col min="11236" max="11236" width="23" style="346" bestFit="1" customWidth="1"/>
    <col min="11237" max="11237" width="16" style="346" customWidth="1"/>
    <col min="11238" max="11239" width="14.19921875" style="346" bestFit="1" customWidth="1"/>
    <col min="11240" max="11240" width="14" style="346" customWidth="1"/>
    <col min="11241" max="11241" width="14.19921875" style="346" bestFit="1" customWidth="1"/>
    <col min="11242" max="11243" width="15" style="346" bestFit="1" customWidth="1"/>
    <col min="11244" max="11244" width="13" style="346" bestFit="1" customWidth="1"/>
    <col min="11245" max="11267" width="11.3984375" style="346"/>
    <col min="11268" max="11268" width="13.796875" style="346" bestFit="1" customWidth="1"/>
    <col min="11269" max="11489" width="11.3984375" style="346"/>
    <col min="11490" max="11490" width="26.19921875" style="346" customWidth="1"/>
    <col min="11491" max="11491" width="69" style="346" customWidth="1"/>
    <col min="11492" max="11492" width="23" style="346" bestFit="1" customWidth="1"/>
    <col min="11493" max="11493" width="16" style="346" customWidth="1"/>
    <col min="11494" max="11495" width="14.19921875" style="346" bestFit="1" customWidth="1"/>
    <col min="11496" max="11496" width="14" style="346" customWidth="1"/>
    <col min="11497" max="11497" width="14.19921875" style="346" bestFit="1" customWidth="1"/>
    <col min="11498" max="11499" width="15" style="346" bestFit="1" customWidth="1"/>
    <col min="11500" max="11500" width="13" style="346" bestFit="1" customWidth="1"/>
    <col min="11501" max="11523" width="11.3984375" style="346"/>
    <col min="11524" max="11524" width="13.796875" style="346" bestFit="1" customWidth="1"/>
    <col min="11525" max="11745" width="11.3984375" style="346"/>
    <col min="11746" max="11746" width="26.19921875" style="346" customWidth="1"/>
    <col min="11747" max="11747" width="69" style="346" customWidth="1"/>
    <col min="11748" max="11748" width="23" style="346" bestFit="1" customWidth="1"/>
    <col min="11749" max="11749" width="16" style="346" customWidth="1"/>
    <col min="11750" max="11751" width="14.19921875" style="346" bestFit="1" customWidth="1"/>
    <col min="11752" max="11752" width="14" style="346" customWidth="1"/>
    <col min="11753" max="11753" width="14.19921875" style="346" bestFit="1" customWidth="1"/>
    <col min="11754" max="11755" width="15" style="346" bestFit="1" customWidth="1"/>
    <col min="11756" max="11756" width="13" style="346" bestFit="1" customWidth="1"/>
    <col min="11757" max="11779" width="11.3984375" style="346"/>
    <col min="11780" max="11780" width="13.796875" style="346" bestFit="1" customWidth="1"/>
    <col min="11781" max="12001" width="11.3984375" style="346"/>
    <col min="12002" max="12002" width="26.19921875" style="346" customWidth="1"/>
    <col min="12003" max="12003" width="69" style="346" customWidth="1"/>
    <col min="12004" max="12004" width="23" style="346" bestFit="1" customWidth="1"/>
    <col min="12005" max="12005" width="16" style="346" customWidth="1"/>
    <col min="12006" max="12007" width="14.19921875" style="346" bestFit="1" customWidth="1"/>
    <col min="12008" max="12008" width="14" style="346" customWidth="1"/>
    <col min="12009" max="12009" width="14.19921875" style="346" bestFit="1" customWidth="1"/>
    <col min="12010" max="12011" width="15" style="346" bestFit="1" customWidth="1"/>
    <col min="12012" max="12012" width="13" style="346" bestFit="1" customWidth="1"/>
    <col min="12013" max="12035" width="11.3984375" style="346"/>
    <col min="12036" max="12036" width="13.796875" style="346" bestFit="1" customWidth="1"/>
    <col min="12037" max="12257" width="11.3984375" style="346"/>
    <col min="12258" max="12258" width="26.19921875" style="346" customWidth="1"/>
    <col min="12259" max="12259" width="69" style="346" customWidth="1"/>
    <col min="12260" max="12260" width="23" style="346" bestFit="1" customWidth="1"/>
    <col min="12261" max="12261" width="16" style="346" customWidth="1"/>
    <col min="12262" max="12263" width="14.19921875" style="346" bestFit="1" customWidth="1"/>
    <col min="12264" max="12264" width="14" style="346" customWidth="1"/>
    <col min="12265" max="12265" width="14.19921875" style="346" bestFit="1" customWidth="1"/>
    <col min="12266" max="12267" width="15" style="346" bestFit="1" customWidth="1"/>
    <col min="12268" max="12268" width="13" style="346" bestFit="1" customWidth="1"/>
    <col min="12269" max="12291" width="11.3984375" style="346"/>
    <col min="12292" max="12292" width="13.796875" style="346" bestFit="1" customWidth="1"/>
    <col min="12293" max="12513" width="11.3984375" style="346"/>
    <col min="12514" max="12514" width="26.19921875" style="346" customWidth="1"/>
    <col min="12515" max="12515" width="69" style="346" customWidth="1"/>
    <col min="12516" max="12516" width="23" style="346" bestFit="1" customWidth="1"/>
    <col min="12517" max="12517" width="16" style="346" customWidth="1"/>
    <col min="12518" max="12519" width="14.19921875" style="346" bestFit="1" customWidth="1"/>
    <col min="12520" max="12520" width="14" style="346" customWidth="1"/>
    <col min="12521" max="12521" width="14.19921875" style="346" bestFit="1" customWidth="1"/>
    <col min="12522" max="12523" width="15" style="346" bestFit="1" customWidth="1"/>
    <col min="12524" max="12524" width="13" style="346" bestFit="1" customWidth="1"/>
    <col min="12525" max="12547" width="11.3984375" style="346"/>
    <col min="12548" max="12548" width="13.796875" style="346" bestFit="1" customWidth="1"/>
    <col min="12549" max="12769" width="11.3984375" style="346"/>
    <col min="12770" max="12770" width="26.19921875" style="346" customWidth="1"/>
    <col min="12771" max="12771" width="69" style="346" customWidth="1"/>
    <col min="12772" max="12772" width="23" style="346" bestFit="1" customWidth="1"/>
    <col min="12773" max="12773" width="16" style="346" customWidth="1"/>
    <col min="12774" max="12775" width="14.19921875" style="346" bestFit="1" customWidth="1"/>
    <col min="12776" max="12776" width="14" style="346" customWidth="1"/>
    <col min="12777" max="12777" width="14.19921875" style="346" bestFit="1" customWidth="1"/>
    <col min="12778" max="12779" width="15" style="346" bestFit="1" customWidth="1"/>
    <col min="12780" max="12780" width="13" style="346" bestFit="1" customWidth="1"/>
    <col min="12781" max="12803" width="11.3984375" style="346"/>
    <col min="12804" max="12804" width="13.796875" style="346" bestFit="1" customWidth="1"/>
    <col min="12805" max="13025" width="11.3984375" style="346"/>
    <col min="13026" max="13026" width="26.19921875" style="346" customWidth="1"/>
    <col min="13027" max="13027" width="69" style="346" customWidth="1"/>
    <col min="13028" max="13028" width="23" style="346" bestFit="1" customWidth="1"/>
    <col min="13029" max="13029" width="16" style="346" customWidth="1"/>
    <col min="13030" max="13031" width="14.19921875" style="346" bestFit="1" customWidth="1"/>
    <col min="13032" max="13032" width="14" style="346" customWidth="1"/>
    <col min="13033" max="13033" width="14.19921875" style="346" bestFit="1" customWidth="1"/>
    <col min="13034" max="13035" width="15" style="346" bestFit="1" customWidth="1"/>
    <col min="13036" max="13036" width="13" style="346" bestFit="1" customWidth="1"/>
    <col min="13037" max="13059" width="11.3984375" style="346"/>
    <col min="13060" max="13060" width="13.796875" style="346" bestFit="1" customWidth="1"/>
    <col min="13061" max="13281" width="11.3984375" style="346"/>
    <col min="13282" max="13282" width="26.19921875" style="346" customWidth="1"/>
    <col min="13283" max="13283" width="69" style="346" customWidth="1"/>
    <col min="13284" max="13284" width="23" style="346" bestFit="1" customWidth="1"/>
    <col min="13285" max="13285" width="16" style="346" customWidth="1"/>
    <col min="13286" max="13287" width="14.19921875" style="346" bestFit="1" customWidth="1"/>
    <col min="13288" max="13288" width="14" style="346" customWidth="1"/>
    <col min="13289" max="13289" width="14.19921875" style="346" bestFit="1" customWidth="1"/>
    <col min="13290" max="13291" width="15" style="346" bestFit="1" customWidth="1"/>
    <col min="13292" max="13292" width="13" style="346" bestFit="1" customWidth="1"/>
    <col min="13293" max="13315" width="11.3984375" style="346"/>
    <col min="13316" max="13316" width="13.796875" style="346" bestFit="1" customWidth="1"/>
    <col min="13317" max="13537" width="11.3984375" style="346"/>
    <col min="13538" max="13538" width="26.19921875" style="346" customWidth="1"/>
    <col min="13539" max="13539" width="69" style="346" customWidth="1"/>
    <col min="13540" max="13540" width="23" style="346" bestFit="1" customWidth="1"/>
    <col min="13541" max="13541" width="16" style="346" customWidth="1"/>
    <col min="13542" max="13543" width="14.19921875" style="346" bestFit="1" customWidth="1"/>
    <col min="13544" max="13544" width="14" style="346" customWidth="1"/>
    <col min="13545" max="13545" width="14.19921875" style="346" bestFit="1" customWidth="1"/>
    <col min="13546" max="13547" width="15" style="346" bestFit="1" customWidth="1"/>
    <col min="13548" max="13548" width="13" style="346" bestFit="1" customWidth="1"/>
    <col min="13549" max="13571" width="11.3984375" style="346"/>
    <col min="13572" max="13572" width="13.796875" style="346" bestFit="1" customWidth="1"/>
    <col min="13573" max="13793" width="11.3984375" style="346"/>
    <col min="13794" max="13794" width="26.19921875" style="346" customWidth="1"/>
    <col min="13795" max="13795" width="69" style="346" customWidth="1"/>
    <col min="13796" max="13796" width="23" style="346" bestFit="1" customWidth="1"/>
    <col min="13797" max="13797" width="16" style="346" customWidth="1"/>
    <col min="13798" max="13799" width="14.19921875" style="346" bestFit="1" customWidth="1"/>
    <col min="13800" max="13800" width="14" style="346" customWidth="1"/>
    <col min="13801" max="13801" width="14.19921875" style="346" bestFit="1" customWidth="1"/>
    <col min="13802" max="13803" width="15" style="346" bestFit="1" customWidth="1"/>
    <col min="13804" max="13804" width="13" style="346" bestFit="1" customWidth="1"/>
    <col min="13805" max="13827" width="11.3984375" style="346"/>
    <col min="13828" max="13828" width="13.796875" style="346" bestFit="1" customWidth="1"/>
    <col min="13829" max="14049" width="11.3984375" style="346"/>
    <col min="14050" max="14050" width="26.19921875" style="346" customWidth="1"/>
    <col min="14051" max="14051" width="69" style="346" customWidth="1"/>
    <col min="14052" max="14052" width="23" style="346" bestFit="1" customWidth="1"/>
    <col min="14053" max="14053" width="16" style="346" customWidth="1"/>
    <col min="14054" max="14055" width="14.19921875" style="346" bestFit="1" customWidth="1"/>
    <col min="14056" max="14056" width="14" style="346" customWidth="1"/>
    <col min="14057" max="14057" width="14.19921875" style="346" bestFit="1" customWidth="1"/>
    <col min="14058" max="14059" width="15" style="346" bestFit="1" customWidth="1"/>
    <col min="14060" max="14060" width="13" style="346" bestFit="1" customWidth="1"/>
    <col min="14061" max="14083" width="11.3984375" style="346"/>
    <col min="14084" max="14084" width="13.796875" style="346" bestFit="1" customWidth="1"/>
    <col min="14085" max="14305" width="11.3984375" style="346"/>
    <col min="14306" max="14306" width="26.19921875" style="346" customWidth="1"/>
    <col min="14307" max="14307" width="69" style="346" customWidth="1"/>
    <col min="14308" max="14308" width="23" style="346" bestFit="1" customWidth="1"/>
    <col min="14309" max="14309" width="16" style="346" customWidth="1"/>
    <col min="14310" max="14311" width="14.19921875" style="346" bestFit="1" customWidth="1"/>
    <col min="14312" max="14312" width="14" style="346" customWidth="1"/>
    <col min="14313" max="14313" width="14.19921875" style="346" bestFit="1" customWidth="1"/>
    <col min="14314" max="14315" width="15" style="346" bestFit="1" customWidth="1"/>
    <col min="14316" max="14316" width="13" style="346" bestFit="1" customWidth="1"/>
    <col min="14317" max="14339" width="11.3984375" style="346"/>
    <col min="14340" max="14340" width="13.796875" style="346" bestFit="1" customWidth="1"/>
    <col min="14341" max="14561" width="11.3984375" style="346"/>
    <col min="14562" max="14562" width="26.19921875" style="346" customWidth="1"/>
    <col min="14563" max="14563" width="69" style="346" customWidth="1"/>
    <col min="14564" max="14564" width="23" style="346" bestFit="1" customWidth="1"/>
    <col min="14565" max="14565" width="16" style="346" customWidth="1"/>
    <col min="14566" max="14567" width="14.19921875" style="346" bestFit="1" customWidth="1"/>
    <col min="14568" max="14568" width="14" style="346" customWidth="1"/>
    <col min="14569" max="14569" width="14.19921875" style="346" bestFit="1" customWidth="1"/>
    <col min="14570" max="14571" width="15" style="346" bestFit="1" customWidth="1"/>
    <col min="14572" max="14572" width="13" style="346" bestFit="1" customWidth="1"/>
    <col min="14573" max="14595" width="11.3984375" style="346"/>
    <col min="14596" max="14596" width="13.796875" style="346" bestFit="1" customWidth="1"/>
    <col min="14597" max="14817" width="11.3984375" style="346"/>
    <col min="14818" max="14818" width="26.19921875" style="346" customWidth="1"/>
    <col min="14819" max="14819" width="69" style="346" customWidth="1"/>
    <col min="14820" max="14820" width="23" style="346" bestFit="1" customWidth="1"/>
    <col min="14821" max="14821" width="16" style="346" customWidth="1"/>
    <col min="14822" max="14823" width="14.19921875" style="346" bestFit="1" customWidth="1"/>
    <col min="14824" max="14824" width="14" style="346" customWidth="1"/>
    <col min="14825" max="14825" width="14.19921875" style="346" bestFit="1" customWidth="1"/>
    <col min="14826" max="14827" width="15" style="346" bestFit="1" customWidth="1"/>
    <col min="14828" max="14828" width="13" style="346" bestFit="1" customWidth="1"/>
    <col min="14829" max="14851" width="11.3984375" style="346"/>
    <col min="14852" max="14852" width="13.796875" style="346" bestFit="1" customWidth="1"/>
    <col min="14853" max="15073" width="11.3984375" style="346"/>
    <col min="15074" max="15074" width="26.19921875" style="346" customWidth="1"/>
    <col min="15075" max="15075" width="69" style="346" customWidth="1"/>
    <col min="15076" max="15076" width="23" style="346" bestFit="1" customWidth="1"/>
    <col min="15077" max="15077" width="16" style="346" customWidth="1"/>
    <col min="15078" max="15079" width="14.19921875" style="346" bestFit="1" customWidth="1"/>
    <col min="15080" max="15080" width="14" style="346" customWidth="1"/>
    <col min="15081" max="15081" width="14.19921875" style="346" bestFit="1" customWidth="1"/>
    <col min="15082" max="15083" width="15" style="346" bestFit="1" customWidth="1"/>
    <col min="15084" max="15084" width="13" style="346" bestFit="1" customWidth="1"/>
    <col min="15085" max="15107" width="11.3984375" style="346"/>
    <col min="15108" max="15108" width="13.796875" style="346" bestFit="1" customWidth="1"/>
    <col min="15109" max="15329" width="11.3984375" style="346"/>
    <col min="15330" max="15330" width="26.19921875" style="346" customWidth="1"/>
    <col min="15331" max="15331" width="69" style="346" customWidth="1"/>
    <col min="15332" max="15332" width="23" style="346" bestFit="1" customWidth="1"/>
    <col min="15333" max="15333" width="16" style="346" customWidth="1"/>
    <col min="15334" max="15335" width="14.19921875" style="346" bestFit="1" customWidth="1"/>
    <col min="15336" max="15336" width="14" style="346" customWidth="1"/>
    <col min="15337" max="15337" width="14.19921875" style="346" bestFit="1" customWidth="1"/>
    <col min="15338" max="15339" width="15" style="346" bestFit="1" customWidth="1"/>
    <col min="15340" max="15340" width="13" style="346" bestFit="1" customWidth="1"/>
    <col min="15341" max="15363" width="11.3984375" style="346"/>
    <col min="15364" max="15364" width="13.796875" style="346" bestFit="1" customWidth="1"/>
    <col min="15365" max="15585" width="11.3984375" style="346"/>
    <col min="15586" max="15586" width="26.19921875" style="346" customWidth="1"/>
    <col min="15587" max="15587" width="69" style="346" customWidth="1"/>
    <col min="15588" max="15588" width="23" style="346" bestFit="1" customWidth="1"/>
    <col min="15589" max="15589" width="16" style="346" customWidth="1"/>
    <col min="15590" max="15591" width="14.19921875" style="346" bestFit="1" customWidth="1"/>
    <col min="15592" max="15592" width="14" style="346" customWidth="1"/>
    <col min="15593" max="15593" width="14.19921875" style="346" bestFit="1" customWidth="1"/>
    <col min="15594" max="15595" width="15" style="346" bestFit="1" customWidth="1"/>
    <col min="15596" max="15596" width="13" style="346" bestFit="1" customWidth="1"/>
    <col min="15597" max="15619" width="11.3984375" style="346"/>
    <col min="15620" max="15620" width="13.796875" style="346" bestFit="1" customWidth="1"/>
    <col min="15621" max="15841" width="11.3984375" style="346"/>
    <col min="15842" max="15842" width="26.19921875" style="346" customWidth="1"/>
    <col min="15843" max="15843" width="69" style="346" customWidth="1"/>
    <col min="15844" max="15844" width="23" style="346" bestFit="1" customWidth="1"/>
    <col min="15845" max="15845" width="16" style="346" customWidth="1"/>
    <col min="15846" max="15847" width="14.19921875" style="346" bestFit="1" customWidth="1"/>
    <col min="15848" max="15848" width="14" style="346" customWidth="1"/>
    <col min="15849" max="15849" width="14.19921875" style="346" bestFit="1" customWidth="1"/>
    <col min="15850" max="15851" width="15" style="346" bestFit="1" customWidth="1"/>
    <col min="15852" max="15852" width="13" style="346" bestFit="1" customWidth="1"/>
    <col min="15853" max="15875" width="11.3984375" style="346"/>
    <col min="15876" max="15876" width="13.796875" style="346" bestFit="1" customWidth="1"/>
    <col min="15877" max="16097" width="11.3984375" style="346"/>
    <col min="16098" max="16098" width="26.19921875" style="346" customWidth="1"/>
    <col min="16099" max="16099" width="69" style="346" customWidth="1"/>
    <col min="16100" max="16100" width="23" style="346" bestFit="1" customWidth="1"/>
    <col min="16101" max="16101" width="16" style="346" customWidth="1"/>
    <col min="16102" max="16103" width="14.19921875" style="346" bestFit="1" customWidth="1"/>
    <col min="16104" max="16104" width="14" style="346" customWidth="1"/>
    <col min="16105" max="16105" width="14.19921875" style="346" bestFit="1" customWidth="1"/>
    <col min="16106" max="16107" width="15" style="346" bestFit="1" customWidth="1"/>
    <col min="16108" max="16108" width="13" style="346" bestFit="1" customWidth="1"/>
    <col min="16109" max="16131" width="11.3984375" style="346"/>
    <col min="16132" max="16132" width="13.796875" style="346" bestFit="1" customWidth="1"/>
    <col min="16133" max="16384" width="11.3984375" style="346"/>
  </cols>
  <sheetData>
    <row r="1" spans="1:12" ht="75" customHeight="1">
      <c r="A1" s="658"/>
      <c r="B1" s="657" t="str">
        <f>'H1'!B7:E7</f>
        <v>PROYECTO: MANTENIMIENTO DE LA VÍA QUE CONDUCE  DE "LA BODEGA" HACIA LA VEREDA "SABANA RUBIA" DEL
 MUNICIPIO DE LA PAZ, DEPARTAMENTO DEL CESAR.</v>
      </c>
      <c r="C1" s="657"/>
      <c r="D1" s="657"/>
      <c r="E1" s="657"/>
      <c r="F1" s="657"/>
      <c r="G1" s="657"/>
      <c r="H1" s="657"/>
      <c r="I1" s="450"/>
      <c r="J1" s="451"/>
      <c r="K1" s="646"/>
      <c r="L1" s="652"/>
    </row>
    <row r="2" spans="1:12" ht="21" customHeight="1">
      <c r="A2" s="658"/>
      <c r="B2" s="657" t="s">
        <v>613</v>
      </c>
      <c r="C2" s="657"/>
      <c r="D2" s="657"/>
      <c r="E2" s="657"/>
      <c r="F2" s="657"/>
      <c r="G2" s="657"/>
      <c r="H2" s="657"/>
      <c r="I2" s="449"/>
      <c r="J2" s="452"/>
      <c r="K2" s="648"/>
      <c r="L2" s="653"/>
    </row>
    <row r="3" spans="1:12" ht="21" customHeight="1">
      <c r="A3" s="658"/>
      <c r="B3" s="657" t="s">
        <v>611</v>
      </c>
      <c r="C3" s="657"/>
      <c r="D3" s="657"/>
      <c r="E3" s="657"/>
      <c r="F3" s="657"/>
      <c r="G3" s="657"/>
      <c r="H3" s="657"/>
      <c r="I3" s="449"/>
      <c r="J3" s="452"/>
      <c r="K3" s="648"/>
      <c r="L3" s="653"/>
    </row>
    <row r="4" spans="1:12" ht="21" customHeight="1">
      <c r="A4" s="658"/>
      <c r="B4" s="657" t="s">
        <v>614</v>
      </c>
      <c r="C4" s="657"/>
      <c r="D4" s="657"/>
      <c r="E4" s="657"/>
      <c r="F4" s="657"/>
      <c r="G4" s="657"/>
      <c r="H4" s="657"/>
      <c r="I4" s="449"/>
      <c r="J4" s="452"/>
      <c r="K4" s="650"/>
      <c r="L4" s="654"/>
    </row>
    <row r="5" spans="1:12" s="448" customFormat="1" ht="21" customHeight="1">
      <c r="A5" s="459"/>
      <c r="B5" s="460"/>
      <c r="C5" s="460"/>
      <c r="D5" s="460"/>
      <c r="E5" s="460"/>
      <c r="F5" s="460"/>
      <c r="G5" s="460"/>
      <c r="H5" s="460"/>
      <c r="I5" s="447"/>
      <c r="J5" s="447"/>
      <c r="K5" s="447"/>
      <c r="L5" s="447"/>
    </row>
    <row r="6" spans="1:12" ht="21.75" customHeight="1">
      <c r="A6" s="657" t="s">
        <v>16</v>
      </c>
      <c r="B6" s="658" t="s">
        <v>81</v>
      </c>
      <c r="C6" s="665" t="s">
        <v>615</v>
      </c>
      <c r="D6" s="655" t="s">
        <v>616</v>
      </c>
      <c r="E6" s="656"/>
      <c r="F6" s="656"/>
      <c r="G6" s="656"/>
      <c r="H6" s="656"/>
      <c r="I6" s="449"/>
      <c r="J6" s="449"/>
      <c r="K6" s="449"/>
      <c r="L6" s="449"/>
    </row>
    <row r="7" spans="1:12" ht="22.5" customHeight="1">
      <c r="A7" s="657"/>
      <c r="B7" s="658"/>
      <c r="C7" s="665"/>
      <c r="D7" s="458" t="s">
        <v>625</v>
      </c>
      <c r="E7" s="458" t="s">
        <v>626</v>
      </c>
      <c r="F7" s="458" t="s">
        <v>700</v>
      </c>
      <c r="G7" s="458" t="s">
        <v>701</v>
      </c>
      <c r="H7" s="458" t="s">
        <v>702</v>
      </c>
      <c r="I7" s="345"/>
      <c r="J7" s="345"/>
      <c r="K7" s="345"/>
      <c r="L7" s="345"/>
    </row>
    <row r="8" spans="1:12" ht="22.5" customHeight="1">
      <c r="A8" s="453" t="s">
        <v>617</v>
      </c>
      <c r="B8" s="454" t="s">
        <v>618</v>
      </c>
      <c r="C8" s="455" t="s">
        <v>619</v>
      </c>
      <c r="D8" s="458"/>
      <c r="E8" s="458"/>
      <c r="F8" s="458"/>
      <c r="G8" s="458"/>
      <c r="H8" s="458"/>
      <c r="I8" s="345"/>
      <c r="J8" s="345"/>
      <c r="K8" s="345"/>
      <c r="L8" s="345"/>
    </row>
    <row r="9" spans="1:12" ht="22.5" customHeight="1">
      <c r="A9" s="659" t="s">
        <v>633</v>
      </c>
      <c r="B9" s="660"/>
      <c r="C9" s="661"/>
      <c r="D9" s="471"/>
      <c r="E9" s="471"/>
      <c r="F9" s="458"/>
      <c r="G9" s="458"/>
      <c r="H9" s="458"/>
      <c r="I9" s="345"/>
      <c r="J9" s="345"/>
      <c r="K9" s="345"/>
      <c r="L9" s="345"/>
    </row>
    <row r="10" spans="1:12" ht="42.75" customHeight="1">
      <c r="A10" s="453">
        <v>1</v>
      </c>
      <c r="B10" s="454" t="str">
        <f>PRESUPUESTO!B9</f>
        <v>MANTENIMIENTO VIAL</v>
      </c>
      <c r="C10" s="455"/>
      <c r="D10" s="458"/>
      <c r="E10" s="458"/>
      <c r="F10" s="458"/>
      <c r="G10" s="458"/>
      <c r="H10" s="458"/>
      <c r="I10" s="345"/>
      <c r="J10" s="345"/>
      <c r="K10" s="345"/>
      <c r="L10" s="345"/>
    </row>
    <row r="11" spans="1:12" ht="68">
      <c r="A11" s="456" t="s">
        <v>620</v>
      </c>
      <c r="B11" s="457" t="str">
        <f>PRESUPUESTO!B10</f>
        <v>ROCERÍA Y LIMPIEZA GENERAL DE VEGETACIÓN EN ZONA DE INFLUENCIA VIAL, INCLUYE DESMONTE DE MALEZA, DESTRONQUE, RECOLECCIÓN Y RETIRO DE MATERIAL VEGETAL Y RESIDUOS EXISTENTES.</v>
      </c>
      <c r="C11" s="614">
        <f>PRESUPUESTO!F10+(PRESUPUESTO!F10*30%)</f>
        <v>18187969.191375472</v>
      </c>
      <c r="D11" s="472"/>
      <c r="E11" s="472"/>
      <c r="F11" s="607">
        <f>C11/2</f>
        <v>9093984.5956877358</v>
      </c>
      <c r="G11" s="607">
        <f>C11/2</f>
        <v>9093984.5956877358</v>
      </c>
      <c r="H11" s="472"/>
      <c r="I11" s="377"/>
      <c r="J11" s="377"/>
      <c r="K11" s="377"/>
      <c r="L11" s="345"/>
    </row>
    <row r="12" spans="1:12" ht="52" thickBot="1">
      <c r="A12" s="456" t="s">
        <v>621</v>
      </c>
      <c r="B12" s="457" t="str">
        <f>PRESUPUESTO!B11</f>
        <v>LIMPIEZA MANUAL DE CUNETAS CON ANCHO PROMEDIO DE 50 CM, INCLUYE RETIRO DE SEDIMENTOS Y MATERIAL VEGETAL</v>
      </c>
      <c r="C12" s="614">
        <f>PRESUPUESTO!F11+(PRESUPUESTO!F11*30%)</f>
        <v>16094336.868689926</v>
      </c>
      <c r="D12" s="473"/>
      <c r="E12" s="473"/>
      <c r="F12" s="608">
        <f>C12/2</f>
        <v>8047168.4343449632</v>
      </c>
      <c r="G12" s="608">
        <f>C12/2</f>
        <v>8047168.4343449632</v>
      </c>
      <c r="H12" s="472"/>
      <c r="I12" s="379"/>
      <c r="J12" s="369">
        <v>3616758.97</v>
      </c>
      <c r="K12" s="379"/>
      <c r="L12" s="345"/>
    </row>
    <row r="13" spans="1:12" ht="51">
      <c r="A13" s="456" t="s">
        <v>750</v>
      </c>
      <c r="B13" s="457" t="str">
        <f>PRESUPUESTO!B12</f>
        <v>EXCAVACIÓN PARA LA CONFORMACIÓN MANUAL DE CUNETAS EN TERRENO NATURAL, ANCHO PROMEDIO DE 50 CM, H=40 CM. INCLUYE DESCAPOTE</v>
      </c>
      <c r="C13" s="614">
        <f>PRESUPUESTO!F12+(PRESUPUESTO!F12*30%)</f>
        <v>14518736.868689924</v>
      </c>
      <c r="D13" s="473"/>
      <c r="E13" s="473"/>
      <c r="F13" s="607">
        <f>C13/2</f>
        <v>7259368.4343449622</v>
      </c>
      <c r="G13" s="607">
        <f>C13/2</f>
        <v>7259368.4343449622</v>
      </c>
      <c r="H13" s="472"/>
      <c r="I13" s="379"/>
      <c r="J13" s="629"/>
      <c r="K13" s="379"/>
      <c r="L13" s="345"/>
    </row>
    <row r="14" spans="1:12" ht="22.5" customHeight="1">
      <c r="A14" s="662" t="s">
        <v>622</v>
      </c>
      <c r="B14" s="663"/>
      <c r="C14" s="613">
        <f>C11+C12+C13</f>
        <v>48801042.928755321</v>
      </c>
      <c r="D14" s="458"/>
      <c r="E14" s="458"/>
      <c r="F14" s="609"/>
      <c r="G14" s="609"/>
      <c r="H14" s="458"/>
      <c r="I14" s="345"/>
      <c r="J14" s="345"/>
      <c r="K14" s="345"/>
      <c r="L14" s="345"/>
    </row>
    <row r="15" spans="1:12" ht="22.5" customHeight="1">
      <c r="A15" s="659" t="s">
        <v>634</v>
      </c>
      <c r="B15" s="660"/>
      <c r="C15" s="661"/>
      <c r="D15" s="458"/>
      <c r="E15" s="458"/>
      <c r="F15" s="609"/>
      <c r="G15" s="609"/>
      <c r="H15" s="471"/>
      <c r="I15" s="345"/>
      <c r="J15" s="345"/>
      <c r="K15" s="345"/>
      <c r="L15" s="378"/>
    </row>
    <row r="16" spans="1:12" ht="22.5" customHeight="1">
      <c r="A16" s="461"/>
      <c r="B16" s="462"/>
      <c r="C16" s="474"/>
      <c r="D16" s="463"/>
      <c r="E16" s="463"/>
      <c r="F16" s="610"/>
      <c r="G16" s="610"/>
      <c r="H16" s="463"/>
      <c r="I16" s="348"/>
      <c r="J16" s="348"/>
      <c r="K16" s="348"/>
      <c r="L16" s="348"/>
    </row>
    <row r="17" spans="1:12" ht="22.5" customHeight="1">
      <c r="A17" s="464"/>
      <c r="B17" s="476" t="s">
        <v>12</v>
      </c>
      <c r="C17" s="612">
        <f>C14</f>
        <v>48801042.928755321</v>
      </c>
      <c r="D17" s="475"/>
      <c r="E17" s="475"/>
      <c r="F17" s="611">
        <f>F11+F12+F13</f>
        <v>24400521.46437766</v>
      </c>
      <c r="G17" s="611">
        <f>G11+G12+G13</f>
        <v>24400521.46437766</v>
      </c>
      <c r="H17" s="475"/>
      <c r="I17" s="477"/>
      <c r="J17" s="349"/>
      <c r="K17" s="349"/>
      <c r="L17" s="349"/>
    </row>
    <row r="18" spans="1:12" customFormat="1" ht="14">
      <c r="A18" s="373"/>
      <c r="B18" s="371"/>
      <c r="C18" s="372"/>
    </row>
    <row r="19" spans="1:12" customFormat="1" ht="14">
      <c r="A19" s="370" t="s">
        <v>629</v>
      </c>
      <c r="B19" s="371"/>
      <c r="C19" s="372"/>
    </row>
    <row r="20" spans="1:12" customFormat="1" ht="14">
      <c r="A20" s="370"/>
      <c r="B20" s="371"/>
      <c r="C20" s="372"/>
    </row>
    <row r="21" spans="1:12" customFormat="1" ht="14">
      <c r="A21" s="370"/>
      <c r="B21" s="371"/>
      <c r="C21" s="372"/>
    </row>
    <row r="22" spans="1:12" customFormat="1" ht="14">
      <c r="A22" s="370"/>
      <c r="B22" s="371"/>
      <c r="C22" s="372"/>
    </row>
    <row r="23" spans="1:12" customFormat="1" ht="14">
      <c r="A23" s="350"/>
      <c r="B23" s="372"/>
    </row>
    <row r="24" spans="1:12" customFormat="1" ht="16">
      <c r="A24" s="535" t="s">
        <v>733</v>
      </c>
      <c r="B24" s="372"/>
    </row>
    <row r="25" spans="1:12" customFormat="1" ht="16">
      <c r="A25" s="535" t="s">
        <v>630</v>
      </c>
      <c r="B25" s="372"/>
    </row>
    <row r="26" spans="1:12" customFormat="1" ht="16">
      <c r="A26" s="535" t="s">
        <v>631</v>
      </c>
      <c r="B26" s="375"/>
    </row>
    <row r="27" spans="1:12" customFormat="1" ht="16">
      <c r="A27" s="535" t="s">
        <v>632</v>
      </c>
      <c r="B27" s="375"/>
    </row>
    <row r="28" spans="1:12" customFormat="1" ht="15">
      <c r="A28" s="536"/>
      <c r="B28" s="375"/>
    </row>
    <row r="29" spans="1:12" customFormat="1" ht="16">
      <c r="A29" s="536"/>
      <c r="B29" s="375"/>
      <c r="C29" s="6"/>
      <c r="D29" s="6"/>
      <c r="E29" s="6"/>
      <c r="F29" s="6"/>
      <c r="G29" s="6"/>
    </row>
    <row r="30" spans="1:12" customFormat="1" ht="15">
      <c r="A30" s="537"/>
      <c r="B30" s="375"/>
    </row>
    <row r="31" spans="1:12" customFormat="1" ht="15">
      <c r="A31" s="536"/>
      <c r="B31" s="375"/>
    </row>
    <row r="32" spans="1:12" customFormat="1" ht="14">
      <c r="A32" s="375"/>
      <c r="B32" s="375"/>
    </row>
    <row r="33" spans="1:12" customFormat="1" ht="14">
      <c r="A33" s="664"/>
      <c r="B33" s="664"/>
      <c r="C33" s="664"/>
    </row>
    <row r="34" spans="1:12" customFormat="1" ht="14">
      <c r="A34" s="374"/>
      <c r="B34" s="374"/>
      <c r="C34" s="375"/>
    </row>
    <row r="35" spans="1:12">
      <c r="A35" s="350"/>
      <c r="B35" s="350"/>
      <c r="C35" s="350"/>
      <c r="D35" s="350"/>
      <c r="E35" s="350"/>
      <c r="F35" s="350"/>
      <c r="G35" s="350"/>
      <c r="H35" s="351"/>
      <c r="I35" s="350"/>
      <c r="J35" s="352"/>
      <c r="K35" s="350"/>
      <c r="L35" s="350"/>
    </row>
    <row r="36" spans="1:12">
      <c r="A36" s="350"/>
      <c r="B36" s="350"/>
      <c r="C36" s="350"/>
      <c r="D36" s="350"/>
      <c r="E36" s="350"/>
      <c r="F36" s="350"/>
      <c r="G36" s="350"/>
      <c r="H36" s="351"/>
      <c r="I36" s="350"/>
      <c r="J36" s="352"/>
      <c r="K36" s="350"/>
      <c r="L36" s="350"/>
    </row>
    <row r="37" spans="1:12">
      <c r="A37" s="350"/>
      <c r="B37" s="350"/>
      <c r="C37" s="350"/>
      <c r="D37" s="350"/>
      <c r="E37" s="350"/>
      <c r="F37" s="350"/>
      <c r="G37" s="350"/>
      <c r="H37" s="350"/>
      <c r="I37" s="350"/>
      <c r="J37" s="352"/>
      <c r="K37" s="350"/>
      <c r="L37" s="350"/>
    </row>
    <row r="38" spans="1:12">
      <c r="A38" s="350"/>
      <c r="B38" s="350"/>
      <c r="C38" s="350"/>
      <c r="D38" s="350"/>
      <c r="E38" s="350"/>
      <c r="F38" s="350"/>
      <c r="G38" s="350"/>
      <c r="H38" s="350"/>
      <c r="I38" s="350"/>
      <c r="J38" s="352"/>
      <c r="K38" s="350"/>
      <c r="L38" s="350"/>
    </row>
    <row r="39" spans="1:12" s="356" customFormat="1" ht="24">
      <c r="A39" s="353"/>
      <c r="B39" s="350"/>
      <c r="C39" s="350"/>
      <c r="D39" s="350"/>
      <c r="E39" s="350"/>
      <c r="F39" s="350"/>
      <c r="G39" s="350"/>
      <c r="H39" s="353"/>
      <c r="I39" s="353"/>
      <c r="J39" s="355"/>
      <c r="K39" s="355"/>
      <c r="L39" s="355"/>
    </row>
    <row r="40" spans="1:12" s="356" customFormat="1" ht="24">
      <c r="A40" s="353"/>
      <c r="B40" s="350"/>
      <c r="C40" s="350"/>
      <c r="D40" s="350"/>
      <c r="E40" s="350"/>
      <c r="F40" s="350"/>
      <c r="G40" s="350"/>
      <c r="H40" s="357"/>
      <c r="I40" s="353"/>
      <c r="J40" s="355"/>
      <c r="K40" s="355"/>
      <c r="L40" s="355"/>
    </row>
    <row r="41" spans="1:12" s="356" customFormat="1" ht="24">
      <c r="A41" s="353"/>
      <c r="B41" s="353"/>
      <c r="C41" s="354"/>
      <c r="D41" s="357"/>
      <c r="E41" s="357"/>
      <c r="F41" s="357"/>
      <c r="G41" s="357"/>
      <c r="H41" s="357"/>
      <c r="I41" s="353"/>
      <c r="J41" s="355"/>
      <c r="K41" s="355"/>
      <c r="L41" s="355"/>
    </row>
    <row r="44" spans="1:12" s="356" customFormat="1" ht="24">
      <c r="A44" s="353"/>
      <c r="B44" s="353"/>
      <c r="C44" s="354"/>
      <c r="D44" s="353"/>
      <c r="E44" s="353"/>
      <c r="F44" s="353"/>
      <c r="G44" s="353"/>
      <c r="H44" s="353"/>
      <c r="I44" s="353"/>
      <c r="J44" s="355"/>
      <c r="K44" s="355"/>
      <c r="L44" s="355"/>
    </row>
    <row r="45" spans="1:12" s="356" customFormat="1" ht="24">
      <c r="A45" s="353"/>
      <c r="B45" s="353"/>
      <c r="C45" s="354"/>
      <c r="D45" s="357"/>
      <c r="E45" s="357"/>
      <c r="F45" s="357"/>
      <c r="G45" s="357"/>
      <c r="H45" s="357"/>
      <c r="I45" s="353"/>
      <c r="J45" s="355"/>
      <c r="K45" s="355"/>
      <c r="L45" s="355"/>
    </row>
    <row r="46" spans="1:12" s="356" customFormat="1" ht="24">
      <c r="A46" s="353"/>
      <c r="B46" s="353"/>
      <c r="C46" s="354"/>
      <c r="D46" s="357"/>
      <c r="E46" s="357"/>
      <c r="F46" s="357"/>
      <c r="G46" s="357"/>
      <c r="H46" s="357"/>
      <c r="I46" s="353"/>
      <c r="J46" s="355"/>
      <c r="K46" s="355"/>
      <c r="L46" s="355"/>
    </row>
    <row r="47" spans="1:12" s="356" customFormat="1" ht="24">
      <c r="A47" s="353"/>
      <c r="B47" s="353"/>
      <c r="C47" s="354"/>
      <c r="D47" s="353"/>
      <c r="E47" s="353"/>
      <c r="F47" s="353"/>
      <c r="G47" s="353"/>
      <c r="H47" s="353"/>
      <c r="I47" s="353"/>
      <c r="J47" s="355"/>
      <c r="K47" s="355"/>
      <c r="L47" s="355"/>
    </row>
    <row r="49" spans="1:12" s="356" customFormat="1" ht="24">
      <c r="A49" s="353"/>
      <c r="B49" s="353"/>
      <c r="C49" s="354"/>
      <c r="D49" s="353"/>
      <c r="E49" s="353"/>
      <c r="F49" s="353"/>
      <c r="G49" s="353"/>
      <c r="H49" s="353"/>
      <c r="I49" s="353"/>
      <c r="J49" s="355"/>
      <c r="K49" s="355"/>
      <c r="L49" s="355"/>
    </row>
    <row r="50" spans="1:12" s="356" customFormat="1" ht="24">
      <c r="A50" s="353"/>
      <c r="B50" s="353"/>
      <c r="C50" s="354"/>
      <c r="D50" s="357"/>
      <c r="E50" s="357"/>
      <c r="F50" s="357"/>
      <c r="G50" s="357"/>
      <c r="H50" s="357"/>
      <c r="I50" s="353"/>
      <c r="J50" s="355"/>
      <c r="K50" s="355"/>
      <c r="L50" s="355"/>
    </row>
    <row r="51" spans="1:12" s="356" customFormat="1" ht="24">
      <c r="A51" s="353"/>
      <c r="B51" s="353"/>
      <c r="C51" s="354"/>
      <c r="D51" s="357"/>
      <c r="E51" s="357"/>
      <c r="F51" s="357"/>
      <c r="G51" s="357"/>
      <c r="H51" s="357"/>
      <c r="I51" s="353"/>
      <c r="J51" s="355"/>
      <c r="K51" s="355"/>
      <c r="L51" s="355"/>
    </row>
    <row r="52" spans="1:12" s="356" customFormat="1" ht="24">
      <c r="A52" s="353"/>
      <c r="B52" s="353"/>
      <c r="C52" s="354"/>
      <c r="D52" s="353"/>
      <c r="E52" s="353"/>
      <c r="F52" s="353"/>
      <c r="G52" s="353"/>
      <c r="H52" s="353"/>
      <c r="I52" s="353"/>
      <c r="J52" s="355"/>
      <c r="K52" s="355"/>
      <c r="L52" s="355"/>
    </row>
    <row r="53" spans="1:12" s="356" customFormat="1" ht="24">
      <c r="A53" s="353"/>
      <c r="B53" s="353"/>
      <c r="C53" s="354"/>
      <c r="D53" s="353" t="s">
        <v>623</v>
      </c>
      <c r="E53" s="353"/>
      <c r="F53" s="353"/>
      <c r="G53" s="353"/>
      <c r="H53" s="353" t="s">
        <v>624</v>
      </c>
      <c r="I53" s="353"/>
      <c r="J53" s="355"/>
      <c r="K53" s="355"/>
      <c r="L53" s="355"/>
    </row>
    <row r="54" spans="1:12" s="356" customFormat="1" ht="24">
      <c r="A54" s="353"/>
      <c r="B54" s="353"/>
      <c r="C54" s="354"/>
      <c r="D54" s="353">
        <v>5</v>
      </c>
      <c r="E54" s="353"/>
      <c r="F54" s="353"/>
      <c r="G54" s="353"/>
      <c r="H54" s="353">
        <v>5</v>
      </c>
      <c r="I54" s="353">
        <f>SUM(D54:H54)</f>
        <v>10</v>
      </c>
      <c r="J54" s="355"/>
      <c r="K54" s="355"/>
      <c r="L54" s="355"/>
    </row>
    <row r="55" spans="1:12" s="356" customFormat="1" ht="24">
      <c r="A55" s="353"/>
      <c r="B55" s="353"/>
      <c r="C55" s="354"/>
      <c r="D55" s="357" t="e">
        <f>#REF!*D54%</f>
        <v>#REF!</v>
      </c>
      <c r="E55" s="357"/>
      <c r="F55" s="357"/>
      <c r="G55" s="357"/>
      <c r="H55" s="357" t="e">
        <f>#REF!*H54%</f>
        <v>#REF!</v>
      </c>
      <c r="I55" s="353"/>
      <c r="J55" s="355"/>
      <c r="K55" s="355"/>
      <c r="L55" s="355"/>
    </row>
    <row r="56" spans="1:12" s="356" customFormat="1" ht="24">
      <c r="A56" s="353"/>
      <c r="B56" s="353"/>
      <c r="C56" s="354"/>
      <c r="D56" s="357" t="e">
        <f>D55*30%+D55</f>
        <v>#REF!</v>
      </c>
      <c r="E56" s="357"/>
      <c r="F56" s="357"/>
      <c r="G56" s="357"/>
      <c r="H56" s="357" t="e">
        <f>H55*30%+H55</f>
        <v>#REF!</v>
      </c>
      <c r="I56" s="353"/>
      <c r="J56" s="355"/>
      <c r="K56" s="355"/>
      <c r="L56" s="355"/>
    </row>
    <row r="57" spans="1:12" s="356" customFormat="1" ht="24">
      <c r="A57" s="353"/>
      <c r="B57" s="353"/>
      <c r="C57" s="354"/>
      <c r="D57" s="353"/>
      <c r="E57" s="353"/>
      <c r="F57" s="353"/>
      <c r="G57" s="353"/>
      <c r="H57" s="353"/>
      <c r="I57" s="353"/>
      <c r="J57" s="355"/>
      <c r="K57" s="355"/>
      <c r="L57" s="355"/>
    </row>
    <row r="58" spans="1:12" s="356" customFormat="1" ht="24">
      <c r="A58" s="353"/>
      <c r="B58" s="353"/>
      <c r="C58" s="354"/>
      <c r="D58" s="353" t="s">
        <v>623</v>
      </c>
      <c r="E58" s="353"/>
      <c r="F58" s="353"/>
      <c r="G58" s="353"/>
      <c r="H58" s="353" t="s">
        <v>624</v>
      </c>
      <c r="I58" s="353"/>
      <c r="J58" s="355"/>
      <c r="K58" s="355"/>
      <c r="L58" s="355"/>
    </row>
    <row r="59" spans="1:12" s="356" customFormat="1" ht="24">
      <c r="A59" s="353"/>
      <c r="B59" s="353"/>
      <c r="C59" s="354"/>
      <c r="D59" s="353">
        <v>5</v>
      </c>
      <c r="E59" s="353"/>
      <c r="F59" s="353"/>
      <c r="G59" s="353"/>
      <c r="H59" s="353">
        <v>5</v>
      </c>
      <c r="I59" s="353">
        <f>SUM(D59:H59)</f>
        <v>10</v>
      </c>
      <c r="J59" s="355"/>
      <c r="K59" s="355"/>
      <c r="L59" s="355"/>
    </row>
    <row r="60" spans="1:12" s="356" customFormat="1" ht="24">
      <c r="A60" s="353"/>
      <c r="B60" s="353"/>
      <c r="C60" s="354"/>
      <c r="D60" s="357" t="e">
        <f>#REF!*D59%</f>
        <v>#REF!</v>
      </c>
      <c r="E60" s="357"/>
      <c r="F60" s="357"/>
      <c r="G60" s="357"/>
      <c r="H60" s="357" t="e">
        <f>#REF!*H59%</f>
        <v>#REF!</v>
      </c>
      <c r="I60" s="353"/>
      <c r="J60" s="355"/>
      <c r="K60" s="355"/>
      <c r="L60" s="355"/>
    </row>
    <row r="61" spans="1:12" s="356" customFormat="1" ht="24">
      <c r="A61" s="353"/>
      <c r="B61" s="353"/>
      <c r="C61" s="354"/>
      <c r="D61" s="357" t="e">
        <f>D60*30%+D60</f>
        <v>#REF!</v>
      </c>
      <c r="E61" s="357"/>
      <c r="F61" s="357"/>
      <c r="G61" s="357"/>
      <c r="H61" s="357" t="e">
        <f>H60*30%+H60</f>
        <v>#REF!</v>
      </c>
      <c r="I61" s="353"/>
      <c r="J61" s="355"/>
      <c r="K61" s="355"/>
      <c r="L61" s="355"/>
    </row>
    <row r="62" spans="1:12" s="356" customFormat="1" ht="24">
      <c r="A62" s="353"/>
      <c r="B62" s="353"/>
      <c r="C62" s="354"/>
      <c r="D62" s="353"/>
      <c r="E62" s="353"/>
      <c r="F62" s="353"/>
      <c r="G62" s="353"/>
      <c r="H62" s="353"/>
      <c r="I62" s="353"/>
      <c r="J62" s="355"/>
      <c r="K62" s="355"/>
      <c r="L62" s="355"/>
    </row>
    <row r="63" spans="1:12" s="356" customFormat="1" ht="24">
      <c r="A63" s="353"/>
      <c r="B63" s="353"/>
      <c r="C63" s="354"/>
      <c r="D63" s="353" t="s">
        <v>623</v>
      </c>
      <c r="E63" s="353"/>
      <c r="F63" s="353"/>
      <c r="G63" s="353"/>
      <c r="H63" s="353" t="s">
        <v>624</v>
      </c>
      <c r="I63" s="353"/>
      <c r="J63" s="355"/>
      <c r="K63" s="355"/>
      <c r="L63" s="355"/>
    </row>
    <row r="64" spans="1:12" s="356" customFormat="1" ht="24">
      <c r="A64" s="353"/>
      <c r="B64" s="353"/>
      <c r="C64" s="354"/>
      <c r="D64" s="353">
        <v>5</v>
      </c>
      <c r="E64" s="353"/>
      <c r="F64" s="353"/>
      <c r="G64" s="353"/>
      <c r="H64" s="353">
        <v>5</v>
      </c>
      <c r="I64" s="353">
        <f>SUM(D64:H64)</f>
        <v>10</v>
      </c>
      <c r="J64" s="355"/>
      <c r="K64" s="355"/>
      <c r="L64" s="355"/>
    </row>
    <row r="65" spans="1:12" s="356" customFormat="1" ht="24">
      <c r="A65" s="353"/>
      <c r="B65" s="353"/>
      <c r="C65" s="354"/>
      <c r="D65" s="357" t="e">
        <f>#REF!*D64%</f>
        <v>#REF!</v>
      </c>
      <c r="E65" s="357"/>
      <c r="F65" s="357"/>
      <c r="G65" s="357"/>
      <c r="H65" s="357" t="e">
        <f>#REF!*H64%</f>
        <v>#REF!</v>
      </c>
      <c r="I65" s="353"/>
      <c r="J65" s="355"/>
      <c r="K65" s="355"/>
      <c r="L65" s="355"/>
    </row>
    <row r="66" spans="1:12" s="356" customFormat="1" ht="24">
      <c r="A66" s="353"/>
      <c r="B66" s="353"/>
      <c r="C66" s="354"/>
      <c r="D66" s="357" t="e">
        <f>D65*30%+D65</f>
        <v>#REF!</v>
      </c>
      <c r="E66" s="357"/>
      <c r="F66" s="357"/>
      <c r="G66" s="357"/>
      <c r="H66" s="357" t="e">
        <f>H65*30%+H65</f>
        <v>#REF!</v>
      </c>
      <c r="I66" s="353"/>
      <c r="J66" s="355"/>
      <c r="K66" s="355"/>
      <c r="L66" s="355"/>
    </row>
    <row r="67" spans="1:12" s="356" customFormat="1" ht="24">
      <c r="A67" s="353"/>
      <c r="B67" s="353"/>
      <c r="C67" s="354"/>
      <c r="D67" s="353"/>
      <c r="E67" s="353"/>
      <c r="F67" s="353"/>
      <c r="G67" s="353"/>
      <c r="H67" s="353"/>
      <c r="I67" s="353"/>
      <c r="J67" s="355"/>
      <c r="K67" s="355"/>
      <c r="L67" s="355"/>
    </row>
    <row r="68" spans="1:12" s="356" customFormat="1" ht="24">
      <c r="A68" s="353"/>
      <c r="B68" s="353"/>
      <c r="C68" s="354"/>
      <c r="D68" s="353" t="s">
        <v>623</v>
      </c>
      <c r="E68" s="353"/>
      <c r="F68" s="353"/>
      <c r="G68" s="353"/>
      <c r="H68" s="353" t="s">
        <v>624</v>
      </c>
      <c r="I68" s="353"/>
      <c r="J68" s="355"/>
      <c r="K68" s="355"/>
      <c r="L68" s="355"/>
    </row>
    <row r="69" spans="1:12" s="356" customFormat="1" ht="24">
      <c r="A69" s="353"/>
      <c r="B69" s="353"/>
      <c r="C69" s="354"/>
      <c r="D69" s="353">
        <v>5</v>
      </c>
      <c r="E69" s="353"/>
      <c r="F69" s="353"/>
      <c r="G69" s="353"/>
      <c r="H69" s="353">
        <v>5</v>
      </c>
      <c r="I69" s="353">
        <f>SUM(D69:H69)</f>
        <v>10</v>
      </c>
      <c r="J69" s="355"/>
      <c r="K69" s="355"/>
      <c r="L69" s="355"/>
    </row>
    <row r="70" spans="1:12" s="356" customFormat="1" ht="24">
      <c r="A70" s="353"/>
      <c r="B70" s="353"/>
      <c r="C70" s="354"/>
      <c r="D70" s="357" t="e">
        <f>#REF!*D69%</f>
        <v>#REF!</v>
      </c>
      <c r="E70" s="357"/>
      <c r="F70" s="357"/>
      <c r="G70" s="357"/>
      <c r="H70" s="357" t="e">
        <f>#REF!*H69%</f>
        <v>#REF!</v>
      </c>
      <c r="I70" s="353"/>
      <c r="J70" s="355"/>
      <c r="K70" s="355"/>
      <c r="L70" s="355"/>
    </row>
    <row r="71" spans="1:12">
      <c r="D71" s="357" t="e">
        <f>D70*30%+D70</f>
        <v>#REF!</v>
      </c>
      <c r="E71" s="357"/>
      <c r="F71" s="357"/>
      <c r="G71" s="357"/>
      <c r="H71" s="357" t="e">
        <f>H70*30%+H70</f>
        <v>#REF!</v>
      </c>
    </row>
    <row r="72" spans="1:12">
      <c r="C72" s="358"/>
    </row>
    <row r="73" spans="1:12">
      <c r="C73" s="358"/>
    </row>
    <row r="74" spans="1:12">
      <c r="C74" s="358"/>
    </row>
  </sheetData>
  <mergeCells count="15">
    <mergeCell ref="A1:A4"/>
    <mergeCell ref="A9:C9"/>
    <mergeCell ref="A15:C15"/>
    <mergeCell ref="A14:B14"/>
    <mergeCell ref="A33:C33"/>
    <mergeCell ref="A6:A7"/>
    <mergeCell ref="B6:B7"/>
    <mergeCell ref="C6:C7"/>
    <mergeCell ref="K1:L4"/>
    <mergeCell ref="D6:H6"/>
    <mergeCell ref="H1:H4"/>
    <mergeCell ref="B1:G1"/>
    <mergeCell ref="B2:G2"/>
    <mergeCell ref="B3:G3"/>
    <mergeCell ref="B4:G4"/>
  </mergeCells>
  <phoneticPr fontId="68" type="noConversion"/>
  <pageMargins left="0.70866141732283472" right="0.70866141732283472" top="0.74803149606299213" bottom="0.74803149606299213" header="0.31496062992125984" footer="0.31496062992125984"/>
  <pageSetup scale="48"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187"/>
  <sheetViews>
    <sheetView view="pageBreakPreview" zoomScale="60" zoomScaleNormal="55" workbookViewId="0">
      <selection activeCell="A13" sqref="A13:G17"/>
    </sheetView>
  </sheetViews>
  <sheetFormatPr baseColWidth="10" defaultRowHeight="13"/>
  <cols>
    <col min="1" max="1" width="27.3984375" customWidth="1"/>
    <col min="4" max="4" width="16.796875" customWidth="1"/>
    <col min="7" max="7" width="14.796875" customWidth="1"/>
  </cols>
  <sheetData>
    <row r="1" spans="1:7">
      <c r="A1" s="338"/>
      <c r="B1" s="339"/>
      <c r="C1" s="339"/>
      <c r="D1" s="339"/>
      <c r="E1" s="339"/>
      <c r="F1" s="339"/>
      <c r="G1" s="340"/>
    </row>
    <row r="2" spans="1:7">
      <c r="A2" s="341"/>
      <c r="G2" s="342"/>
    </row>
    <row r="3" spans="1:7">
      <c r="A3" s="341"/>
      <c r="G3" s="342"/>
    </row>
    <row r="4" spans="1:7">
      <c r="A4" s="341"/>
      <c r="G4" s="342"/>
    </row>
    <row r="5" spans="1:7">
      <c r="A5" s="341"/>
      <c r="G5" s="342"/>
    </row>
    <row r="6" spans="1:7">
      <c r="A6" s="341"/>
      <c r="G6" s="342"/>
    </row>
    <row r="7" spans="1:7" ht="184.5" customHeight="1">
      <c r="A7" s="640"/>
      <c r="B7" s="643" t="str">
        <f>+CRONOGRAMA!B1</f>
        <v>PROYECTO: MANTENIMIENTO DE LA VÍA QUE CONDUCE  DE "LA BODEGA" HACIA LA VEREDA "SABANA RUBIA" DEL
 MUNICIPIO DE LA PAZ, DEPARTAMENTO DEL CESAR.</v>
      </c>
      <c r="C7" s="644"/>
      <c r="D7" s="644"/>
      <c r="E7" s="645"/>
      <c r="F7" s="646"/>
      <c r="G7" s="647"/>
    </row>
    <row r="8" spans="1:7" ht="37.5" customHeight="1">
      <c r="A8" s="641"/>
      <c r="B8" s="643" t="s">
        <v>610</v>
      </c>
      <c r="C8" s="644"/>
      <c r="D8" s="644"/>
      <c r="E8" s="645"/>
      <c r="F8" s="648"/>
      <c r="G8" s="649"/>
    </row>
    <row r="9" spans="1:7" ht="39.75" customHeight="1">
      <c r="A9" s="642"/>
      <c r="B9" s="643" t="s">
        <v>611</v>
      </c>
      <c r="C9" s="644"/>
      <c r="D9" s="644"/>
      <c r="E9" s="645"/>
      <c r="F9" s="650"/>
      <c r="G9" s="651"/>
    </row>
    <row r="10" spans="1:7" ht="16.5" customHeight="1">
      <c r="A10" s="341"/>
      <c r="G10" s="342"/>
    </row>
    <row r="11" spans="1:7" ht="16.5" customHeight="1">
      <c r="A11" s="341"/>
      <c r="G11" s="342"/>
    </row>
    <row r="12" spans="1:7">
      <c r="A12" s="341"/>
      <c r="G12" s="342"/>
    </row>
    <row r="13" spans="1:7" ht="15" customHeight="1">
      <c r="A13" s="637"/>
      <c r="B13" s="638"/>
      <c r="C13" s="638"/>
      <c r="D13" s="638"/>
      <c r="E13" s="638"/>
      <c r="F13" s="638"/>
      <c r="G13" s="639"/>
    </row>
    <row r="14" spans="1:7" ht="15" customHeight="1">
      <c r="A14" s="637"/>
      <c r="B14" s="638"/>
      <c r="C14" s="638"/>
      <c r="D14" s="638"/>
      <c r="E14" s="638"/>
      <c r="F14" s="638"/>
      <c r="G14" s="639"/>
    </row>
    <row r="15" spans="1:7" ht="15" customHeight="1">
      <c r="A15" s="637"/>
      <c r="B15" s="638"/>
      <c r="C15" s="638"/>
      <c r="D15" s="638"/>
      <c r="E15" s="638"/>
      <c r="F15" s="638"/>
      <c r="G15" s="639"/>
    </row>
    <row r="16" spans="1:7" ht="15" customHeight="1">
      <c r="A16" s="637"/>
      <c r="B16" s="638"/>
      <c r="C16" s="638"/>
      <c r="D16" s="638"/>
      <c r="E16" s="638"/>
      <c r="F16" s="638"/>
      <c r="G16" s="639"/>
    </row>
    <row r="17" spans="1:7" ht="15" customHeight="1">
      <c r="A17" s="637"/>
      <c r="B17" s="638"/>
      <c r="C17" s="638"/>
      <c r="D17" s="638"/>
      <c r="E17" s="638"/>
      <c r="F17" s="638"/>
      <c r="G17" s="639"/>
    </row>
    <row r="18" spans="1:7">
      <c r="A18" s="341"/>
      <c r="G18" s="342"/>
    </row>
    <row r="19" spans="1:7">
      <c r="A19" s="341"/>
      <c r="G19" s="342"/>
    </row>
    <row r="20" spans="1:7">
      <c r="A20" s="341"/>
      <c r="G20" s="342"/>
    </row>
    <row r="21" spans="1:7">
      <c r="A21" s="637" t="s">
        <v>627</v>
      </c>
      <c r="B21" s="638"/>
      <c r="C21" s="638"/>
      <c r="D21" s="638"/>
      <c r="E21" s="638"/>
      <c r="F21" s="638"/>
      <c r="G21" s="639"/>
    </row>
    <row r="22" spans="1:7">
      <c r="A22" s="637"/>
      <c r="B22" s="638"/>
      <c r="C22" s="638"/>
      <c r="D22" s="638"/>
      <c r="E22" s="638"/>
      <c r="F22" s="638"/>
      <c r="G22" s="639"/>
    </row>
    <row r="23" spans="1:7">
      <c r="A23" s="637"/>
      <c r="B23" s="638"/>
      <c r="C23" s="638"/>
      <c r="D23" s="638"/>
      <c r="E23" s="638"/>
      <c r="F23" s="638"/>
      <c r="G23" s="639"/>
    </row>
    <row r="24" spans="1:7">
      <c r="A24" s="637"/>
      <c r="B24" s="638"/>
      <c r="C24" s="638"/>
      <c r="D24" s="638"/>
      <c r="E24" s="638"/>
      <c r="F24" s="638"/>
      <c r="G24" s="639"/>
    </row>
    <row r="25" spans="1:7">
      <c r="A25" s="637"/>
      <c r="B25" s="638"/>
      <c r="C25" s="638"/>
      <c r="D25" s="638"/>
      <c r="E25" s="638"/>
      <c r="F25" s="638"/>
      <c r="G25" s="639"/>
    </row>
    <row r="26" spans="1:7">
      <c r="A26" s="341"/>
      <c r="G26" s="342"/>
    </row>
    <row r="27" spans="1:7">
      <c r="A27" s="341"/>
      <c r="G27" s="342"/>
    </row>
    <row r="28" spans="1:7">
      <c r="A28" s="341"/>
      <c r="G28" s="342"/>
    </row>
    <row r="29" spans="1:7">
      <c r="A29" s="341"/>
      <c r="G29" s="342"/>
    </row>
    <row r="30" spans="1:7">
      <c r="A30" s="341"/>
      <c r="G30" s="342"/>
    </row>
    <row r="31" spans="1:7">
      <c r="A31" s="341"/>
      <c r="G31" s="342"/>
    </row>
    <row r="32" spans="1:7">
      <c r="A32" s="341"/>
      <c r="G32" s="342"/>
    </row>
    <row r="33" spans="1:7">
      <c r="A33" s="341"/>
      <c r="G33" s="342"/>
    </row>
    <row r="34" spans="1:7">
      <c r="A34" s="341"/>
      <c r="G34" s="342"/>
    </row>
    <row r="35" spans="1:7">
      <c r="A35" s="341"/>
      <c r="G35" s="342"/>
    </row>
    <row r="36" spans="1:7">
      <c r="A36" s="341"/>
      <c r="G36" s="342"/>
    </row>
    <row r="37" spans="1:7" ht="14" thickBot="1">
      <c r="A37" s="343"/>
      <c r="B37" s="307"/>
      <c r="C37" s="307"/>
      <c r="D37" s="307"/>
      <c r="E37" s="307"/>
      <c r="F37" s="307"/>
      <c r="G37" s="344"/>
    </row>
    <row r="38" spans="1:7">
      <c r="A38" s="341"/>
      <c r="G38" s="342"/>
    </row>
    <row r="39" spans="1:7">
      <c r="A39" s="341"/>
      <c r="G39" s="342"/>
    </row>
    <row r="40" spans="1:7">
      <c r="A40" s="341"/>
      <c r="G40" s="342"/>
    </row>
    <row r="41" spans="1:7">
      <c r="A41" s="341"/>
      <c r="G41" s="342"/>
    </row>
    <row r="42" spans="1:7">
      <c r="A42" s="341"/>
      <c r="G42" s="342"/>
    </row>
    <row r="43" spans="1:7">
      <c r="A43" s="341"/>
      <c r="G43" s="342"/>
    </row>
    <row r="44" spans="1:7">
      <c r="A44" s="341"/>
      <c r="G44" s="342"/>
    </row>
    <row r="45" spans="1:7">
      <c r="A45" s="341"/>
      <c r="G45" s="342"/>
    </row>
    <row r="46" spans="1:7" ht="14" thickBot="1">
      <c r="A46" s="343"/>
      <c r="B46" s="307"/>
      <c r="C46" s="307"/>
      <c r="D46" s="307"/>
      <c r="E46" s="307"/>
      <c r="F46" s="307"/>
      <c r="G46" s="344"/>
    </row>
    <row r="47" spans="1:7">
      <c r="A47" s="341"/>
      <c r="G47" s="342"/>
    </row>
    <row r="48" spans="1:7">
      <c r="A48" s="341"/>
      <c r="G48" s="342"/>
    </row>
    <row r="49" spans="1:7">
      <c r="A49" s="341"/>
      <c r="G49" s="342"/>
    </row>
    <row r="50" spans="1:7">
      <c r="A50" s="341"/>
      <c r="G50" s="342"/>
    </row>
    <row r="51" spans="1:7">
      <c r="A51" s="341"/>
      <c r="G51" s="342"/>
    </row>
    <row r="52" spans="1:7">
      <c r="A52" s="341"/>
      <c r="G52" s="342"/>
    </row>
    <row r="53" spans="1:7">
      <c r="A53" s="341"/>
      <c r="G53" s="342"/>
    </row>
    <row r="54" spans="1:7">
      <c r="A54" s="341"/>
      <c r="G54" s="342"/>
    </row>
    <row r="55" spans="1:7">
      <c r="A55" s="341"/>
      <c r="G55" s="342"/>
    </row>
    <row r="56" spans="1:7">
      <c r="A56" s="341"/>
      <c r="G56" s="342"/>
    </row>
    <row r="57" spans="1:7">
      <c r="A57" s="341"/>
      <c r="G57" s="342"/>
    </row>
    <row r="58" spans="1:7">
      <c r="A58" s="341"/>
      <c r="G58" s="342"/>
    </row>
    <row r="59" spans="1:7">
      <c r="A59" s="341"/>
      <c r="G59" s="342"/>
    </row>
    <row r="60" spans="1:7">
      <c r="A60" s="341"/>
      <c r="G60" s="342"/>
    </row>
    <row r="61" spans="1:7">
      <c r="A61" s="341"/>
      <c r="G61" s="342"/>
    </row>
    <row r="62" spans="1:7">
      <c r="A62" s="341"/>
      <c r="G62" s="342"/>
    </row>
    <row r="63" spans="1:7">
      <c r="A63" s="341"/>
      <c r="G63" s="342"/>
    </row>
    <row r="64" spans="1:7">
      <c r="A64" s="341"/>
      <c r="G64" s="342"/>
    </row>
    <row r="65" spans="1:7">
      <c r="A65" s="341"/>
      <c r="G65" s="342"/>
    </row>
    <row r="66" spans="1:7">
      <c r="A66" s="341"/>
      <c r="G66" s="342"/>
    </row>
    <row r="67" spans="1:7">
      <c r="A67" s="341"/>
      <c r="G67" s="342"/>
    </row>
    <row r="68" spans="1:7">
      <c r="A68" s="341"/>
      <c r="G68" s="342"/>
    </row>
    <row r="69" spans="1:7">
      <c r="A69" s="341"/>
      <c r="G69" s="342"/>
    </row>
    <row r="70" spans="1:7">
      <c r="A70" s="341"/>
      <c r="G70" s="342"/>
    </row>
    <row r="71" spans="1:7">
      <c r="A71" s="341"/>
      <c r="G71" s="342"/>
    </row>
    <row r="72" spans="1:7">
      <c r="A72" s="341"/>
      <c r="G72" s="342"/>
    </row>
    <row r="73" spans="1:7">
      <c r="A73" s="341"/>
      <c r="G73" s="342"/>
    </row>
    <row r="74" spans="1:7">
      <c r="A74" s="341"/>
      <c r="G74" s="342"/>
    </row>
    <row r="75" spans="1:7">
      <c r="A75" s="341"/>
      <c r="G75" s="342"/>
    </row>
    <row r="76" spans="1:7">
      <c r="A76" s="341"/>
      <c r="G76" s="342"/>
    </row>
    <row r="77" spans="1:7">
      <c r="A77" s="341"/>
      <c r="G77" s="342"/>
    </row>
    <row r="78" spans="1:7">
      <c r="A78" s="341"/>
      <c r="G78" s="342"/>
    </row>
    <row r="79" spans="1:7">
      <c r="A79" s="341"/>
      <c r="G79" s="342"/>
    </row>
    <row r="80" spans="1:7">
      <c r="A80" s="341"/>
      <c r="G80" s="342"/>
    </row>
    <row r="81" spans="1:7">
      <c r="A81" s="341"/>
      <c r="G81" s="342"/>
    </row>
    <row r="82" spans="1:7">
      <c r="A82" s="341"/>
      <c r="G82" s="342"/>
    </row>
    <row r="83" spans="1:7">
      <c r="A83" s="341"/>
      <c r="G83" s="342"/>
    </row>
    <row r="84" spans="1:7">
      <c r="A84" s="341"/>
      <c r="G84" s="342"/>
    </row>
    <row r="85" spans="1:7">
      <c r="A85" s="341"/>
      <c r="G85" s="342"/>
    </row>
    <row r="86" spans="1:7">
      <c r="A86" s="341"/>
      <c r="G86" s="342"/>
    </row>
    <row r="87" spans="1:7">
      <c r="A87" s="341"/>
      <c r="G87" s="342"/>
    </row>
    <row r="88" spans="1:7">
      <c r="A88" s="341"/>
      <c r="G88" s="342"/>
    </row>
    <row r="89" spans="1:7">
      <c r="A89" s="341"/>
      <c r="G89" s="342"/>
    </row>
    <row r="90" spans="1:7">
      <c r="A90" s="341"/>
      <c r="G90" s="342"/>
    </row>
    <row r="91" spans="1:7">
      <c r="A91" s="341"/>
      <c r="G91" s="342"/>
    </row>
    <row r="92" spans="1:7">
      <c r="A92" s="341"/>
      <c r="G92" s="342"/>
    </row>
    <row r="93" spans="1:7">
      <c r="A93" s="341"/>
      <c r="G93" s="342"/>
    </row>
    <row r="94" spans="1:7">
      <c r="A94" s="341"/>
      <c r="G94" s="342"/>
    </row>
    <row r="95" spans="1:7">
      <c r="A95" s="341"/>
      <c r="G95" s="342"/>
    </row>
    <row r="96" spans="1:7">
      <c r="A96" s="341"/>
      <c r="G96" s="342"/>
    </row>
    <row r="97" spans="1:7">
      <c r="A97" s="341"/>
      <c r="G97" s="342"/>
    </row>
    <row r="98" spans="1:7">
      <c r="A98" s="341"/>
      <c r="G98" s="342"/>
    </row>
    <row r="99" spans="1:7">
      <c r="A99" s="341"/>
      <c r="G99" s="342"/>
    </row>
    <row r="100" spans="1:7">
      <c r="A100" s="341"/>
      <c r="G100" s="342"/>
    </row>
    <row r="101" spans="1:7">
      <c r="A101" s="341"/>
      <c r="G101" s="342"/>
    </row>
    <row r="102" spans="1:7">
      <c r="A102" s="341"/>
      <c r="G102" s="342"/>
    </row>
    <row r="103" spans="1:7">
      <c r="A103" s="341"/>
      <c r="G103" s="342"/>
    </row>
    <row r="104" spans="1:7">
      <c r="A104" s="341"/>
      <c r="G104" s="342"/>
    </row>
    <row r="105" spans="1:7">
      <c r="A105" s="341"/>
      <c r="G105" s="342"/>
    </row>
    <row r="106" spans="1:7">
      <c r="A106" s="341"/>
      <c r="G106" s="342"/>
    </row>
    <row r="107" spans="1:7">
      <c r="A107" s="341"/>
      <c r="G107" s="342"/>
    </row>
    <row r="108" spans="1:7">
      <c r="A108" s="341"/>
      <c r="G108" s="342"/>
    </row>
    <row r="109" spans="1:7">
      <c r="A109" s="341"/>
      <c r="G109" s="342"/>
    </row>
    <row r="110" spans="1:7">
      <c r="A110" s="341"/>
      <c r="G110" s="342"/>
    </row>
    <row r="111" spans="1:7">
      <c r="A111" s="341"/>
      <c r="G111" s="342"/>
    </row>
    <row r="112" spans="1:7">
      <c r="A112" s="341"/>
      <c r="G112" s="342"/>
    </row>
    <row r="113" spans="1:7">
      <c r="A113" s="341"/>
      <c r="G113" s="342"/>
    </row>
    <row r="114" spans="1:7">
      <c r="A114" s="341"/>
      <c r="G114" s="342"/>
    </row>
    <row r="115" spans="1:7">
      <c r="A115" s="341"/>
      <c r="G115" s="342"/>
    </row>
    <row r="116" spans="1:7">
      <c r="A116" s="341"/>
      <c r="G116" s="342"/>
    </row>
    <row r="117" spans="1:7">
      <c r="A117" s="341"/>
      <c r="G117" s="342"/>
    </row>
    <row r="118" spans="1:7">
      <c r="A118" s="341"/>
      <c r="G118" s="342"/>
    </row>
    <row r="119" spans="1:7">
      <c r="A119" s="341"/>
      <c r="G119" s="342"/>
    </row>
    <row r="120" spans="1:7">
      <c r="A120" s="341"/>
      <c r="G120" s="342"/>
    </row>
    <row r="121" spans="1:7">
      <c r="A121" s="341"/>
      <c r="G121" s="342"/>
    </row>
    <row r="122" spans="1:7">
      <c r="A122" s="341"/>
      <c r="G122" s="342"/>
    </row>
    <row r="123" spans="1:7">
      <c r="A123" s="341"/>
      <c r="G123" s="342"/>
    </row>
    <row r="124" spans="1:7">
      <c r="A124" s="341"/>
      <c r="G124" s="342"/>
    </row>
    <row r="125" spans="1:7">
      <c r="A125" s="341"/>
      <c r="G125" s="342"/>
    </row>
    <row r="126" spans="1:7">
      <c r="A126" s="341"/>
      <c r="G126" s="342"/>
    </row>
    <row r="127" spans="1:7">
      <c r="A127" s="341"/>
      <c r="G127" s="342"/>
    </row>
    <row r="128" spans="1:7">
      <c r="A128" s="341"/>
      <c r="G128" s="342"/>
    </row>
    <row r="129" spans="1:7">
      <c r="A129" s="341"/>
      <c r="G129" s="342"/>
    </row>
    <row r="130" spans="1:7">
      <c r="A130" s="341"/>
      <c r="G130" s="342"/>
    </row>
    <row r="131" spans="1:7">
      <c r="A131" s="341"/>
      <c r="G131" s="342"/>
    </row>
    <row r="132" spans="1:7">
      <c r="A132" s="341"/>
      <c r="G132" s="342"/>
    </row>
    <row r="133" spans="1:7">
      <c r="A133" s="341"/>
      <c r="G133" s="342"/>
    </row>
    <row r="134" spans="1:7">
      <c r="A134" s="341"/>
      <c r="G134" s="342"/>
    </row>
    <row r="135" spans="1:7">
      <c r="A135" s="341"/>
      <c r="G135" s="342"/>
    </row>
    <row r="136" spans="1:7">
      <c r="A136" s="341"/>
      <c r="G136" s="342"/>
    </row>
    <row r="137" spans="1:7">
      <c r="A137" s="341"/>
      <c r="G137" s="342"/>
    </row>
    <row r="138" spans="1:7">
      <c r="A138" s="341"/>
      <c r="G138" s="342"/>
    </row>
    <row r="139" spans="1:7">
      <c r="A139" s="341"/>
      <c r="G139" s="342"/>
    </row>
    <row r="140" spans="1:7">
      <c r="A140" s="341"/>
      <c r="G140" s="342"/>
    </row>
    <row r="141" spans="1:7">
      <c r="A141" s="341"/>
      <c r="G141" s="342"/>
    </row>
    <row r="142" spans="1:7">
      <c r="A142" s="341"/>
      <c r="G142" s="342"/>
    </row>
    <row r="143" spans="1:7">
      <c r="A143" s="341"/>
      <c r="G143" s="342"/>
    </row>
    <row r="144" spans="1:7">
      <c r="A144" s="341"/>
      <c r="G144" s="342"/>
    </row>
    <row r="145" spans="1:7">
      <c r="A145" s="341"/>
      <c r="G145" s="342"/>
    </row>
    <row r="146" spans="1:7">
      <c r="A146" s="341"/>
      <c r="G146" s="342"/>
    </row>
    <row r="147" spans="1:7">
      <c r="A147" s="341"/>
      <c r="G147" s="342"/>
    </row>
    <row r="148" spans="1:7">
      <c r="A148" s="341"/>
      <c r="G148" s="342"/>
    </row>
    <row r="149" spans="1:7">
      <c r="A149" s="341"/>
      <c r="G149" s="342"/>
    </row>
    <row r="150" spans="1:7">
      <c r="A150" s="341"/>
      <c r="G150" s="342"/>
    </row>
    <row r="151" spans="1:7">
      <c r="A151" s="341"/>
      <c r="G151" s="342"/>
    </row>
    <row r="152" spans="1:7">
      <c r="A152" s="341"/>
      <c r="G152" s="342"/>
    </row>
    <row r="153" spans="1:7">
      <c r="A153" s="341"/>
      <c r="G153" s="342"/>
    </row>
    <row r="154" spans="1:7">
      <c r="A154" s="341"/>
      <c r="G154" s="342"/>
    </row>
    <row r="155" spans="1:7">
      <c r="A155" s="341"/>
      <c r="G155" s="342"/>
    </row>
    <row r="156" spans="1:7">
      <c r="A156" s="341"/>
      <c r="G156" s="342"/>
    </row>
    <row r="157" spans="1:7">
      <c r="A157" s="341"/>
      <c r="G157" s="342"/>
    </row>
    <row r="158" spans="1:7">
      <c r="A158" s="341"/>
      <c r="G158" s="342"/>
    </row>
    <row r="159" spans="1:7">
      <c r="A159" s="341"/>
      <c r="G159" s="342"/>
    </row>
    <row r="160" spans="1:7">
      <c r="A160" s="341"/>
      <c r="G160" s="342"/>
    </row>
    <row r="161" spans="1:7">
      <c r="A161" s="341"/>
      <c r="G161" s="342"/>
    </row>
    <row r="162" spans="1:7">
      <c r="A162" s="341"/>
      <c r="G162" s="342"/>
    </row>
    <row r="163" spans="1:7">
      <c r="A163" s="341"/>
      <c r="G163" s="342"/>
    </row>
    <row r="164" spans="1:7">
      <c r="A164" s="341"/>
      <c r="G164" s="342"/>
    </row>
    <row r="165" spans="1:7">
      <c r="A165" s="341"/>
      <c r="G165" s="342"/>
    </row>
    <row r="166" spans="1:7">
      <c r="A166" s="341"/>
      <c r="G166" s="342"/>
    </row>
    <row r="167" spans="1:7">
      <c r="A167" s="341"/>
      <c r="G167" s="342"/>
    </row>
    <row r="168" spans="1:7">
      <c r="A168" s="341"/>
      <c r="G168" s="342"/>
    </row>
    <row r="169" spans="1:7">
      <c r="A169" s="341"/>
      <c r="G169" s="342"/>
    </row>
    <row r="170" spans="1:7">
      <c r="A170" s="341"/>
      <c r="G170" s="342"/>
    </row>
    <row r="171" spans="1:7">
      <c r="A171" s="341"/>
      <c r="G171" s="342"/>
    </row>
    <row r="172" spans="1:7">
      <c r="A172" s="341"/>
      <c r="G172" s="342"/>
    </row>
    <row r="173" spans="1:7">
      <c r="A173" s="341"/>
      <c r="G173" s="342"/>
    </row>
    <row r="174" spans="1:7">
      <c r="A174" s="341"/>
      <c r="G174" s="342"/>
    </row>
    <row r="175" spans="1:7">
      <c r="A175" s="341"/>
      <c r="G175" s="342"/>
    </row>
    <row r="176" spans="1:7">
      <c r="A176" s="341"/>
      <c r="G176" s="342"/>
    </row>
    <row r="177" spans="1:7">
      <c r="A177" s="341"/>
      <c r="G177" s="342"/>
    </row>
    <row r="178" spans="1:7">
      <c r="A178" s="341"/>
      <c r="G178" s="342"/>
    </row>
    <row r="179" spans="1:7">
      <c r="A179" s="341"/>
      <c r="G179" s="342"/>
    </row>
    <row r="180" spans="1:7">
      <c r="A180" s="341"/>
      <c r="G180" s="342"/>
    </row>
    <row r="181" spans="1:7">
      <c r="A181" s="341"/>
      <c r="G181" s="342"/>
    </row>
    <row r="182" spans="1:7">
      <c r="A182" s="341"/>
      <c r="G182" s="342"/>
    </row>
    <row r="183" spans="1:7">
      <c r="A183" s="341"/>
      <c r="G183" s="342"/>
    </row>
    <row r="184" spans="1:7">
      <c r="A184" s="341"/>
      <c r="G184" s="342"/>
    </row>
    <row r="185" spans="1:7">
      <c r="A185" s="341"/>
      <c r="G185" s="342"/>
    </row>
    <row r="186" spans="1:7">
      <c r="A186" s="341"/>
      <c r="G186" s="342"/>
    </row>
    <row r="187" spans="1:7" ht="14" thickBot="1">
      <c r="A187" s="343"/>
      <c r="B187" s="307"/>
      <c r="C187" s="307"/>
      <c r="D187" s="307"/>
      <c r="E187" s="307"/>
      <c r="F187" s="307"/>
      <c r="G187" s="344"/>
    </row>
  </sheetData>
  <mergeCells count="7">
    <mergeCell ref="A21:G25"/>
    <mergeCell ref="A7:A9"/>
    <mergeCell ref="B7:E7"/>
    <mergeCell ref="F7:G9"/>
    <mergeCell ref="B8:E8"/>
    <mergeCell ref="B9:E9"/>
    <mergeCell ref="A13:G17"/>
  </mergeCells>
  <pageMargins left="0.7" right="0.7" top="0.75" bottom="0.75" header="0.3" footer="0.3"/>
  <pageSetup scale="87"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H36"/>
  <sheetViews>
    <sheetView view="pageBreakPreview" topLeftCell="A10" zoomScaleNormal="100" zoomScaleSheetLayoutView="100" workbookViewId="0">
      <selection activeCell="F14" sqref="F14"/>
    </sheetView>
  </sheetViews>
  <sheetFormatPr baseColWidth="10" defaultRowHeight="13"/>
  <cols>
    <col min="1" max="1" width="16.796875" customWidth="1"/>
    <col min="2" max="2" width="33.796875" customWidth="1"/>
    <col min="3" max="3" width="14.19921875" customWidth="1"/>
    <col min="5" max="5" width="14.19921875" customWidth="1"/>
    <col min="6" max="6" width="18.796875" style="605" customWidth="1"/>
    <col min="7" max="7" width="12.3984375" style="465" bestFit="1" customWidth="1"/>
    <col min="8" max="8" width="13.3984375" style="465" bestFit="1" customWidth="1"/>
  </cols>
  <sheetData>
    <row r="1" spans="1:6" ht="66" customHeight="1">
      <c r="A1" s="680"/>
      <c r="B1" s="683" t="str">
        <f>CRONOGRAMA!B1</f>
        <v>PROYECTO: MANTENIMIENTO DE LA VÍA QUE CONDUCE  DE "LA BODEGA" HACIA LA VEREDA "SABANA RUBIA" DEL
 MUNICIPIO DE LA PAZ, DEPARTAMENTO DEL CESAR.</v>
      </c>
      <c r="C1" s="683"/>
      <c r="D1" s="683"/>
      <c r="E1" s="683"/>
      <c r="F1" s="674"/>
    </row>
    <row r="2" spans="1:6" ht="14">
      <c r="A2" s="681"/>
      <c r="B2" s="677" t="s">
        <v>610</v>
      </c>
      <c r="C2" s="677"/>
      <c r="D2" s="677"/>
      <c r="E2" s="677"/>
      <c r="F2" s="675"/>
    </row>
    <row r="3" spans="1:6" ht="14">
      <c r="A3" s="681"/>
      <c r="B3" s="677" t="s">
        <v>611</v>
      </c>
      <c r="C3" s="677"/>
      <c r="D3" s="677"/>
      <c r="E3" s="677"/>
      <c r="F3" s="675"/>
    </row>
    <row r="4" spans="1:6" ht="15" thickBot="1">
      <c r="A4" s="682"/>
      <c r="B4" s="678" t="s">
        <v>628</v>
      </c>
      <c r="C4" s="678"/>
      <c r="D4" s="678"/>
      <c r="E4" s="678"/>
      <c r="F4" s="676"/>
    </row>
    <row r="5" spans="1:6" ht="14">
      <c r="A5" s="392"/>
      <c r="B5" s="444"/>
      <c r="E5" s="359"/>
      <c r="F5" s="596"/>
    </row>
    <row r="6" spans="1:6" ht="14">
      <c r="A6" s="445"/>
      <c r="B6" s="445"/>
      <c r="C6" s="445"/>
      <c r="D6" s="445"/>
      <c r="E6" s="445"/>
      <c r="F6" s="597"/>
    </row>
    <row r="7" spans="1:6" ht="14" thickBot="1">
      <c r="A7" s="363"/>
      <c r="B7" s="363"/>
      <c r="C7" s="364"/>
      <c r="D7" s="363"/>
      <c r="E7" s="363"/>
      <c r="F7" s="598"/>
    </row>
    <row r="8" spans="1:6" ht="14" thickBot="1">
      <c r="A8" s="360" t="s">
        <v>77</v>
      </c>
      <c r="B8" s="361" t="s">
        <v>1</v>
      </c>
      <c r="C8" s="361" t="s">
        <v>2</v>
      </c>
      <c r="D8" s="362" t="s">
        <v>3</v>
      </c>
      <c r="E8" s="362" t="s">
        <v>76</v>
      </c>
      <c r="F8" s="599" t="s">
        <v>75</v>
      </c>
    </row>
    <row r="9" spans="1:6" ht="14" thickBot="1">
      <c r="A9" s="466">
        <v>1</v>
      </c>
      <c r="B9" s="679" t="s">
        <v>736</v>
      </c>
      <c r="C9" s="679"/>
      <c r="D9" s="679"/>
      <c r="E9" s="679"/>
      <c r="F9" s="600">
        <f>SUM(F10:F12)</f>
        <v>37539263.791350245</v>
      </c>
    </row>
    <row r="10" spans="1:6" ht="112">
      <c r="A10" s="467">
        <v>1.1000000000000001</v>
      </c>
      <c r="B10" s="539" t="s">
        <v>734</v>
      </c>
      <c r="C10" s="468" t="s">
        <v>4</v>
      </c>
      <c r="D10" s="469">
        <f>CANTIDADES!H9</f>
        <v>9280</v>
      </c>
      <c r="E10" s="470">
        <f>'APU '!F34</f>
        <v>1507.6234409296646</v>
      </c>
      <c r="F10" s="601">
        <f>D10*E10</f>
        <v>13990745.531827288</v>
      </c>
    </row>
    <row r="11" spans="1:6" ht="70">
      <c r="A11" s="367">
        <v>1.2</v>
      </c>
      <c r="B11" s="540" t="s">
        <v>735</v>
      </c>
      <c r="C11" s="2" t="s">
        <v>9</v>
      </c>
      <c r="D11" s="365">
        <f>CANTIDADES!H10</f>
        <v>3000</v>
      </c>
      <c r="E11" s="366">
        <f>'APU '!F63</f>
        <v>4126.7530432538269</v>
      </c>
      <c r="F11" s="630">
        <f>D11*E11</f>
        <v>12380259.129761482</v>
      </c>
    </row>
    <row r="12" spans="1:6" ht="85" thickBot="1">
      <c r="A12" s="631">
        <v>1.3</v>
      </c>
      <c r="B12" s="632" t="s">
        <v>748</v>
      </c>
      <c r="C12" s="633" t="s">
        <v>9</v>
      </c>
      <c r="D12" s="634">
        <f>CANTIDADES!H11</f>
        <v>900</v>
      </c>
      <c r="E12" s="635">
        <f>'APU '!F91</f>
        <v>12409.176810846089</v>
      </c>
      <c r="F12" s="636">
        <f>D12*E12</f>
        <v>11168259.12976148</v>
      </c>
    </row>
    <row r="13" spans="1:6" ht="14" thickBot="1">
      <c r="A13" s="368"/>
      <c r="B13" s="45"/>
      <c r="C13" s="666" t="s">
        <v>11</v>
      </c>
      <c r="D13" s="667"/>
      <c r="E13" s="668"/>
      <c r="F13" s="602">
        <f>+F9</f>
        <v>37539263.791350245</v>
      </c>
    </row>
    <row r="14" spans="1:6" ht="13.5" customHeight="1" thickBot="1">
      <c r="C14" s="684" t="s">
        <v>696</v>
      </c>
      <c r="D14" s="685"/>
      <c r="E14" s="446">
        <v>0.25</v>
      </c>
      <c r="F14" s="603">
        <f>F13*E14</f>
        <v>9384815.9478375614</v>
      </c>
    </row>
    <row r="15" spans="1:6" ht="13.5" customHeight="1" thickBot="1">
      <c r="C15" s="686" t="s">
        <v>697</v>
      </c>
      <c r="D15" s="687"/>
      <c r="E15" s="446">
        <v>0.01</v>
      </c>
      <c r="F15" s="603">
        <f>F13*E15</f>
        <v>375392.63791350246</v>
      </c>
    </row>
    <row r="16" spans="1:6" ht="13.5" customHeight="1" thickBot="1">
      <c r="C16" s="686" t="s">
        <v>698</v>
      </c>
      <c r="D16" s="687"/>
      <c r="E16" s="446">
        <v>0.04</v>
      </c>
      <c r="F16" s="603">
        <f>F13*E16</f>
        <v>1501570.5516540098</v>
      </c>
    </row>
    <row r="17" spans="1:6" ht="13.5" customHeight="1" thickBot="1">
      <c r="C17" s="666" t="s">
        <v>699</v>
      </c>
      <c r="D17" s="667"/>
      <c r="E17" s="668"/>
      <c r="F17" s="602">
        <f>F14+F15+F16</f>
        <v>11261779.137405073</v>
      </c>
    </row>
    <row r="18" spans="1:6" ht="14" thickBot="1">
      <c r="C18" s="669"/>
      <c r="D18" s="670"/>
      <c r="E18" s="670"/>
      <c r="F18" s="671"/>
    </row>
    <row r="19" spans="1:6" ht="14" thickBot="1">
      <c r="C19" s="672" t="s">
        <v>12</v>
      </c>
      <c r="D19" s="673"/>
      <c r="E19" s="673"/>
      <c r="F19" s="604">
        <f>F13+F17</f>
        <v>48801042.928755321</v>
      </c>
    </row>
    <row r="23" spans="1:6" ht="14">
      <c r="A23" s="373"/>
      <c r="B23" s="371"/>
      <c r="C23" s="372"/>
    </row>
    <row r="24" spans="1:6" ht="14">
      <c r="A24" s="370" t="s">
        <v>629</v>
      </c>
      <c r="B24" s="371"/>
      <c r="C24" s="372"/>
      <c r="F24" s="606"/>
    </row>
    <row r="25" spans="1:6" ht="14">
      <c r="A25" s="370"/>
      <c r="B25" s="371"/>
      <c r="C25" s="372"/>
    </row>
    <row r="26" spans="1:6" ht="14">
      <c r="A26" s="370"/>
      <c r="B26" s="375"/>
      <c r="C26" s="375"/>
    </row>
    <row r="27" spans="1:6" ht="14">
      <c r="A27" s="370"/>
      <c r="B27" s="375"/>
      <c r="C27" s="375"/>
    </row>
    <row r="28" spans="1:6" ht="14">
      <c r="A28" s="350"/>
      <c r="B28" s="375"/>
      <c r="C28" s="375"/>
    </row>
    <row r="29" spans="1:6" ht="16">
      <c r="A29" s="535" t="s">
        <v>733</v>
      </c>
      <c r="B29" s="375"/>
      <c r="C29" s="375"/>
      <c r="D29" s="6"/>
      <c r="E29" s="6"/>
    </row>
    <row r="30" spans="1:6" ht="16">
      <c r="A30" s="535" t="s">
        <v>630</v>
      </c>
      <c r="B30" s="375"/>
      <c r="C30" s="375"/>
    </row>
    <row r="31" spans="1:6" ht="16">
      <c r="A31" s="535" t="s">
        <v>631</v>
      </c>
      <c r="B31" s="375"/>
      <c r="C31" s="375"/>
    </row>
    <row r="32" spans="1:6" ht="16">
      <c r="A32" s="535" t="s">
        <v>632</v>
      </c>
      <c r="B32" s="375"/>
      <c r="C32" s="375"/>
    </row>
    <row r="33" spans="1:3" ht="15">
      <c r="A33" s="536"/>
      <c r="B33" s="538"/>
      <c r="C33" s="538"/>
    </row>
    <row r="34" spans="1:3" ht="15">
      <c r="A34" s="536"/>
      <c r="B34" s="374"/>
      <c r="C34" s="375"/>
    </row>
    <row r="35" spans="1:3" ht="15">
      <c r="A35" s="537"/>
    </row>
    <row r="36" spans="1:3" ht="15">
      <c r="A36" s="536"/>
    </row>
  </sheetData>
  <mergeCells count="14">
    <mergeCell ref="A1:A4"/>
    <mergeCell ref="B1:E1"/>
    <mergeCell ref="C14:D14"/>
    <mergeCell ref="C15:D15"/>
    <mergeCell ref="C16:D16"/>
    <mergeCell ref="C17:E17"/>
    <mergeCell ref="C18:F18"/>
    <mergeCell ref="C19:E19"/>
    <mergeCell ref="F1:F4"/>
    <mergeCell ref="B2:E2"/>
    <mergeCell ref="B3:E3"/>
    <mergeCell ref="B4:E4"/>
    <mergeCell ref="B9:E9"/>
    <mergeCell ref="C13:E13"/>
  </mergeCells>
  <conditionalFormatting sqref="A9:B9">
    <cfRule type="cellIs" dxfId="7" priority="1" stopIfTrue="1" operator="equal">
      <formula>"ESCRIBA AQUÍ EL NOMBRE DEL CAPITULO"</formula>
    </cfRule>
  </conditionalFormatting>
  <pageMargins left="0.7" right="0.7" top="0.75" bottom="0.75" header="0.3" footer="0.3"/>
  <pageSetup scale="83"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N254"/>
  <sheetViews>
    <sheetView tabSelected="1" view="pageBreakPreview" topLeftCell="A15" zoomScale="70" zoomScaleNormal="40" zoomScaleSheetLayoutView="70" workbookViewId="0">
      <selection activeCell="I40" sqref="I40"/>
    </sheetView>
  </sheetViews>
  <sheetFormatPr baseColWidth="10" defaultRowHeight="13"/>
  <cols>
    <col min="1" max="1" width="13.19921875" style="346" customWidth="1"/>
    <col min="2" max="2" width="46" customWidth="1"/>
    <col min="3" max="3" width="18.796875" customWidth="1"/>
    <col min="4" max="4" width="21.796875" customWidth="1"/>
    <col min="5" max="5" width="18.19921875" customWidth="1"/>
    <col min="6" max="6" width="24" bestFit="1" customWidth="1"/>
    <col min="7" max="7" width="18" style="617" customWidth="1"/>
    <col min="8" max="8" width="17.796875" bestFit="1" customWidth="1"/>
    <col min="9" max="9" width="14.19921875" bestFit="1" customWidth="1"/>
    <col min="10" max="10" width="20.59765625" bestFit="1" customWidth="1"/>
    <col min="12" max="12" width="37.59765625" customWidth="1"/>
    <col min="257" max="257" width="13.19921875" customWidth="1"/>
    <col min="258" max="258" width="46" customWidth="1"/>
    <col min="259" max="259" width="18.796875" customWidth="1"/>
    <col min="260" max="260" width="21.796875" customWidth="1"/>
    <col min="261" max="261" width="18.19921875" customWidth="1"/>
    <col min="262" max="262" width="24" bestFit="1" customWidth="1"/>
    <col min="263" max="263" width="18" customWidth="1"/>
    <col min="264" max="264" width="17.796875" bestFit="1" customWidth="1"/>
    <col min="266" max="266" width="20.59765625" bestFit="1" customWidth="1"/>
    <col min="268" max="268" width="37.59765625" customWidth="1"/>
    <col min="513" max="513" width="13.19921875" customWidth="1"/>
    <col min="514" max="514" width="46" customWidth="1"/>
    <col min="515" max="515" width="18.796875" customWidth="1"/>
    <col min="516" max="516" width="21.796875" customWidth="1"/>
    <col min="517" max="517" width="18.19921875" customWidth="1"/>
    <col min="518" max="518" width="24" bestFit="1" customWidth="1"/>
    <col min="519" max="519" width="18" customWidth="1"/>
    <col min="520" max="520" width="17.796875" bestFit="1" customWidth="1"/>
    <col min="522" max="522" width="20.59765625" bestFit="1" customWidth="1"/>
    <col min="524" max="524" width="37.59765625" customWidth="1"/>
    <col min="769" max="769" width="13.19921875" customWidth="1"/>
    <col min="770" max="770" width="46" customWidth="1"/>
    <col min="771" max="771" width="18.796875" customWidth="1"/>
    <col min="772" max="772" width="21.796875" customWidth="1"/>
    <col min="773" max="773" width="18.19921875" customWidth="1"/>
    <col min="774" max="774" width="24" bestFit="1" customWidth="1"/>
    <col min="775" max="775" width="18" customWidth="1"/>
    <col min="776" max="776" width="17.796875" bestFit="1" customWidth="1"/>
    <col min="778" max="778" width="20.59765625" bestFit="1" customWidth="1"/>
    <col min="780" max="780" width="37.59765625" customWidth="1"/>
    <col min="1025" max="1025" width="13.19921875" customWidth="1"/>
    <col min="1026" max="1026" width="46" customWidth="1"/>
    <col min="1027" max="1027" width="18.796875" customWidth="1"/>
    <col min="1028" max="1028" width="21.796875" customWidth="1"/>
    <col min="1029" max="1029" width="18.19921875" customWidth="1"/>
    <col min="1030" max="1030" width="24" bestFit="1" customWidth="1"/>
    <col min="1031" max="1031" width="18" customWidth="1"/>
    <col min="1032" max="1032" width="17.796875" bestFit="1" customWidth="1"/>
    <col min="1034" max="1034" width="20.59765625" bestFit="1" customWidth="1"/>
    <col min="1036" max="1036" width="37.59765625" customWidth="1"/>
    <col min="1281" max="1281" width="13.19921875" customWidth="1"/>
    <col min="1282" max="1282" width="46" customWidth="1"/>
    <col min="1283" max="1283" width="18.796875" customWidth="1"/>
    <col min="1284" max="1284" width="21.796875" customWidth="1"/>
    <col min="1285" max="1285" width="18.19921875" customWidth="1"/>
    <col min="1286" max="1286" width="24" bestFit="1" customWidth="1"/>
    <col min="1287" max="1287" width="18" customWidth="1"/>
    <col min="1288" max="1288" width="17.796875" bestFit="1" customWidth="1"/>
    <col min="1290" max="1290" width="20.59765625" bestFit="1" customWidth="1"/>
    <col min="1292" max="1292" width="37.59765625" customWidth="1"/>
    <col min="1537" max="1537" width="13.19921875" customWidth="1"/>
    <col min="1538" max="1538" width="46" customWidth="1"/>
    <col min="1539" max="1539" width="18.796875" customWidth="1"/>
    <col min="1540" max="1540" width="21.796875" customWidth="1"/>
    <col min="1541" max="1541" width="18.19921875" customWidth="1"/>
    <col min="1542" max="1542" width="24" bestFit="1" customWidth="1"/>
    <col min="1543" max="1543" width="18" customWidth="1"/>
    <col min="1544" max="1544" width="17.796875" bestFit="1" customWidth="1"/>
    <col min="1546" max="1546" width="20.59765625" bestFit="1" customWidth="1"/>
    <col min="1548" max="1548" width="37.59765625" customWidth="1"/>
    <col min="1793" max="1793" width="13.19921875" customWidth="1"/>
    <col min="1794" max="1794" width="46" customWidth="1"/>
    <col min="1795" max="1795" width="18.796875" customWidth="1"/>
    <col min="1796" max="1796" width="21.796875" customWidth="1"/>
    <col min="1797" max="1797" width="18.19921875" customWidth="1"/>
    <col min="1798" max="1798" width="24" bestFit="1" customWidth="1"/>
    <col min="1799" max="1799" width="18" customWidth="1"/>
    <col min="1800" max="1800" width="17.796875" bestFit="1" customWidth="1"/>
    <col min="1802" max="1802" width="20.59765625" bestFit="1" customWidth="1"/>
    <col min="1804" max="1804" width="37.59765625" customWidth="1"/>
    <col min="2049" max="2049" width="13.19921875" customWidth="1"/>
    <col min="2050" max="2050" width="46" customWidth="1"/>
    <col min="2051" max="2051" width="18.796875" customWidth="1"/>
    <col min="2052" max="2052" width="21.796875" customWidth="1"/>
    <col min="2053" max="2053" width="18.19921875" customWidth="1"/>
    <col min="2054" max="2054" width="24" bestFit="1" customWidth="1"/>
    <col min="2055" max="2055" width="18" customWidth="1"/>
    <col min="2056" max="2056" width="17.796875" bestFit="1" customWidth="1"/>
    <col min="2058" max="2058" width="20.59765625" bestFit="1" customWidth="1"/>
    <col min="2060" max="2060" width="37.59765625" customWidth="1"/>
    <col min="2305" max="2305" width="13.19921875" customWidth="1"/>
    <col min="2306" max="2306" width="46" customWidth="1"/>
    <col min="2307" max="2307" width="18.796875" customWidth="1"/>
    <col min="2308" max="2308" width="21.796875" customWidth="1"/>
    <col min="2309" max="2309" width="18.19921875" customWidth="1"/>
    <col min="2310" max="2310" width="24" bestFit="1" customWidth="1"/>
    <col min="2311" max="2311" width="18" customWidth="1"/>
    <col min="2312" max="2312" width="17.796875" bestFit="1" customWidth="1"/>
    <col min="2314" max="2314" width="20.59765625" bestFit="1" customWidth="1"/>
    <col min="2316" max="2316" width="37.59765625" customWidth="1"/>
    <col min="2561" max="2561" width="13.19921875" customWidth="1"/>
    <col min="2562" max="2562" width="46" customWidth="1"/>
    <col min="2563" max="2563" width="18.796875" customWidth="1"/>
    <col min="2564" max="2564" width="21.796875" customWidth="1"/>
    <col min="2565" max="2565" width="18.19921875" customWidth="1"/>
    <col min="2566" max="2566" width="24" bestFit="1" customWidth="1"/>
    <col min="2567" max="2567" width="18" customWidth="1"/>
    <col min="2568" max="2568" width="17.796875" bestFit="1" customWidth="1"/>
    <col min="2570" max="2570" width="20.59765625" bestFit="1" customWidth="1"/>
    <col min="2572" max="2572" width="37.59765625" customWidth="1"/>
    <col min="2817" max="2817" width="13.19921875" customWidth="1"/>
    <col min="2818" max="2818" width="46" customWidth="1"/>
    <col min="2819" max="2819" width="18.796875" customWidth="1"/>
    <col min="2820" max="2820" width="21.796875" customWidth="1"/>
    <col min="2821" max="2821" width="18.19921875" customWidth="1"/>
    <col min="2822" max="2822" width="24" bestFit="1" customWidth="1"/>
    <col min="2823" max="2823" width="18" customWidth="1"/>
    <col min="2824" max="2824" width="17.796875" bestFit="1" customWidth="1"/>
    <col min="2826" max="2826" width="20.59765625" bestFit="1" customWidth="1"/>
    <col min="2828" max="2828" width="37.59765625" customWidth="1"/>
    <col min="3073" max="3073" width="13.19921875" customWidth="1"/>
    <col min="3074" max="3074" width="46" customWidth="1"/>
    <col min="3075" max="3075" width="18.796875" customWidth="1"/>
    <col min="3076" max="3076" width="21.796875" customWidth="1"/>
    <col min="3077" max="3077" width="18.19921875" customWidth="1"/>
    <col min="3078" max="3078" width="24" bestFit="1" customWidth="1"/>
    <col min="3079" max="3079" width="18" customWidth="1"/>
    <col min="3080" max="3080" width="17.796875" bestFit="1" customWidth="1"/>
    <col min="3082" max="3082" width="20.59765625" bestFit="1" customWidth="1"/>
    <col min="3084" max="3084" width="37.59765625" customWidth="1"/>
    <col min="3329" max="3329" width="13.19921875" customWidth="1"/>
    <col min="3330" max="3330" width="46" customWidth="1"/>
    <col min="3331" max="3331" width="18.796875" customWidth="1"/>
    <col min="3332" max="3332" width="21.796875" customWidth="1"/>
    <col min="3333" max="3333" width="18.19921875" customWidth="1"/>
    <col min="3334" max="3334" width="24" bestFit="1" customWidth="1"/>
    <col min="3335" max="3335" width="18" customWidth="1"/>
    <col min="3336" max="3336" width="17.796875" bestFit="1" customWidth="1"/>
    <col min="3338" max="3338" width="20.59765625" bestFit="1" customWidth="1"/>
    <col min="3340" max="3340" width="37.59765625" customWidth="1"/>
    <col min="3585" max="3585" width="13.19921875" customWidth="1"/>
    <col min="3586" max="3586" width="46" customWidth="1"/>
    <col min="3587" max="3587" width="18.796875" customWidth="1"/>
    <col min="3588" max="3588" width="21.796875" customWidth="1"/>
    <col min="3589" max="3589" width="18.19921875" customWidth="1"/>
    <col min="3590" max="3590" width="24" bestFit="1" customWidth="1"/>
    <col min="3591" max="3591" width="18" customWidth="1"/>
    <col min="3592" max="3592" width="17.796875" bestFit="1" customWidth="1"/>
    <col min="3594" max="3594" width="20.59765625" bestFit="1" customWidth="1"/>
    <col min="3596" max="3596" width="37.59765625" customWidth="1"/>
    <col min="3841" max="3841" width="13.19921875" customWidth="1"/>
    <col min="3842" max="3842" width="46" customWidth="1"/>
    <col min="3843" max="3843" width="18.796875" customWidth="1"/>
    <col min="3844" max="3844" width="21.796875" customWidth="1"/>
    <col min="3845" max="3845" width="18.19921875" customWidth="1"/>
    <col min="3846" max="3846" width="24" bestFit="1" customWidth="1"/>
    <col min="3847" max="3847" width="18" customWidth="1"/>
    <col min="3848" max="3848" width="17.796875" bestFit="1" customWidth="1"/>
    <col min="3850" max="3850" width="20.59765625" bestFit="1" customWidth="1"/>
    <col min="3852" max="3852" width="37.59765625" customWidth="1"/>
    <col min="4097" max="4097" width="13.19921875" customWidth="1"/>
    <col min="4098" max="4098" width="46" customWidth="1"/>
    <col min="4099" max="4099" width="18.796875" customWidth="1"/>
    <col min="4100" max="4100" width="21.796875" customWidth="1"/>
    <col min="4101" max="4101" width="18.19921875" customWidth="1"/>
    <col min="4102" max="4102" width="24" bestFit="1" customWidth="1"/>
    <col min="4103" max="4103" width="18" customWidth="1"/>
    <col min="4104" max="4104" width="17.796875" bestFit="1" customWidth="1"/>
    <col min="4106" max="4106" width="20.59765625" bestFit="1" customWidth="1"/>
    <col min="4108" max="4108" width="37.59765625" customWidth="1"/>
    <col min="4353" max="4353" width="13.19921875" customWidth="1"/>
    <col min="4354" max="4354" width="46" customWidth="1"/>
    <col min="4355" max="4355" width="18.796875" customWidth="1"/>
    <col min="4356" max="4356" width="21.796875" customWidth="1"/>
    <col min="4357" max="4357" width="18.19921875" customWidth="1"/>
    <col min="4358" max="4358" width="24" bestFit="1" customWidth="1"/>
    <col min="4359" max="4359" width="18" customWidth="1"/>
    <col min="4360" max="4360" width="17.796875" bestFit="1" customWidth="1"/>
    <col min="4362" max="4362" width="20.59765625" bestFit="1" customWidth="1"/>
    <col min="4364" max="4364" width="37.59765625" customWidth="1"/>
    <col min="4609" max="4609" width="13.19921875" customWidth="1"/>
    <col min="4610" max="4610" width="46" customWidth="1"/>
    <col min="4611" max="4611" width="18.796875" customWidth="1"/>
    <col min="4612" max="4612" width="21.796875" customWidth="1"/>
    <col min="4613" max="4613" width="18.19921875" customWidth="1"/>
    <col min="4614" max="4614" width="24" bestFit="1" customWidth="1"/>
    <col min="4615" max="4615" width="18" customWidth="1"/>
    <col min="4616" max="4616" width="17.796875" bestFit="1" customWidth="1"/>
    <col min="4618" max="4618" width="20.59765625" bestFit="1" customWidth="1"/>
    <col min="4620" max="4620" width="37.59765625" customWidth="1"/>
    <col min="4865" max="4865" width="13.19921875" customWidth="1"/>
    <col min="4866" max="4866" width="46" customWidth="1"/>
    <col min="4867" max="4867" width="18.796875" customWidth="1"/>
    <col min="4868" max="4868" width="21.796875" customWidth="1"/>
    <col min="4869" max="4869" width="18.19921875" customWidth="1"/>
    <col min="4870" max="4870" width="24" bestFit="1" customWidth="1"/>
    <col min="4871" max="4871" width="18" customWidth="1"/>
    <col min="4872" max="4872" width="17.796875" bestFit="1" customWidth="1"/>
    <col min="4874" max="4874" width="20.59765625" bestFit="1" customWidth="1"/>
    <col min="4876" max="4876" width="37.59765625" customWidth="1"/>
    <col min="5121" max="5121" width="13.19921875" customWidth="1"/>
    <col min="5122" max="5122" width="46" customWidth="1"/>
    <col min="5123" max="5123" width="18.796875" customWidth="1"/>
    <col min="5124" max="5124" width="21.796875" customWidth="1"/>
    <col min="5125" max="5125" width="18.19921875" customWidth="1"/>
    <col min="5126" max="5126" width="24" bestFit="1" customWidth="1"/>
    <col min="5127" max="5127" width="18" customWidth="1"/>
    <col min="5128" max="5128" width="17.796875" bestFit="1" customWidth="1"/>
    <col min="5130" max="5130" width="20.59765625" bestFit="1" customWidth="1"/>
    <col min="5132" max="5132" width="37.59765625" customWidth="1"/>
    <col min="5377" max="5377" width="13.19921875" customWidth="1"/>
    <col min="5378" max="5378" width="46" customWidth="1"/>
    <col min="5379" max="5379" width="18.796875" customWidth="1"/>
    <col min="5380" max="5380" width="21.796875" customWidth="1"/>
    <col min="5381" max="5381" width="18.19921875" customWidth="1"/>
    <col min="5382" max="5382" width="24" bestFit="1" customWidth="1"/>
    <col min="5383" max="5383" width="18" customWidth="1"/>
    <col min="5384" max="5384" width="17.796875" bestFit="1" customWidth="1"/>
    <col min="5386" max="5386" width="20.59765625" bestFit="1" customWidth="1"/>
    <col min="5388" max="5388" width="37.59765625" customWidth="1"/>
    <col min="5633" max="5633" width="13.19921875" customWidth="1"/>
    <col min="5634" max="5634" width="46" customWidth="1"/>
    <col min="5635" max="5635" width="18.796875" customWidth="1"/>
    <col min="5636" max="5636" width="21.796875" customWidth="1"/>
    <col min="5637" max="5637" width="18.19921875" customWidth="1"/>
    <col min="5638" max="5638" width="24" bestFit="1" customWidth="1"/>
    <col min="5639" max="5639" width="18" customWidth="1"/>
    <col min="5640" max="5640" width="17.796875" bestFit="1" customWidth="1"/>
    <col min="5642" max="5642" width="20.59765625" bestFit="1" customWidth="1"/>
    <col min="5644" max="5644" width="37.59765625" customWidth="1"/>
    <col min="5889" max="5889" width="13.19921875" customWidth="1"/>
    <col min="5890" max="5890" width="46" customWidth="1"/>
    <col min="5891" max="5891" width="18.796875" customWidth="1"/>
    <col min="5892" max="5892" width="21.796875" customWidth="1"/>
    <col min="5893" max="5893" width="18.19921875" customWidth="1"/>
    <col min="5894" max="5894" width="24" bestFit="1" customWidth="1"/>
    <col min="5895" max="5895" width="18" customWidth="1"/>
    <col min="5896" max="5896" width="17.796875" bestFit="1" customWidth="1"/>
    <col min="5898" max="5898" width="20.59765625" bestFit="1" customWidth="1"/>
    <col min="5900" max="5900" width="37.59765625" customWidth="1"/>
    <col min="6145" max="6145" width="13.19921875" customWidth="1"/>
    <col min="6146" max="6146" width="46" customWidth="1"/>
    <col min="6147" max="6147" width="18.796875" customWidth="1"/>
    <col min="6148" max="6148" width="21.796875" customWidth="1"/>
    <col min="6149" max="6149" width="18.19921875" customWidth="1"/>
    <col min="6150" max="6150" width="24" bestFit="1" customWidth="1"/>
    <col min="6151" max="6151" width="18" customWidth="1"/>
    <col min="6152" max="6152" width="17.796875" bestFit="1" customWidth="1"/>
    <col min="6154" max="6154" width="20.59765625" bestFit="1" customWidth="1"/>
    <col min="6156" max="6156" width="37.59765625" customWidth="1"/>
    <col min="6401" max="6401" width="13.19921875" customWidth="1"/>
    <col min="6402" max="6402" width="46" customWidth="1"/>
    <col min="6403" max="6403" width="18.796875" customWidth="1"/>
    <col min="6404" max="6404" width="21.796875" customWidth="1"/>
    <col min="6405" max="6405" width="18.19921875" customWidth="1"/>
    <col min="6406" max="6406" width="24" bestFit="1" customWidth="1"/>
    <col min="6407" max="6407" width="18" customWidth="1"/>
    <col min="6408" max="6408" width="17.796875" bestFit="1" customWidth="1"/>
    <col min="6410" max="6410" width="20.59765625" bestFit="1" customWidth="1"/>
    <col min="6412" max="6412" width="37.59765625" customWidth="1"/>
    <col min="6657" max="6657" width="13.19921875" customWidth="1"/>
    <col min="6658" max="6658" width="46" customWidth="1"/>
    <col min="6659" max="6659" width="18.796875" customWidth="1"/>
    <col min="6660" max="6660" width="21.796875" customWidth="1"/>
    <col min="6661" max="6661" width="18.19921875" customWidth="1"/>
    <col min="6662" max="6662" width="24" bestFit="1" customWidth="1"/>
    <col min="6663" max="6663" width="18" customWidth="1"/>
    <col min="6664" max="6664" width="17.796875" bestFit="1" customWidth="1"/>
    <col min="6666" max="6666" width="20.59765625" bestFit="1" customWidth="1"/>
    <col min="6668" max="6668" width="37.59765625" customWidth="1"/>
    <col min="6913" max="6913" width="13.19921875" customWidth="1"/>
    <col min="6914" max="6914" width="46" customWidth="1"/>
    <col min="6915" max="6915" width="18.796875" customWidth="1"/>
    <col min="6916" max="6916" width="21.796875" customWidth="1"/>
    <col min="6917" max="6917" width="18.19921875" customWidth="1"/>
    <col min="6918" max="6918" width="24" bestFit="1" customWidth="1"/>
    <col min="6919" max="6919" width="18" customWidth="1"/>
    <col min="6920" max="6920" width="17.796875" bestFit="1" customWidth="1"/>
    <col min="6922" max="6922" width="20.59765625" bestFit="1" customWidth="1"/>
    <col min="6924" max="6924" width="37.59765625" customWidth="1"/>
    <col min="7169" max="7169" width="13.19921875" customWidth="1"/>
    <col min="7170" max="7170" width="46" customWidth="1"/>
    <col min="7171" max="7171" width="18.796875" customWidth="1"/>
    <col min="7172" max="7172" width="21.796875" customWidth="1"/>
    <col min="7173" max="7173" width="18.19921875" customWidth="1"/>
    <col min="7174" max="7174" width="24" bestFit="1" customWidth="1"/>
    <col min="7175" max="7175" width="18" customWidth="1"/>
    <col min="7176" max="7176" width="17.796875" bestFit="1" customWidth="1"/>
    <col min="7178" max="7178" width="20.59765625" bestFit="1" customWidth="1"/>
    <col min="7180" max="7180" width="37.59765625" customWidth="1"/>
    <col min="7425" max="7425" width="13.19921875" customWidth="1"/>
    <col min="7426" max="7426" width="46" customWidth="1"/>
    <col min="7427" max="7427" width="18.796875" customWidth="1"/>
    <col min="7428" max="7428" width="21.796875" customWidth="1"/>
    <col min="7429" max="7429" width="18.19921875" customWidth="1"/>
    <col min="7430" max="7430" width="24" bestFit="1" customWidth="1"/>
    <col min="7431" max="7431" width="18" customWidth="1"/>
    <col min="7432" max="7432" width="17.796875" bestFit="1" customWidth="1"/>
    <col min="7434" max="7434" width="20.59765625" bestFit="1" customWidth="1"/>
    <col min="7436" max="7436" width="37.59765625" customWidth="1"/>
    <col min="7681" max="7681" width="13.19921875" customWidth="1"/>
    <col min="7682" max="7682" width="46" customWidth="1"/>
    <col min="7683" max="7683" width="18.796875" customWidth="1"/>
    <col min="7684" max="7684" width="21.796875" customWidth="1"/>
    <col min="7685" max="7685" width="18.19921875" customWidth="1"/>
    <col min="7686" max="7686" width="24" bestFit="1" customWidth="1"/>
    <col min="7687" max="7687" width="18" customWidth="1"/>
    <col min="7688" max="7688" width="17.796875" bestFit="1" customWidth="1"/>
    <col min="7690" max="7690" width="20.59765625" bestFit="1" customWidth="1"/>
    <col min="7692" max="7692" width="37.59765625" customWidth="1"/>
    <col min="7937" max="7937" width="13.19921875" customWidth="1"/>
    <col min="7938" max="7938" width="46" customWidth="1"/>
    <col min="7939" max="7939" width="18.796875" customWidth="1"/>
    <col min="7940" max="7940" width="21.796875" customWidth="1"/>
    <col min="7941" max="7941" width="18.19921875" customWidth="1"/>
    <col min="7942" max="7942" width="24" bestFit="1" customWidth="1"/>
    <col min="7943" max="7943" width="18" customWidth="1"/>
    <col min="7944" max="7944" width="17.796875" bestFit="1" customWidth="1"/>
    <col min="7946" max="7946" width="20.59765625" bestFit="1" customWidth="1"/>
    <col min="7948" max="7948" width="37.59765625" customWidth="1"/>
    <col min="8193" max="8193" width="13.19921875" customWidth="1"/>
    <col min="8194" max="8194" width="46" customWidth="1"/>
    <col min="8195" max="8195" width="18.796875" customWidth="1"/>
    <col min="8196" max="8196" width="21.796875" customWidth="1"/>
    <col min="8197" max="8197" width="18.19921875" customWidth="1"/>
    <col min="8198" max="8198" width="24" bestFit="1" customWidth="1"/>
    <col min="8199" max="8199" width="18" customWidth="1"/>
    <col min="8200" max="8200" width="17.796875" bestFit="1" customWidth="1"/>
    <col min="8202" max="8202" width="20.59765625" bestFit="1" customWidth="1"/>
    <col min="8204" max="8204" width="37.59765625" customWidth="1"/>
    <col min="8449" max="8449" width="13.19921875" customWidth="1"/>
    <col min="8450" max="8450" width="46" customWidth="1"/>
    <col min="8451" max="8451" width="18.796875" customWidth="1"/>
    <col min="8452" max="8452" width="21.796875" customWidth="1"/>
    <col min="8453" max="8453" width="18.19921875" customWidth="1"/>
    <col min="8454" max="8454" width="24" bestFit="1" customWidth="1"/>
    <col min="8455" max="8455" width="18" customWidth="1"/>
    <col min="8456" max="8456" width="17.796875" bestFit="1" customWidth="1"/>
    <col min="8458" max="8458" width="20.59765625" bestFit="1" customWidth="1"/>
    <col min="8460" max="8460" width="37.59765625" customWidth="1"/>
    <col min="8705" max="8705" width="13.19921875" customWidth="1"/>
    <col min="8706" max="8706" width="46" customWidth="1"/>
    <col min="8707" max="8707" width="18.796875" customWidth="1"/>
    <col min="8708" max="8708" width="21.796875" customWidth="1"/>
    <col min="8709" max="8709" width="18.19921875" customWidth="1"/>
    <col min="8710" max="8710" width="24" bestFit="1" customWidth="1"/>
    <col min="8711" max="8711" width="18" customWidth="1"/>
    <col min="8712" max="8712" width="17.796875" bestFit="1" customWidth="1"/>
    <col min="8714" max="8714" width="20.59765625" bestFit="1" customWidth="1"/>
    <col min="8716" max="8716" width="37.59765625" customWidth="1"/>
    <col min="8961" max="8961" width="13.19921875" customWidth="1"/>
    <col min="8962" max="8962" width="46" customWidth="1"/>
    <col min="8963" max="8963" width="18.796875" customWidth="1"/>
    <col min="8964" max="8964" width="21.796875" customWidth="1"/>
    <col min="8965" max="8965" width="18.19921875" customWidth="1"/>
    <col min="8966" max="8966" width="24" bestFit="1" customWidth="1"/>
    <col min="8967" max="8967" width="18" customWidth="1"/>
    <col min="8968" max="8968" width="17.796875" bestFit="1" customWidth="1"/>
    <col min="8970" max="8970" width="20.59765625" bestFit="1" customWidth="1"/>
    <col min="8972" max="8972" width="37.59765625" customWidth="1"/>
    <col min="9217" max="9217" width="13.19921875" customWidth="1"/>
    <col min="9218" max="9218" width="46" customWidth="1"/>
    <col min="9219" max="9219" width="18.796875" customWidth="1"/>
    <col min="9220" max="9220" width="21.796875" customWidth="1"/>
    <col min="9221" max="9221" width="18.19921875" customWidth="1"/>
    <col min="9222" max="9222" width="24" bestFit="1" customWidth="1"/>
    <col min="9223" max="9223" width="18" customWidth="1"/>
    <col min="9224" max="9224" width="17.796875" bestFit="1" customWidth="1"/>
    <col min="9226" max="9226" width="20.59765625" bestFit="1" customWidth="1"/>
    <col min="9228" max="9228" width="37.59765625" customWidth="1"/>
    <col min="9473" max="9473" width="13.19921875" customWidth="1"/>
    <col min="9474" max="9474" width="46" customWidth="1"/>
    <col min="9475" max="9475" width="18.796875" customWidth="1"/>
    <col min="9476" max="9476" width="21.796875" customWidth="1"/>
    <col min="9477" max="9477" width="18.19921875" customWidth="1"/>
    <col min="9478" max="9478" width="24" bestFit="1" customWidth="1"/>
    <col min="9479" max="9479" width="18" customWidth="1"/>
    <col min="9480" max="9480" width="17.796875" bestFit="1" customWidth="1"/>
    <col min="9482" max="9482" width="20.59765625" bestFit="1" customWidth="1"/>
    <col min="9484" max="9484" width="37.59765625" customWidth="1"/>
    <col min="9729" max="9729" width="13.19921875" customWidth="1"/>
    <col min="9730" max="9730" width="46" customWidth="1"/>
    <col min="9731" max="9731" width="18.796875" customWidth="1"/>
    <col min="9732" max="9732" width="21.796875" customWidth="1"/>
    <col min="9733" max="9733" width="18.19921875" customWidth="1"/>
    <col min="9734" max="9734" width="24" bestFit="1" customWidth="1"/>
    <col min="9735" max="9735" width="18" customWidth="1"/>
    <col min="9736" max="9736" width="17.796875" bestFit="1" customWidth="1"/>
    <col min="9738" max="9738" width="20.59765625" bestFit="1" customWidth="1"/>
    <col min="9740" max="9740" width="37.59765625" customWidth="1"/>
    <col min="9985" max="9985" width="13.19921875" customWidth="1"/>
    <col min="9986" max="9986" width="46" customWidth="1"/>
    <col min="9987" max="9987" width="18.796875" customWidth="1"/>
    <col min="9988" max="9988" width="21.796875" customWidth="1"/>
    <col min="9989" max="9989" width="18.19921875" customWidth="1"/>
    <col min="9990" max="9990" width="24" bestFit="1" customWidth="1"/>
    <col min="9991" max="9991" width="18" customWidth="1"/>
    <col min="9992" max="9992" width="17.796875" bestFit="1" customWidth="1"/>
    <col min="9994" max="9994" width="20.59765625" bestFit="1" customWidth="1"/>
    <col min="9996" max="9996" width="37.59765625" customWidth="1"/>
    <col min="10241" max="10241" width="13.19921875" customWidth="1"/>
    <col min="10242" max="10242" width="46" customWidth="1"/>
    <col min="10243" max="10243" width="18.796875" customWidth="1"/>
    <col min="10244" max="10244" width="21.796875" customWidth="1"/>
    <col min="10245" max="10245" width="18.19921875" customWidth="1"/>
    <col min="10246" max="10246" width="24" bestFit="1" customWidth="1"/>
    <col min="10247" max="10247" width="18" customWidth="1"/>
    <col min="10248" max="10248" width="17.796875" bestFit="1" customWidth="1"/>
    <col min="10250" max="10250" width="20.59765625" bestFit="1" customWidth="1"/>
    <col min="10252" max="10252" width="37.59765625" customWidth="1"/>
    <col min="10497" max="10497" width="13.19921875" customWidth="1"/>
    <col min="10498" max="10498" width="46" customWidth="1"/>
    <col min="10499" max="10499" width="18.796875" customWidth="1"/>
    <col min="10500" max="10500" width="21.796875" customWidth="1"/>
    <col min="10501" max="10501" width="18.19921875" customWidth="1"/>
    <col min="10502" max="10502" width="24" bestFit="1" customWidth="1"/>
    <col min="10503" max="10503" width="18" customWidth="1"/>
    <col min="10504" max="10504" width="17.796875" bestFit="1" customWidth="1"/>
    <col min="10506" max="10506" width="20.59765625" bestFit="1" customWidth="1"/>
    <col min="10508" max="10508" width="37.59765625" customWidth="1"/>
    <col min="10753" max="10753" width="13.19921875" customWidth="1"/>
    <col min="10754" max="10754" width="46" customWidth="1"/>
    <col min="10755" max="10755" width="18.796875" customWidth="1"/>
    <col min="10756" max="10756" width="21.796875" customWidth="1"/>
    <col min="10757" max="10757" width="18.19921875" customWidth="1"/>
    <col min="10758" max="10758" width="24" bestFit="1" customWidth="1"/>
    <col min="10759" max="10759" width="18" customWidth="1"/>
    <col min="10760" max="10760" width="17.796875" bestFit="1" customWidth="1"/>
    <col min="10762" max="10762" width="20.59765625" bestFit="1" customWidth="1"/>
    <col min="10764" max="10764" width="37.59765625" customWidth="1"/>
    <col min="11009" max="11009" width="13.19921875" customWidth="1"/>
    <col min="11010" max="11010" width="46" customWidth="1"/>
    <col min="11011" max="11011" width="18.796875" customWidth="1"/>
    <col min="11012" max="11012" width="21.796875" customWidth="1"/>
    <col min="11013" max="11013" width="18.19921875" customWidth="1"/>
    <col min="11014" max="11014" width="24" bestFit="1" customWidth="1"/>
    <col min="11015" max="11015" width="18" customWidth="1"/>
    <col min="11016" max="11016" width="17.796875" bestFit="1" customWidth="1"/>
    <col min="11018" max="11018" width="20.59765625" bestFit="1" customWidth="1"/>
    <col min="11020" max="11020" width="37.59765625" customWidth="1"/>
    <col min="11265" max="11265" width="13.19921875" customWidth="1"/>
    <col min="11266" max="11266" width="46" customWidth="1"/>
    <col min="11267" max="11267" width="18.796875" customWidth="1"/>
    <col min="11268" max="11268" width="21.796875" customWidth="1"/>
    <col min="11269" max="11269" width="18.19921875" customWidth="1"/>
    <col min="11270" max="11270" width="24" bestFit="1" customWidth="1"/>
    <col min="11271" max="11271" width="18" customWidth="1"/>
    <col min="11272" max="11272" width="17.796875" bestFit="1" customWidth="1"/>
    <col min="11274" max="11274" width="20.59765625" bestFit="1" customWidth="1"/>
    <col min="11276" max="11276" width="37.59765625" customWidth="1"/>
    <col min="11521" max="11521" width="13.19921875" customWidth="1"/>
    <col min="11522" max="11522" width="46" customWidth="1"/>
    <col min="11523" max="11523" width="18.796875" customWidth="1"/>
    <col min="11524" max="11524" width="21.796875" customWidth="1"/>
    <col min="11525" max="11525" width="18.19921875" customWidth="1"/>
    <col min="11526" max="11526" width="24" bestFit="1" customWidth="1"/>
    <col min="11527" max="11527" width="18" customWidth="1"/>
    <col min="11528" max="11528" width="17.796875" bestFit="1" customWidth="1"/>
    <col min="11530" max="11530" width="20.59765625" bestFit="1" customWidth="1"/>
    <col min="11532" max="11532" width="37.59765625" customWidth="1"/>
    <col min="11777" max="11777" width="13.19921875" customWidth="1"/>
    <col min="11778" max="11778" width="46" customWidth="1"/>
    <col min="11779" max="11779" width="18.796875" customWidth="1"/>
    <col min="11780" max="11780" width="21.796875" customWidth="1"/>
    <col min="11781" max="11781" width="18.19921875" customWidth="1"/>
    <col min="11782" max="11782" width="24" bestFit="1" customWidth="1"/>
    <col min="11783" max="11783" width="18" customWidth="1"/>
    <col min="11784" max="11784" width="17.796875" bestFit="1" customWidth="1"/>
    <col min="11786" max="11786" width="20.59765625" bestFit="1" customWidth="1"/>
    <col min="11788" max="11788" width="37.59765625" customWidth="1"/>
    <col min="12033" max="12033" width="13.19921875" customWidth="1"/>
    <col min="12034" max="12034" width="46" customWidth="1"/>
    <col min="12035" max="12035" width="18.796875" customWidth="1"/>
    <col min="12036" max="12036" width="21.796875" customWidth="1"/>
    <col min="12037" max="12037" width="18.19921875" customWidth="1"/>
    <col min="12038" max="12038" width="24" bestFit="1" customWidth="1"/>
    <col min="12039" max="12039" width="18" customWidth="1"/>
    <col min="12040" max="12040" width="17.796875" bestFit="1" customWidth="1"/>
    <col min="12042" max="12042" width="20.59765625" bestFit="1" customWidth="1"/>
    <col min="12044" max="12044" width="37.59765625" customWidth="1"/>
    <col min="12289" max="12289" width="13.19921875" customWidth="1"/>
    <col min="12290" max="12290" width="46" customWidth="1"/>
    <col min="12291" max="12291" width="18.796875" customWidth="1"/>
    <col min="12292" max="12292" width="21.796875" customWidth="1"/>
    <col min="12293" max="12293" width="18.19921875" customWidth="1"/>
    <col min="12294" max="12294" width="24" bestFit="1" customWidth="1"/>
    <col min="12295" max="12295" width="18" customWidth="1"/>
    <col min="12296" max="12296" width="17.796875" bestFit="1" customWidth="1"/>
    <col min="12298" max="12298" width="20.59765625" bestFit="1" customWidth="1"/>
    <col min="12300" max="12300" width="37.59765625" customWidth="1"/>
    <col min="12545" max="12545" width="13.19921875" customWidth="1"/>
    <col min="12546" max="12546" width="46" customWidth="1"/>
    <col min="12547" max="12547" width="18.796875" customWidth="1"/>
    <col min="12548" max="12548" width="21.796875" customWidth="1"/>
    <col min="12549" max="12549" width="18.19921875" customWidth="1"/>
    <col min="12550" max="12550" width="24" bestFit="1" customWidth="1"/>
    <col min="12551" max="12551" width="18" customWidth="1"/>
    <col min="12552" max="12552" width="17.796875" bestFit="1" customWidth="1"/>
    <col min="12554" max="12554" width="20.59765625" bestFit="1" customWidth="1"/>
    <col min="12556" max="12556" width="37.59765625" customWidth="1"/>
    <col min="12801" max="12801" width="13.19921875" customWidth="1"/>
    <col min="12802" max="12802" width="46" customWidth="1"/>
    <col min="12803" max="12803" width="18.796875" customWidth="1"/>
    <col min="12804" max="12804" width="21.796875" customWidth="1"/>
    <col min="12805" max="12805" width="18.19921875" customWidth="1"/>
    <col min="12806" max="12806" width="24" bestFit="1" customWidth="1"/>
    <col min="12807" max="12807" width="18" customWidth="1"/>
    <col min="12808" max="12808" width="17.796875" bestFit="1" customWidth="1"/>
    <col min="12810" max="12810" width="20.59765625" bestFit="1" customWidth="1"/>
    <col min="12812" max="12812" width="37.59765625" customWidth="1"/>
    <col min="13057" max="13057" width="13.19921875" customWidth="1"/>
    <col min="13058" max="13058" width="46" customWidth="1"/>
    <col min="13059" max="13059" width="18.796875" customWidth="1"/>
    <col min="13060" max="13060" width="21.796875" customWidth="1"/>
    <col min="13061" max="13061" width="18.19921875" customWidth="1"/>
    <col min="13062" max="13062" width="24" bestFit="1" customWidth="1"/>
    <col min="13063" max="13063" width="18" customWidth="1"/>
    <col min="13064" max="13064" width="17.796875" bestFit="1" customWidth="1"/>
    <col min="13066" max="13066" width="20.59765625" bestFit="1" customWidth="1"/>
    <col min="13068" max="13068" width="37.59765625" customWidth="1"/>
    <col min="13313" max="13313" width="13.19921875" customWidth="1"/>
    <col min="13314" max="13314" width="46" customWidth="1"/>
    <col min="13315" max="13315" width="18.796875" customWidth="1"/>
    <col min="13316" max="13316" width="21.796875" customWidth="1"/>
    <col min="13317" max="13317" width="18.19921875" customWidth="1"/>
    <col min="13318" max="13318" width="24" bestFit="1" customWidth="1"/>
    <col min="13319" max="13319" width="18" customWidth="1"/>
    <col min="13320" max="13320" width="17.796875" bestFit="1" customWidth="1"/>
    <col min="13322" max="13322" width="20.59765625" bestFit="1" customWidth="1"/>
    <col min="13324" max="13324" width="37.59765625" customWidth="1"/>
    <col min="13569" max="13569" width="13.19921875" customWidth="1"/>
    <col min="13570" max="13570" width="46" customWidth="1"/>
    <col min="13571" max="13571" width="18.796875" customWidth="1"/>
    <col min="13572" max="13572" width="21.796875" customWidth="1"/>
    <col min="13573" max="13573" width="18.19921875" customWidth="1"/>
    <col min="13574" max="13574" width="24" bestFit="1" customWidth="1"/>
    <col min="13575" max="13575" width="18" customWidth="1"/>
    <col min="13576" max="13576" width="17.796875" bestFit="1" customWidth="1"/>
    <col min="13578" max="13578" width="20.59765625" bestFit="1" customWidth="1"/>
    <col min="13580" max="13580" width="37.59765625" customWidth="1"/>
    <col min="13825" max="13825" width="13.19921875" customWidth="1"/>
    <col min="13826" max="13826" width="46" customWidth="1"/>
    <col min="13827" max="13827" width="18.796875" customWidth="1"/>
    <col min="13828" max="13828" width="21.796875" customWidth="1"/>
    <col min="13829" max="13829" width="18.19921875" customWidth="1"/>
    <col min="13830" max="13830" width="24" bestFit="1" customWidth="1"/>
    <col min="13831" max="13831" width="18" customWidth="1"/>
    <col min="13832" max="13832" width="17.796875" bestFit="1" customWidth="1"/>
    <col min="13834" max="13834" width="20.59765625" bestFit="1" customWidth="1"/>
    <col min="13836" max="13836" width="37.59765625" customWidth="1"/>
    <col min="14081" max="14081" width="13.19921875" customWidth="1"/>
    <col min="14082" max="14082" width="46" customWidth="1"/>
    <col min="14083" max="14083" width="18.796875" customWidth="1"/>
    <col min="14084" max="14084" width="21.796875" customWidth="1"/>
    <col min="14085" max="14085" width="18.19921875" customWidth="1"/>
    <col min="14086" max="14086" width="24" bestFit="1" customWidth="1"/>
    <col min="14087" max="14087" width="18" customWidth="1"/>
    <col min="14088" max="14088" width="17.796875" bestFit="1" customWidth="1"/>
    <col min="14090" max="14090" width="20.59765625" bestFit="1" customWidth="1"/>
    <col min="14092" max="14092" width="37.59765625" customWidth="1"/>
    <col min="14337" max="14337" width="13.19921875" customWidth="1"/>
    <col min="14338" max="14338" width="46" customWidth="1"/>
    <col min="14339" max="14339" width="18.796875" customWidth="1"/>
    <col min="14340" max="14340" width="21.796875" customWidth="1"/>
    <col min="14341" max="14341" width="18.19921875" customWidth="1"/>
    <col min="14342" max="14342" width="24" bestFit="1" customWidth="1"/>
    <col min="14343" max="14343" width="18" customWidth="1"/>
    <col min="14344" max="14344" width="17.796875" bestFit="1" customWidth="1"/>
    <col min="14346" max="14346" width="20.59765625" bestFit="1" customWidth="1"/>
    <col min="14348" max="14348" width="37.59765625" customWidth="1"/>
    <col min="14593" max="14593" width="13.19921875" customWidth="1"/>
    <col min="14594" max="14594" width="46" customWidth="1"/>
    <col min="14595" max="14595" width="18.796875" customWidth="1"/>
    <col min="14596" max="14596" width="21.796875" customWidth="1"/>
    <col min="14597" max="14597" width="18.19921875" customWidth="1"/>
    <col min="14598" max="14598" width="24" bestFit="1" customWidth="1"/>
    <col min="14599" max="14599" width="18" customWidth="1"/>
    <col min="14600" max="14600" width="17.796875" bestFit="1" customWidth="1"/>
    <col min="14602" max="14602" width="20.59765625" bestFit="1" customWidth="1"/>
    <col min="14604" max="14604" width="37.59765625" customWidth="1"/>
    <col min="14849" max="14849" width="13.19921875" customWidth="1"/>
    <col min="14850" max="14850" width="46" customWidth="1"/>
    <col min="14851" max="14851" width="18.796875" customWidth="1"/>
    <col min="14852" max="14852" width="21.796875" customWidth="1"/>
    <col min="14853" max="14853" width="18.19921875" customWidth="1"/>
    <col min="14854" max="14854" width="24" bestFit="1" customWidth="1"/>
    <col min="14855" max="14855" width="18" customWidth="1"/>
    <col min="14856" max="14856" width="17.796875" bestFit="1" customWidth="1"/>
    <col min="14858" max="14858" width="20.59765625" bestFit="1" customWidth="1"/>
    <col min="14860" max="14860" width="37.59765625" customWidth="1"/>
    <col min="15105" max="15105" width="13.19921875" customWidth="1"/>
    <col min="15106" max="15106" width="46" customWidth="1"/>
    <col min="15107" max="15107" width="18.796875" customWidth="1"/>
    <col min="15108" max="15108" width="21.796875" customWidth="1"/>
    <col min="15109" max="15109" width="18.19921875" customWidth="1"/>
    <col min="15110" max="15110" width="24" bestFit="1" customWidth="1"/>
    <col min="15111" max="15111" width="18" customWidth="1"/>
    <col min="15112" max="15112" width="17.796875" bestFit="1" customWidth="1"/>
    <col min="15114" max="15114" width="20.59765625" bestFit="1" customWidth="1"/>
    <col min="15116" max="15116" width="37.59765625" customWidth="1"/>
    <col min="15361" max="15361" width="13.19921875" customWidth="1"/>
    <col min="15362" max="15362" width="46" customWidth="1"/>
    <col min="15363" max="15363" width="18.796875" customWidth="1"/>
    <col min="15364" max="15364" width="21.796875" customWidth="1"/>
    <col min="15365" max="15365" width="18.19921875" customWidth="1"/>
    <col min="15366" max="15366" width="24" bestFit="1" customWidth="1"/>
    <col min="15367" max="15367" width="18" customWidth="1"/>
    <col min="15368" max="15368" width="17.796875" bestFit="1" customWidth="1"/>
    <col min="15370" max="15370" width="20.59765625" bestFit="1" customWidth="1"/>
    <col min="15372" max="15372" width="37.59765625" customWidth="1"/>
    <col min="15617" max="15617" width="13.19921875" customWidth="1"/>
    <col min="15618" max="15618" width="46" customWidth="1"/>
    <col min="15619" max="15619" width="18.796875" customWidth="1"/>
    <col min="15620" max="15620" width="21.796875" customWidth="1"/>
    <col min="15621" max="15621" width="18.19921875" customWidth="1"/>
    <col min="15622" max="15622" width="24" bestFit="1" customWidth="1"/>
    <col min="15623" max="15623" width="18" customWidth="1"/>
    <col min="15624" max="15624" width="17.796875" bestFit="1" customWidth="1"/>
    <col min="15626" max="15626" width="20.59765625" bestFit="1" customWidth="1"/>
    <col min="15628" max="15628" width="37.59765625" customWidth="1"/>
    <col min="15873" max="15873" width="13.19921875" customWidth="1"/>
    <col min="15874" max="15874" width="46" customWidth="1"/>
    <col min="15875" max="15875" width="18.796875" customWidth="1"/>
    <col min="15876" max="15876" width="21.796875" customWidth="1"/>
    <col min="15877" max="15877" width="18.19921875" customWidth="1"/>
    <col min="15878" max="15878" width="24" bestFit="1" customWidth="1"/>
    <col min="15879" max="15879" width="18" customWidth="1"/>
    <col min="15880" max="15880" width="17.796875" bestFit="1" customWidth="1"/>
    <col min="15882" max="15882" width="20.59765625" bestFit="1" customWidth="1"/>
    <col min="15884" max="15884" width="37.59765625" customWidth="1"/>
    <col min="16129" max="16129" width="13.19921875" customWidth="1"/>
    <col min="16130" max="16130" width="46" customWidth="1"/>
    <col min="16131" max="16131" width="18.796875" customWidth="1"/>
    <col min="16132" max="16132" width="21.796875" customWidth="1"/>
    <col min="16133" max="16133" width="18.19921875" customWidth="1"/>
    <col min="16134" max="16134" width="24" bestFit="1" customWidth="1"/>
    <col min="16135" max="16135" width="18" customWidth="1"/>
    <col min="16136" max="16136" width="17.796875" bestFit="1" customWidth="1"/>
    <col min="16138" max="16138" width="20.59765625" bestFit="1" customWidth="1"/>
    <col min="16140" max="16140" width="37.59765625" customWidth="1"/>
  </cols>
  <sheetData>
    <row r="1" spans="1:12" ht="18" customHeight="1">
      <c r="A1" s="741"/>
      <c r="B1" s="742"/>
      <c r="C1" s="693" t="s">
        <v>703</v>
      </c>
      <c r="D1" s="694"/>
      <c r="E1" s="694"/>
      <c r="F1" s="694"/>
      <c r="G1" s="694"/>
      <c r="H1" s="695"/>
      <c r="I1" s="692"/>
      <c r="J1" s="692"/>
    </row>
    <row r="2" spans="1:12" ht="12.75" customHeight="1">
      <c r="A2" s="743"/>
      <c r="B2" s="744"/>
      <c r="C2" s="735" t="str">
        <f>PRESUPUESTO!B1</f>
        <v>PROYECTO: MANTENIMIENTO DE LA VÍA QUE CONDUCE  DE "LA BODEGA" HACIA LA VEREDA "SABANA RUBIA" DEL
 MUNICIPIO DE LA PAZ, DEPARTAMENTO DEL CESAR.</v>
      </c>
      <c r="D2" s="736"/>
      <c r="E2" s="736"/>
      <c r="F2" s="736"/>
      <c r="G2" s="736"/>
      <c r="H2" s="737"/>
      <c r="I2" s="692"/>
      <c r="J2" s="692"/>
    </row>
    <row r="3" spans="1:12" ht="46.75" customHeight="1">
      <c r="A3" s="743"/>
      <c r="B3" s="744"/>
      <c r="C3" s="738"/>
      <c r="D3" s="739"/>
      <c r="E3" s="739"/>
      <c r="F3" s="739"/>
      <c r="G3" s="739"/>
      <c r="H3" s="740"/>
      <c r="I3" s="692"/>
      <c r="J3" s="692"/>
    </row>
    <row r="4" spans="1:12" ht="15.75" customHeight="1">
      <c r="A4" s="745"/>
      <c r="B4" s="746"/>
      <c r="C4" s="693" t="s">
        <v>704</v>
      </c>
      <c r="D4" s="694"/>
      <c r="E4" s="694"/>
      <c r="F4" s="694"/>
      <c r="G4" s="694"/>
      <c r="H4" s="695"/>
      <c r="I4" s="692"/>
      <c r="J4" s="692"/>
    </row>
    <row r="5" spans="1:12" ht="14" thickBot="1"/>
    <row r="6" spans="1:12">
      <c r="A6" s="725" t="s">
        <v>705</v>
      </c>
      <c r="B6" s="726"/>
      <c r="C6" s="726"/>
      <c r="D6" s="727"/>
      <c r="E6" s="479"/>
      <c r="F6" s="731">
        <f>PRESUPUESTO!F13</f>
        <v>37539263.791350245</v>
      </c>
      <c r="G6" s="732"/>
    </row>
    <row r="7" spans="1:12" ht="14" thickBot="1">
      <c r="A7" s="728"/>
      <c r="B7" s="729"/>
      <c r="C7" s="729"/>
      <c r="D7" s="730"/>
      <c r="E7" s="480"/>
      <c r="F7" s="733"/>
      <c r="G7" s="734"/>
    </row>
    <row r="8" spans="1:12" ht="14" thickBot="1">
      <c r="A8" s="480"/>
      <c r="B8" s="481"/>
      <c r="C8" s="480"/>
      <c r="D8" s="482"/>
      <c r="E8" s="480"/>
      <c r="F8" s="483"/>
    </row>
    <row r="9" spans="1:12" ht="14" thickBot="1">
      <c r="A9" s="714" t="s">
        <v>706</v>
      </c>
      <c r="B9" s="715"/>
      <c r="C9" s="716"/>
      <c r="D9" s="484">
        <v>0.105</v>
      </c>
      <c r="E9" s="485"/>
      <c r="F9" s="717">
        <f>ROUND((F6*D9),2)</f>
        <v>3941622.7</v>
      </c>
      <c r="G9" s="718"/>
    </row>
    <row r="10" spans="1:12" ht="14" thickBot="1">
      <c r="A10" s="719" t="s">
        <v>707</v>
      </c>
      <c r="B10" s="720"/>
      <c r="C10" s="721"/>
      <c r="D10" s="486">
        <v>0.01</v>
      </c>
      <c r="E10" s="485"/>
      <c r="F10" s="717">
        <f>ROUND((F6*D10),2)</f>
        <v>375392.64</v>
      </c>
      <c r="G10" s="718"/>
    </row>
    <row r="11" spans="1:12" ht="14" thickBot="1">
      <c r="A11" s="722" t="s">
        <v>708</v>
      </c>
      <c r="B11" s="723"/>
      <c r="C11" s="724"/>
      <c r="D11" s="487">
        <v>0</v>
      </c>
      <c r="E11" s="485"/>
      <c r="F11" s="717">
        <f>ROUND((F6*D11),2)</f>
        <v>0</v>
      </c>
      <c r="G11" s="718"/>
    </row>
    <row r="12" spans="1:12" ht="14" thickBot="1">
      <c r="A12" s="488"/>
      <c r="B12" s="489"/>
      <c r="C12" s="490"/>
      <c r="D12" s="491"/>
      <c r="E12" s="492"/>
      <c r="F12" s="493"/>
    </row>
    <row r="13" spans="1:12" ht="21" customHeight="1" thickBot="1">
      <c r="A13" s="701" t="s">
        <v>709</v>
      </c>
      <c r="B13" s="702"/>
      <c r="C13" s="702"/>
      <c r="D13" s="703"/>
      <c r="E13" s="494"/>
      <c r="F13" s="704">
        <f>SUM(F6:F12)</f>
        <v>41856279.131350249</v>
      </c>
      <c r="G13" s="705"/>
      <c r="H13" s="478"/>
      <c r="L13" s="495">
        <f>+F6+L44</f>
        <v>41856279.131350249</v>
      </c>
    </row>
    <row r="16" spans="1:12" ht="14">
      <c r="A16" s="747" t="s">
        <v>710</v>
      </c>
      <c r="B16" s="747"/>
      <c r="C16" s="747"/>
      <c r="D16" s="747"/>
      <c r="E16" s="747"/>
      <c r="F16" s="747"/>
      <c r="G16" s="747"/>
    </row>
    <row r="17" spans="1:14" ht="14">
      <c r="A17" s="496"/>
      <c r="B17" s="496"/>
      <c r="C17" s="496"/>
      <c r="D17" s="496"/>
      <c r="E17" s="496"/>
      <c r="F17" s="496"/>
      <c r="G17" s="618"/>
    </row>
    <row r="18" spans="1:14" ht="47.5" customHeight="1">
      <c r="A18" s="497" t="s">
        <v>16</v>
      </c>
      <c r="B18" s="498" t="s">
        <v>81</v>
      </c>
      <c r="C18" s="498" t="s">
        <v>2</v>
      </c>
      <c r="D18" s="498" t="s">
        <v>3</v>
      </c>
      <c r="E18" s="499" t="s">
        <v>711</v>
      </c>
      <c r="F18" s="500" t="s">
        <v>712</v>
      </c>
      <c r="G18" s="619" t="s">
        <v>713</v>
      </c>
      <c r="H18" s="501" t="s">
        <v>714</v>
      </c>
      <c r="I18" s="498" t="s">
        <v>715</v>
      </c>
      <c r="J18" s="500" t="s">
        <v>716</v>
      </c>
      <c r="N18" s="502"/>
    </row>
    <row r="19" spans="1:14">
      <c r="A19" s="706" t="s">
        <v>717</v>
      </c>
      <c r="B19" s="707"/>
      <c r="C19" s="707"/>
      <c r="D19" s="707"/>
      <c r="E19" s="707"/>
      <c r="F19" s="707"/>
      <c r="G19" s="707"/>
      <c r="H19" s="707"/>
      <c r="I19" s="707"/>
      <c r="J19" s="708"/>
      <c r="N19" s="502"/>
    </row>
    <row r="20" spans="1:14">
      <c r="A20" s="503">
        <v>1.1000000000000001</v>
      </c>
      <c r="B20" s="504" t="s">
        <v>743</v>
      </c>
      <c r="C20" s="505" t="s">
        <v>718</v>
      </c>
      <c r="D20" s="506">
        <v>1</v>
      </c>
      <c r="E20" s="616">
        <v>0.82</v>
      </c>
      <c r="F20" s="507">
        <v>3150000</v>
      </c>
      <c r="G20" s="620">
        <f>'[2]FACTOR PRESTACIONAL'!K37</f>
        <v>71.102000000000004</v>
      </c>
      <c r="H20" s="507">
        <f>F20+(F20*G20%)</f>
        <v>5389713</v>
      </c>
      <c r="I20" s="508">
        <v>0.5</v>
      </c>
      <c r="J20" s="509">
        <f>H20*I20*D20*E20</f>
        <v>2209782.33</v>
      </c>
    </row>
    <row r="21" spans="1:14" ht="14">
      <c r="A21" s="510"/>
      <c r="B21" s="511"/>
      <c r="C21" s="512"/>
      <c r="D21" s="512"/>
      <c r="E21" s="512"/>
      <c r="F21" s="513"/>
      <c r="G21" s="621"/>
    </row>
    <row r="22" spans="1:14" ht="14">
      <c r="A22" s="709" t="s">
        <v>719</v>
      </c>
      <c r="B22" s="710"/>
      <c r="C22" s="710"/>
      <c r="D22" s="710"/>
      <c r="E22" s="710"/>
      <c r="F22" s="710"/>
      <c r="G22" s="711"/>
    </row>
    <row r="23" spans="1:14" ht="15">
      <c r="A23" s="514" t="s">
        <v>3</v>
      </c>
      <c r="B23" s="514" t="s">
        <v>81</v>
      </c>
      <c r="C23" s="514" t="s">
        <v>2</v>
      </c>
      <c r="D23" s="514" t="s">
        <v>3</v>
      </c>
      <c r="E23" s="514" t="s">
        <v>720</v>
      </c>
      <c r="F23" s="712" t="s">
        <v>721</v>
      </c>
      <c r="G23" s="713"/>
    </row>
    <row r="24" spans="1:14" ht="15">
      <c r="A24" s="515">
        <v>1</v>
      </c>
      <c r="B24" s="516" t="s">
        <v>722</v>
      </c>
      <c r="C24" s="517" t="s">
        <v>2</v>
      </c>
      <c r="D24" s="518">
        <v>1</v>
      </c>
      <c r="E24" s="519">
        <v>94835.408608153186</v>
      </c>
      <c r="F24" s="696">
        <f>D24*E24</f>
        <v>94835.408608153186</v>
      </c>
      <c r="G24" s="697"/>
    </row>
    <row r="25" spans="1:14" ht="15">
      <c r="A25" s="520"/>
      <c r="B25" s="516" t="s">
        <v>723</v>
      </c>
      <c r="C25" s="517" t="s">
        <v>2</v>
      </c>
      <c r="D25" s="518">
        <v>1</v>
      </c>
      <c r="E25" s="519">
        <v>134120.53356096148</v>
      </c>
      <c r="F25" s="696">
        <f>D25*E25</f>
        <v>134120.53356096148</v>
      </c>
      <c r="G25" s="697"/>
    </row>
    <row r="26" spans="1:14" ht="14">
      <c r="A26" s="698" t="s">
        <v>724</v>
      </c>
      <c r="B26" s="698"/>
      <c r="C26" s="698"/>
      <c r="D26" s="522"/>
      <c r="E26" s="523"/>
      <c r="F26" s="699">
        <f>J20+F24+F25</f>
        <v>2438738.2721691146</v>
      </c>
      <c r="G26" s="699"/>
      <c r="L26" s="524">
        <f>+F9</f>
        <v>3941622.7</v>
      </c>
    </row>
    <row r="27" spans="1:14" ht="14">
      <c r="A27" s="520"/>
      <c r="B27" s="525"/>
      <c r="C27" s="522"/>
      <c r="D27" s="522"/>
      <c r="E27" s="522"/>
      <c r="F27" s="522"/>
      <c r="G27" s="622"/>
    </row>
    <row r="28" spans="1:14" ht="14">
      <c r="A28" s="700" t="s">
        <v>725</v>
      </c>
      <c r="B28" s="700"/>
      <c r="C28" s="700"/>
      <c r="D28" s="700"/>
      <c r="E28" s="700"/>
      <c r="F28" s="700"/>
      <c r="G28" s="700"/>
    </row>
    <row r="29" spans="1:14" ht="14">
      <c r="A29" s="521" t="s">
        <v>16</v>
      </c>
      <c r="B29" s="521" t="s">
        <v>81</v>
      </c>
      <c r="C29" s="521" t="s">
        <v>726</v>
      </c>
      <c r="D29" s="521" t="s">
        <v>721</v>
      </c>
      <c r="E29" s="526"/>
      <c r="F29" s="526"/>
      <c r="G29" s="623"/>
      <c r="L29" s="495">
        <f>+F26-L40</f>
        <v>-383376081.72783089</v>
      </c>
    </row>
    <row r="30" spans="1:14" ht="15">
      <c r="A30" s="515">
        <v>2</v>
      </c>
      <c r="B30" s="516" t="s">
        <v>727</v>
      </c>
      <c r="C30" s="527">
        <v>8.9999999999999993E-3</v>
      </c>
      <c r="D30" s="519">
        <f>+$F$13*C30</f>
        <v>376706.51218215219</v>
      </c>
      <c r="E30" s="522"/>
      <c r="F30" s="522"/>
      <c r="G30" s="622"/>
    </row>
    <row r="31" spans="1:14" ht="14">
      <c r="A31" s="520"/>
      <c r="B31" s="525"/>
      <c r="C31" s="522"/>
      <c r="D31" s="522"/>
      <c r="E31" s="522"/>
      <c r="F31" s="522"/>
      <c r="G31" s="622"/>
    </row>
    <row r="32" spans="1:14" ht="14">
      <c r="A32" s="698" t="s">
        <v>728</v>
      </c>
      <c r="B32" s="698"/>
      <c r="C32" s="698"/>
      <c r="D32" s="522"/>
      <c r="E32" s="522"/>
      <c r="F32" s="699">
        <f>+D30</f>
        <v>376706.51218215219</v>
      </c>
      <c r="G32" s="699"/>
      <c r="L32" s="524">
        <f>+F10</f>
        <v>375392.64</v>
      </c>
    </row>
    <row r="33" spans="1:12" ht="14">
      <c r="A33" s="520"/>
      <c r="B33" s="525"/>
      <c r="C33" s="528"/>
      <c r="D33" s="529"/>
      <c r="E33" s="522"/>
      <c r="F33" s="522"/>
      <c r="G33" s="622"/>
    </row>
    <row r="34" spans="1:12" ht="14">
      <c r="A34" s="700" t="s">
        <v>729</v>
      </c>
      <c r="B34" s="700"/>
      <c r="C34" s="700"/>
      <c r="D34" s="700"/>
      <c r="E34" s="700"/>
      <c r="F34" s="700"/>
      <c r="G34" s="700"/>
    </row>
    <row r="35" spans="1:12" ht="14">
      <c r="A35" s="521" t="s">
        <v>16</v>
      </c>
      <c r="B35" s="521" t="s">
        <v>81</v>
      </c>
      <c r="C35" s="521" t="s">
        <v>726</v>
      </c>
      <c r="D35" s="521" t="s">
        <v>721</v>
      </c>
      <c r="E35" s="522"/>
      <c r="F35" s="522"/>
      <c r="G35" s="622"/>
    </row>
    <row r="36" spans="1:12" ht="15">
      <c r="A36" s="515">
        <v>3</v>
      </c>
      <c r="B36" s="516" t="s">
        <v>751</v>
      </c>
      <c r="C36" s="530">
        <v>0.17499999999999999</v>
      </c>
      <c r="D36" s="519">
        <f>+$F$6*C36</f>
        <v>6569371.1634862926</v>
      </c>
      <c r="E36" s="522"/>
      <c r="F36" s="522"/>
      <c r="G36" s="625"/>
    </row>
    <row r="37" spans="1:12" ht="14">
      <c r="A37" s="520"/>
      <c r="B37" s="525"/>
      <c r="C37" s="522"/>
      <c r="D37" s="523"/>
      <c r="E37" s="522"/>
      <c r="F37" s="522"/>
      <c r="G37" s="622"/>
      <c r="L37" s="524">
        <f>+F11</f>
        <v>0</v>
      </c>
    </row>
    <row r="38" spans="1:12" ht="14">
      <c r="A38" s="698" t="s">
        <v>730</v>
      </c>
      <c r="B38" s="698"/>
      <c r="C38" s="698"/>
      <c r="D38" s="522"/>
      <c r="E38" s="522"/>
      <c r="F38" s="699">
        <f>SUM(D36:D36)</f>
        <v>6569371.1634862926</v>
      </c>
      <c r="G38" s="699"/>
      <c r="L38" s="531"/>
    </row>
    <row r="39" spans="1:12" ht="14">
      <c r="A39" s="520"/>
      <c r="B39" s="525"/>
      <c r="C39" s="522"/>
      <c r="D39" s="522"/>
      <c r="E39" s="522"/>
      <c r="F39" s="624"/>
      <c r="G39" s="622"/>
    </row>
    <row r="40" spans="1:12" ht="16">
      <c r="A40" s="689" t="s">
        <v>731</v>
      </c>
      <c r="B40" s="689"/>
      <c r="C40" s="689"/>
      <c r="D40" s="690">
        <v>0.105</v>
      </c>
      <c r="E40" s="690"/>
      <c r="F40" s="691">
        <f>F26+F32+F38</f>
        <v>9384815.9478375595</v>
      </c>
      <c r="G40" s="691"/>
      <c r="H40" s="532"/>
      <c r="I40" s="336"/>
      <c r="J40" s="495"/>
      <c r="L40" s="495">
        <f>+'[3]PRESUPUESTO GENERAL '!G59</f>
        <v>385814820</v>
      </c>
    </row>
    <row r="41" spans="1:12" ht="14">
      <c r="A41" s="520"/>
      <c r="B41" s="525"/>
      <c r="C41" s="522"/>
      <c r="D41" s="688"/>
      <c r="E41" s="688"/>
      <c r="F41" s="624"/>
      <c r="G41" s="622"/>
      <c r="H41" s="532"/>
      <c r="L41" s="495">
        <f>+F40-L40</f>
        <v>-376430004.05216247</v>
      </c>
    </row>
    <row r="42" spans="1:12" ht="16">
      <c r="A42" s="689" t="s">
        <v>553</v>
      </c>
      <c r="B42" s="689"/>
      <c r="C42" s="689"/>
      <c r="D42" s="690">
        <v>0.01</v>
      </c>
      <c r="E42" s="690"/>
      <c r="F42" s="691">
        <f>+ROUND((D42*F6),2)</f>
        <v>375392.64</v>
      </c>
      <c r="G42" s="691"/>
      <c r="H42" s="532"/>
    </row>
    <row r="43" spans="1:12" ht="14">
      <c r="A43" s="520"/>
      <c r="B43" s="525"/>
      <c r="C43" s="522"/>
      <c r="D43" s="688"/>
      <c r="E43" s="688"/>
      <c r="F43" s="624"/>
      <c r="G43" s="622"/>
    </row>
    <row r="44" spans="1:12" ht="16">
      <c r="A44" s="689" t="s">
        <v>554</v>
      </c>
      <c r="B44" s="689"/>
      <c r="C44" s="689"/>
      <c r="D44" s="690">
        <v>0</v>
      </c>
      <c r="E44" s="690"/>
      <c r="F44" s="691">
        <f>+ROUND((D44*F6),2)</f>
        <v>0</v>
      </c>
      <c r="G44" s="691"/>
      <c r="L44" s="495">
        <f>+L26+L32+L37</f>
        <v>4317015.34</v>
      </c>
    </row>
    <row r="45" spans="1:12" ht="14">
      <c r="A45" s="520"/>
      <c r="B45" s="525"/>
      <c r="C45" s="522"/>
      <c r="D45" s="688"/>
      <c r="E45" s="688"/>
      <c r="F45" s="624"/>
      <c r="G45" s="622"/>
    </row>
    <row r="46" spans="1:12" ht="16">
      <c r="A46" s="689" t="s">
        <v>732</v>
      </c>
      <c r="B46" s="689"/>
      <c r="C46" s="689"/>
      <c r="D46" s="690">
        <f>+D44+D42+D40</f>
        <v>0.11499999999999999</v>
      </c>
      <c r="E46" s="690"/>
      <c r="F46" s="691">
        <f>+F44+F42+F40</f>
        <v>9760208.5878375601</v>
      </c>
      <c r="G46" s="691"/>
      <c r="H46" s="478"/>
      <c r="I46" s="336"/>
    </row>
    <row r="47" spans="1:12" ht="14">
      <c r="A47" s="520"/>
      <c r="B47" s="525"/>
      <c r="C47" s="522"/>
      <c r="D47" s="522"/>
      <c r="E47" s="522"/>
      <c r="F47" s="522"/>
      <c r="G47" s="622"/>
    </row>
    <row r="48" spans="1:12" ht="14">
      <c r="A48" s="520"/>
      <c r="B48" s="525"/>
      <c r="C48" s="522"/>
      <c r="D48" s="522"/>
      <c r="E48" s="522"/>
      <c r="F48" s="522"/>
      <c r="G48" s="622"/>
    </row>
    <row r="49" spans="1:8" ht="14">
      <c r="A49" s="520"/>
      <c r="B49" s="525"/>
      <c r="C49" s="522"/>
      <c r="D49" s="522"/>
      <c r="E49" s="522"/>
      <c r="F49" s="522"/>
      <c r="G49" s="622"/>
    </row>
    <row r="50" spans="1:8" ht="14">
      <c r="A50" s="373"/>
      <c r="B50" s="370"/>
      <c r="C50" s="371"/>
      <c r="D50" s="372"/>
      <c r="E50" s="522"/>
      <c r="F50" s="522"/>
      <c r="G50" s="622"/>
    </row>
    <row r="51" spans="1:8" ht="14">
      <c r="A51" s="370" t="s">
        <v>629</v>
      </c>
      <c r="B51" s="373"/>
      <c r="C51" s="371"/>
      <c r="D51" s="372"/>
      <c r="E51" s="522"/>
      <c r="F51" s="522"/>
      <c r="G51" s="622"/>
      <c r="H51" s="337"/>
    </row>
    <row r="52" spans="1:8" ht="14">
      <c r="A52" s="370"/>
      <c r="B52" s="373"/>
      <c r="C52" s="371"/>
      <c r="D52" s="372"/>
      <c r="E52" s="522"/>
      <c r="F52" s="522"/>
      <c r="G52" s="622"/>
    </row>
    <row r="53" spans="1:8" ht="15">
      <c r="A53" s="370"/>
      <c r="B53" s="374"/>
      <c r="C53" s="375"/>
      <c r="D53" s="375"/>
      <c r="E53" s="522"/>
      <c r="F53" s="522"/>
      <c r="G53" s="622"/>
    </row>
    <row r="54" spans="1:8" ht="15">
      <c r="A54" s="370"/>
      <c r="B54" s="376"/>
      <c r="C54" s="375"/>
      <c r="D54" s="375"/>
      <c r="E54" s="522"/>
      <c r="F54" s="522"/>
      <c r="G54" s="622"/>
    </row>
    <row r="55" spans="1:8" ht="15">
      <c r="A55" s="350"/>
      <c r="B55" s="376"/>
      <c r="C55" s="375"/>
      <c r="D55" s="375"/>
      <c r="E55" s="522"/>
      <c r="F55" s="522"/>
      <c r="G55" s="622"/>
    </row>
    <row r="56" spans="1:8" ht="16">
      <c r="A56" s="535" t="s">
        <v>733</v>
      </c>
      <c r="B56" s="376"/>
      <c r="C56" s="375"/>
      <c r="D56" s="375"/>
      <c r="E56" s="522"/>
      <c r="F56" s="522"/>
      <c r="G56" s="622"/>
    </row>
    <row r="57" spans="1:8" ht="16">
      <c r="A57" s="535" t="s">
        <v>630</v>
      </c>
      <c r="B57" s="376"/>
      <c r="C57" s="375"/>
      <c r="D57" s="375"/>
      <c r="E57" s="522"/>
      <c r="F57" s="522"/>
      <c r="G57" s="622"/>
    </row>
    <row r="58" spans="1:8" ht="16">
      <c r="A58" s="535" t="s">
        <v>631</v>
      </c>
      <c r="B58" s="374"/>
      <c r="C58" s="375"/>
      <c r="D58" s="375"/>
      <c r="E58" s="522"/>
      <c r="F58" s="522"/>
      <c r="G58" s="622"/>
    </row>
    <row r="59" spans="1:8" ht="16">
      <c r="A59" s="535" t="s">
        <v>632</v>
      </c>
      <c r="B59" s="374"/>
      <c r="C59" s="375"/>
      <c r="D59" s="375"/>
      <c r="E59" s="522"/>
      <c r="F59" s="522"/>
      <c r="G59" s="622"/>
    </row>
    <row r="60" spans="1:8" ht="15">
      <c r="A60" s="536"/>
      <c r="B60" s="664"/>
      <c r="C60" s="664"/>
      <c r="D60" s="664"/>
      <c r="E60" s="522"/>
      <c r="F60" s="522"/>
      <c r="G60" s="622"/>
    </row>
    <row r="61" spans="1:8" ht="15">
      <c r="A61" s="536"/>
      <c r="B61" s="374"/>
      <c r="C61" s="374"/>
      <c r="D61" s="375"/>
      <c r="E61" s="522"/>
      <c r="F61" s="522"/>
      <c r="G61" s="622"/>
    </row>
    <row r="62" spans="1:8" ht="15">
      <c r="A62" s="537"/>
      <c r="B62" s="525"/>
      <c r="C62" s="522"/>
      <c r="D62" s="522"/>
      <c r="E62" s="522"/>
      <c r="F62" s="522"/>
      <c r="G62" s="622"/>
    </row>
    <row r="63" spans="1:8" ht="15">
      <c r="A63" s="536"/>
      <c r="B63" s="525"/>
      <c r="C63" s="522"/>
      <c r="D63" s="522"/>
      <c r="E63" s="522"/>
      <c r="F63" s="522"/>
      <c r="G63" s="622"/>
    </row>
    <row r="64" spans="1:8" ht="14">
      <c r="A64" s="520"/>
      <c r="B64" s="525"/>
      <c r="C64" s="522"/>
      <c r="D64" s="522"/>
      <c r="E64" s="522"/>
      <c r="F64" s="522"/>
      <c r="G64" s="622"/>
    </row>
    <row r="65" spans="1:7" ht="14">
      <c r="A65" s="520"/>
      <c r="B65" s="525"/>
      <c r="C65" s="522"/>
      <c r="D65" s="522"/>
      <c r="E65" s="522"/>
      <c r="F65" s="522"/>
      <c r="G65" s="622"/>
    </row>
    <row r="66" spans="1:7" ht="14">
      <c r="A66" s="520"/>
      <c r="B66" s="525"/>
      <c r="C66" s="522"/>
      <c r="D66" s="522"/>
      <c r="E66" s="522"/>
      <c r="F66" s="522"/>
      <c r="G66" s="622"/>
    </row>
    <row r="67" spans="1:7" ht="14">
      <c r="A67" s="520"/>
      <c r="B67" s="525"/>
      <c r="C67" s="522"/>
      <c r="D67" s="522"/>
      <c r="E67" s="522"/>
      <c r="F67" s="522"/>
      <c r="G67" s="622"/>
    </row>
    <row r="68" spans="1:7" ht="14">
      <c r="A68" s="520"/>
      <c r="B68" s="525"/>
      <c r="C68" s="522"/>
      <c r="D68" s="522"/>
      <c r="E68" s="522"/>
      <c r="F68" s="522"/>
      <c r="G68" s="622"/>
    </row>
    <row r="69" spans="1:7" ht="14">
      <c r="A69" s="520"/>
      <c r="B69" s="525"/>
      <c r="C69" s="522"/>
      <c r="D69" s="522"/>
      <c r="E69" s="522"/>
      <c r="F69" s="522"/>
      <c r="G69" s="622"/>
    </row>
    <row r="70" spans="1:7" ht="14">
      <c r="A70" s="520"/>
      <c r="B70" s="525"/>
      <c r="C70" s="522"/>
      <c r="D70" s="522"/>
      <c r="E70" s="522"/>
      <c r="F70" s="522"/>
      <c r="G70" s="622"/>
    </row>
    <row r="71" spans="1:7" ht="14">
      <c r="A71" s="520"/>
      <c r="B71" s="525"/>
      <c r="C71" s="522"/>
      <c r="D71" s="522"/>
      <c r="E71" s="522"/>
      <c r="F71" s="522"/>
      <c r="G71" s="622"/>
    </row>
    <row r="72" spans="1:7" ht="14">
      <c r="A72" s="520"/>
      <c r="B72" s="525"/>
      <c r="C72" s="522"/>
      <c r="D72" s="522"/>
      <c r="E72" s="522"/>
      <c r="F72" s="522"/>
      <c r="G72" s="622"/>
    </row>
    <row r="73" spans="1:7" ht="14">
      <c r="A73" s="520"/>
      <c r="B73" s="525"/>
      <c r="C73" s="522"/>
      <c r="D73" s="522"/>
      <c r="E73" s="522"/>
      <c r="F73" s="522"/>
      <c r="G73" s="622"/>
    </row>
    <row r="74" spans="1:7" ht="14">
      <c r="A74" s="520"/>
      <c r="B74" s="525"/>
      <c r="C74" s="522"/>
      <c r="D74" s="522"/>
      <c r="E74" s="522"/>
      <c r="F74" s="522"/>
      <c r="G74" s="622"/>
    </row>
    <row r="75" spans="1:7" ht="14">
      <c r="A75" s="520"/>
      <c r="B75" s="525"/>
      <c r="C75" s="522"/>
      <c r="D75" s="522"/>
      <c r="E75" s="522"/>
      <c r="F75" s="522"/>
      <c r="G75" s="622"/>
    </row>
    <row r="76" spans="1:7" ht="14">
      <c r="A76" s="520"/>
      <c r="B76" s="525"/>
      <c r="C76" s="522"/>
      <c r="D76" s="522"/>
      <c r="E76" s="522"/>
      <c r="F76" s="522"/>
      <c r="G76" s="622"/>
    </row>
    <row r="77" spans="1:7" ht="14">
      <c r="A77" s="520"/>
      <c r="B77" s="525"/>
      <c r="C77" s="522"/>
      <c r="D77" s="522"/>
      <c r="E77" s="522"/>
      <c r="F77" s="522"/>
      <c r="G77" s="622"/>
    </row>
    <row r="78" spans="1:7" ht="14">
      <c r="A78" s="520"/>
      <c r="B78" s="525"/>
      <c r="C78" s="522"/>
      <c r="D78" s="522"/>
      <c r="E78" s="522"/>
      <c r="F78" s="522"/>
      <c r="G78" s="622"/>
    </row>
    <row r="79" spans="1:7" ht="14">
      <c r="A79" s="520"/>
      <c r="B79" s="525"/>
      <c r="C79" s="522"/>
      <c r="D79" s="522"/>
      <c r="E79" s="522"/>
      <c r="F79" s="522"/>
      <c r="G79" s="622"/>
    </row>
    <row r="80" spans="1:7" ht="14">
      <c r="A80" s="520"/>
      <c r="B80" s="525"/>
      <c r="C80" s="522"/>
      <c r="D80" s="522"/>
      <c r="E80" s="522"/>
      <c r="F80" s="522"/>
      <c r="G80" s="622"/>
    </row>
    <row r="81" spans="1:7" ht="14">
      <c r="A81" s="520"/>
      <c r="B81" s="525"/>
      <c r="C81" s="522"/>
      <c r="D81" s="522"/>
      <c r="E81" s="522"/>
      <c r="F81" s="522"/>
      <c r="G81" s="622"/>
    </row>
    <row r="82" spans="1:7" ht="14">
      <c r="A82" s="520"/>
      <c r="B82" s="525"/>
      <c r="C82" s="522"/>
      <c r="D82" s="522"/>
      <c r="E82" s="522"/>
      <c r="F82" s="522"/>
      <c r="G82" s="622"/>
    </row>
    <row r="83" spans="1:7" ht="14">
      <c r="A83" s="520"/>
      <c r="B83" s="525"/>
      <c r="C83" s="522"/>
      <c r="D83" s="522"/>
      <c r="E83" s="522"/>
      <c r="F83" s="522"/>
      <c r="G83" s="622"/>
    </row>
    <row r="84" spans="1:7" ht="14">
      <c r="A84" s="520"/>
      <c r="B84" s="525"/>
      <c r="C84" s="522"/>
      <c r="D84" s="522"/>
      <c r="E84" s="522"/>
      <c r="F84" s="522"/>
      <c r="G84" s="622"/>
    </row>
    <row r="85" spans="1:7" ht="14">
      <c r="A85" s="520"/>
      <c r="B85" s="525"/>
      <c r="C85" s="522"/>
      <c r="D85" s="522"/>
      <c r="E85" s="522"/>
      <c r="F85" s="522"/>
      <c r="G85" s="622"/>
    </row>
    <row r="86" spans="1:7" ht="14">
      <c r="A86" s="520"/>
      <c r="B86" s="525"/>
      <c r="C86" s="522"/>
      <c r="D86" s="522"/>
      <c r="E86" s="522"/>
      <c r="F86" s="522"/>
      <c r="G86" s="622"/>
    </row>
    <row r="87" spans="1:7" ht="14">
      <c r="A87" s="520"/>
      <c r="B87" s="525"/>
      <c r="C87" s="522"/>
      <c r="D87" s="522"/>
      <c r="E87" s="522"/>
      <c r="F87" s="522"/>
      <c r="G87" s="622"/>
    </row>
    <row r="88" spans="1:7" ht="14">
      <c r="A88" s="520"/>
      <c r="B88" s="525"/>
      <c r="C88" s="522"/>
      <c r="D88" s="522"/>
      <c r="E88" s="522"/>
      <c r="F88" s="522"/>
      <c r="G88" s="622"/>
    </row>
    <row r="89" spans="1:7" ht="14">
      <c r="A89" s="520"/>
      <c r="B89" s="525"/>
      <c r="C89" s="522"/>
      <c r="D89" s="522"/>
      <c r="E89" s="522"/>
      <c r="F89" s="522"/>
      <c r="G89" s="622"/>
    </row>
    <row r="90" spans="1:7" ht="14">
      <c r="A90" s="520"/>
      <c r="B90" s="525"/>
      <c r="C90" s="522"/>
      <c r="D90" s="522"/>
      <c r="E90" s="522"/>
      <c r="F90" s="522"/>
      <c r="G90" s="622"/>
    </row>
    <row r="91" spans="1:7" ht="14">
      <c r="A91" s="520"/>
      <c r="B91" s="525"/>
      <c r="C91" s="522"/>
      <c r="D91" s="522"/>
      <c r="E91" s="522"/>
      <c r="F91" s="522"/>
      <c r="G91" s="622"/>
    </row>
    <row r="92" spans="1:7" ht="14">
      <c r="A92" s="520"/>
      <c r="B92" s="525"/>
      <c r="C92" s="522"/>
      <c r="D92" s="522"/>
      <c r="E92" s="522"/>
      <c r="F92" s="522"/>
      <c r="G92" s="622"/>
    </row>
    <row r="93" spans="1:7" ht="14">
      <c r="A93" s="520"/>
      <c r="B93" s="525"/>
      <c r="C93" s="522"/>
      <c r="D93" s="522"/>
      <c r="E93" s="522"/>
      <c r="F93" s="522"/>
      <c r="G93" s="622"/>
    </row>
    <row r="94" spans="1:7" ht="14">
      <c r="A94" s="520"/>
      <c r="B94" s="525"/>
      <c r="C94" s="522"/>
      <c r="D94" s="522"/>
      <c r="E94" s="522"/>
      <c r="F94" s="522"/>
      <c r="G94" s="622"/>
    </row>
    <row r="95" spans="1:7" ht="14">
      <c r="A95" s="520"/>
      <c r="B95" s="525"/>
      <c r="C95" s="522"/>
      <c r="D95" s="522"/>
      <c r="E95" s="522"/>
      <c r="F95" s="522"/>
      <c r="G95" s="622"/>
    </row>
    <row r="96" spans="1:7" ht="14">
      <c r="A96" s="520"/>
      <c r="B96" s="525"/>
      <c r="C96" s="522"/>
      <c r="D96" s="522"/>
      <c r="E96" s="522"/>
      <c r="F96" s="522"/>
      <c r="G96" s="622"/>
    </row>
    <row r="97" spans="1:7" ht="14">
      <c r="A97" s="520"/>
      <c r="B97" s="525"/>
      <c r="C97" s="522"/>
      <c r="D97" s="522"/>
      <c r="E97" s="522"/>
      <c r="F97" s="522"/>
      <c r="G97" s="622"/>
    </row>
    <row r="98" spans="1:7" ht="14">
      <c r="A98" s="520"/>
      <c r="B98" s="525"/>
      <c r="C98" s="522"/>
      <c r="D98" s="522"/>
      <c r="E98" s="522"/>
      <c r="F98" s="522"/>
      <c r="G98" s="622"/>
    </row>
    <row r="99" spans="1:7" ht="14">
      <c r="A99" s="520"/>
      <c r="B99" s="525"/>
      <c r="C99" s="522"/>
      <c r="D99" s="522"/>
      <c r="E99" s="522"/>
      <c r="F99" s="522"/>
      <c r="G99" s="622"/>
    </row>
    <row r="100" spans="1:7" ht="14">
      <c r="A100" s="520"/>
      <c r="B100" s="520"/>
      <c r="C100" s="522"/>
      <c r="D100" s="522"/>
      <c r="E100" s="522"/>
      <c r="F100" s="522"/>
      <c r="G100" s="622"/>
    </row>
    <row r="101" spans="1:7" ht="14">
      <c r="A101" s="520"/>
      <c r="B101" s="520"/>
      <c r="C101" s="522"/>
      <c r="D101" s="522"/>
      <c r="E101" s="522"/>
      <c r="F101" s="522"/>
      <c r="G101" s="622"/>
    </row>
    <row r="102" spans="1:7" ht="14">
      <c r="A102" s="520"/>
      <c r="B102" s="520"/>
      <c r="C102" s="522"/>
      <c r="D102" s="522"/>
      <c r="E102" s="522"/>
      <c r="F102" s="522"/>
      <c r="G102" s="622"/>
    </row>
    <row r="103" spans="1:7" ht="14">
      <c r="A103" s="520"/>
      <c r="B103" s="520"/>
      <c r="C103" s="522"/>
      <c r="D103" s="522"/>
      <c r="E103" s="522"/>
      <c r="F103" s="522"/>
      <c r="G103" s="622"/>
    </row>
    <row r="104" spans="1:7" ht="14">
      <c r="A104" s="520"/>
      <c r="B104" s="520"/>
      <c r="C104" s="522"/>
      <c r="D104" s="522"/>
      <c r="E104" s="522"/>
      <c r="F104" s="522"/>
      <c r="G104" s="622"/>
    </row>
    <row r="105" spans="1:7" ht="14">
      <c r="A105" s="520"/>
      <c r="B105" s="520"/>
      <c r="C105" s="522"/>
      <c r="D105" s="522"/>
      <c r="E105" s="522"/>
      <c r="F105" s="522"/>
      <c r="G105" s="622"/>
    </row>
    <row r="106" spans="1:7" ht="14">
      <c r="A106" s="520"/>
      <c r="B106" s="520"/>
      <c r="C106" s="522"/>
      <c r="D106" s="522"/>
      <c r="E106" s="522"/>
      <c r="F106" s="522"/>
      <c r="G106" s="622"/>
    </row>
    <row r="107" spans="1:7" ht="14">
      <c r="A107" s="520"/>
      <c r="B107" s="520"/>
      <c r="C107" s="522"/>
      <c r="D107" s="522"/>
      <c r="E107" s="522"/>
      <c r="F107" s="522"/>
      <c r="G107" s="622"/>
    </row>
    <row r="108" spans="1:7" ht="14">
      <c r="A108" s="520"/>
      <c r="B108" s="520"/>
      <c r="C108" s="522"/>
      <c r="D108" s="522"/>
      <c r="E108" s="522"/>
      <c r="F108" s="522"/>
      <c r="G108" s="622"/>
    </row>
    <row r="109" spans="1:7" ht="14">
      <c r="A109" s="520"/>
      <c r="B109" s="520"/>
      <c r="C109" s="522"/>
      <c r="D109" s="522"/>
      <c r="E109" s="522"/>
      <c r="F109" s="522"/>
      <c r="G109" s="622"/>
    </row>
    <row r="110" spans="1:7" ht="14">
      <c r="A110" s="520"/>
      <c r="B110" s="520"/>
      <c r="C110" s="522"/>
      <c r="D110" s="522"/>
      <c r="E110" s="522"/>
      <c r="F110" s="522"/>
      <c r="G110" s="622"/>
    </row>
    <row r="111" spans="1:7" ht="14">
      <c r="A111" s="520"/>
      <c r="B111" s="520"/>
      <c r="C111" s="522"/>
      <c r="D111" s="522"/>
      <c r="E111" s="522"/>
      <c r="F111" s="522"/>
      <c r="G111" s="622"/>
    </row>
    <row r="112" spans="1:7" ht="14">
      <c r="A112" s="520"/>
      <c r="B112" s="520"/>
      <c r="C112" s="522"/>
      <c r="D112" s="522"/>
      <c r="E112" s="522"/>
      <c r="F112" s="522"/>
      <c r="G112" s="622"/>
    </row>
    <row r="113" spans="1:7" ht="14">
      <c r="A113" s="520"/>
      <c r="B113" s="520"/>
      <c r="C113" s="522"/>
      <c r="D113" s="522"/>
      <c r="E113" s="522"/>
      <c r="F113" s="522"/>
      <c r="G113" s="622"/>
    </row>
    <row r="114" spans="1:7" ht="14">
      <c r="A114" s="520"/>
      <c r="B114" s="520"/>
      <c r="C114" s="522"/>
      <c r="D114" s="522"/>
      <c r="E114" s="522"/>
      <c r="F114" s="522"/>
      <c r="G114" s="622"/>
    </row>
    <row r="115" spans="1:7" ht="14">
      <c r="A115" s="520"/>
      <c r="B115" s="520"/>
      <c r="C115" s="522"/>
      <c r="D115" s="522"/>
      <c r="E115" s="522"/>
      <c r="F115" s="522"/>
      <c r="G115" s="622"/>
    </row>
    <row r="116" spans="1:7" ht="14">
      <c r="A116" s="520"/>
      <c r="B116" s="520"/>
      <c r="C116" s="522"/>
      <c r="D116" s="522"/>
      <c r="E116" s="522"/>
      <c r="F116" s="522"/>
      <c r="G116" s="622"/>
    </row>
    <row r="117" spans="1:7" ht="14">
      <c r="A117" s="520"/>
      <c r="B117" s="520"/>
      <c r="C117" s="522"/>
      <c r="D117" s="522"/>
      <c r="E117" s="522"/>
      <c r="F117" s="522"/>
      <c r="G117" s="622"/>
    </row>
    <row r="118" spans="1:7" ht="14">
      <c r="A118" s="520"/>
      <c r="B118" s="520"/>
      <c r="C118" s="522"/>
      <c r="D118" s="522"/>
      <c r="E118" s="522"/>
      <c r="F118" s="522"/>
      <c r="G118" s="622"/>
    </row>
    <row r="119" spans="1:7" ht="14">
      <c r="A119" s="520"/>
      <c r="B119" s="520"/>
      <c r="C119" s="522"/>
      <c r="D119" s="522"/>
      <c r="E119" s="522"/>
      <c r="F119" s="522"/>
      <c r="G119" s="622"/>
    </row>
    <row r="120" spans="1:7" ht="14">
      <c r="A120" s="520"/>
      <c r="B120" s="520"/>
      <c r="C120" s="522"/>
      <c r="D120" s="522"/>
      <c r="E120" s="522"/>
      <c r="F120" s="522"/>
      <c r="G120" s="622"/>
    </row>
    <row r="121" spans="1:7" ht="14">
      <c r="A121" s="520"/>
      <c r="B121" s="520"/>
      <c r="C121" s="522"/>
      <c r="D121" s="522"/>
      <c r="E121" s="522"/>
      <c r="F121" s="522"/>
      <c r="G121" s="622"/>
    </row>
    <row r="122" spans="1:7" ht="14">
      <c r="A122" s="520"/>
      <c r="B122" s="520"/>
      <c r="C122" s="522"/>
      <c r="D122" s="522"/>
      <c r="E122" s="522"/>
      <c r="F122" s="522"/>
      <c r="G122" s="622"/>
    </row>
    <row r="123" spans="1:7" ht="14">
      <c r="A123" s="520"/>
      <c r="B123" s="520"/>
      <c r="C123" s="522"/>
      <c r="D123" s="522"/>
      <c r="E123" s="522"/>
      <c r="F123" s="522"/>
      <c r="G123" s="622"/>
    </row>
    <row r="124" spans="1:7" ht="14">
      <c r="A124" s="520"/>
      <c r="B124" s="520"/>
      <c r="C124" s="522"/>
      <c r="D124" s="522"/>
      <c r="E124" s="522"/>
      <c r="F124" s="522"/>
      <c r="G124" s="622"/>
    </row>
    <row r="125" spans="1:7" ht="14">
      <c r="A125" s="520"/>
      <c r="B125" s="520"/>
      <c r="C125" s="522"/>
      <c r="D125" s="522"/>
      <c r="E125" s="522"/>
      <c r="F125" s="522"/>
      <c r="G125" s="622"/>
    </row>
    <row r="126" spans="1:7" ht="14">
      <c r="A126" s="520"/>
      <c r="B126" s="520"/>
      <c r="C126" s="522"/>
      <c r="D126" s="522"/>
      <c r="E126" s="522"/>
      <c r="F126" s="522"/>
      <c r="G126" s="622"/>
    </row>
    <row r="127" spans="1:7" ht="14">
      <c r="A127" s="520"/>
      <c r="B127" s="520"/>
      <c r="C127" s="522"/>
      <c r="D127" s="522"/>
      <c r="E127" s="522"/>
      <c r="F127" s="522"/>
      <c r="G127" s="622"/>
    </row>
    <row r="128" spans="1:7" ht="14">
      <c r="A128" s="520"/>
      <c r="B128" s="520"/>
      <c r="C128" s="522"/>
      <c r="D128" s="522"/>
      <c r="E128" s="522"/>
      <c r="F128" s="522"/>
      <c r="G128" s="622"/>
    </row>
    <row r="129" spans="1:7" ht="14">
      <c r="A129" s="520"/>
      <c r="B129" s="520"/>
      <c r="C129" s="522"/>
      <c r="D129" s="522"/>
      <c r="E129" s="522"/>
      <c r="F129" s="522"/>
      <c r="G129" s="622"/>
    </row>
    <row r="130" spans="1:7" ht="14">
      <c r="A130" s="520"/>
      <c r="B130" s="520"/>
      <c r="C130" s="522"/>
      <c r="D130" s="522"/>
      <c r="E130" s="522"/>
      <c r="F130" s="522"/>
      <c r="G130" s="622"/>
    </row>
    <row r="131" spans="1:7" ht="14">
      <c r="A131" s="520"/>
      <c r="B131" s="520"/>
      <c r="C131" s="522"/>
      <c r="D131" s="522"/>
      <c r="E131" s="522"/>
      <c r="F131" s="522"/>
      <c r="G131" s="622"/>
    </row>
    <row r="132" spans="1:7" ht="14">
      <c r="A132" s="520"/>
      <c r="B132" s="520"/>
      <c r="C132" s="522"/>
      <c r="D132" s="522"/>
      <c r="E132" s="522"/>
      <c r="F132" s="522"/>
      <c r="G132" s="622"/>
    </row>
    <row r="133" spans="1:7" ht="14">
      <c r="A133" s="520"/>
      <c r="B133" s="520"/>
      <c r="C133" s="522"/>
      <c r="D133" s="522"/>
      <c r="E133" s="522"/>
      <c r="F133" s="522"/>
      <c r="G133" s="622"/>
    </row>
    <row r="134" spans="1:7" ht="14">
      <c r="A134" s="520"/>
      <c r="B134" s="520"/>
      <c r="C134" s="522"/>
      <c r="D134" s="522"/>
      <c r="E134" s="522"/>
      <c r="F134" s="522"/>
      <c r="G134" s="622"/>
    </row>
    <row r="135" spans="1:7" ht="14">
      <c r="A135" s="520"/>
      <c r="B135" s="520"/>
      <c r="C135" s="522"/>
      <c r="D135" s="522"/>
      <c r="E135" s="522"/>
      <c r="F135" s="522"/>
      <c r="G135" s="622"/>
    </row>
    <row r="136" spans="1:7" ht="14">
      <c r="A136" s="520"/>
      <c r="B136" s="520"/>
      <c r="C136" s="522"/>
      <c r="D136" s="522"/>
      <c r="E136" s="522"/>
      <c r="F136" s="522"/>
      <c r="G136" s="622"/>
    </row>
    <row r="137" spans="1:7" ht="14">
      <c r="A137" s="520"/>
      <c r="B137" s="520"/>
      <c r="C137" s="522"/>
      <c r="D137" s="522"/>
      <c r="E137" s="522"/>
      <c r="F137" s="522"/>
      <c r="G137" s="622"/>
    </row>
    <row r="138" spans="1:7" ht="14">
      <c r="A138" s="520"/>
      <c r="B138" s="520"/>
      <c r="C138" s="522"/>
      <c r="D138" s="522"/>
      <c r="E138" s="522"/>
      <c r="F138" s="522"/>
      <c r="G138" s="622"/>
    </row>
    <row r="139" spans="1:7" ht="14">
      <c r="A139" s="520"/>
      <c r="B139" s="520"/>
      <c r="C139" s="522"/>
      <c r="D139" s="522"/>
      <c r="E139" s="522"/>
      <c r="F139" s="522"/>
      <c r="G139" s="622"/>
    </row>
    <row r="140" spans="1:7" ht="14">
      <c r="A140" s="520"/>
      <c r="B140" s="520"/>
      <c r="C140" s="522"/>
      <c r="D140" s="522"/>
      <c r="E140" s="522"/>
      <c r="F140" s="522"/>
      <c r="G140" s="622"/>
    </row>
    <row r="141" spans="1:7" ht="14">
      <c r="A141" s="520"/>
      <c r="B141" s="520"/>
      <c r="C141" s="522"/>
      <c r="D141" s="522"/>
      <c r="E141" s="522"/>
      <c r="F141" s="522"/>
      <c r="G141" s="622"/>
    </row>
    <row r="142" spans="1:7" ht="14">
      <c r="A142" s="520"/>
      <c r="B142" s="520"/>
      <c r="C142" s="522"/>
      <c r="D142" s="522"/>
      <c r="E142" s="522"/>
      <c r="F142" s="522"/>
      <c r="G142" s="622"/>
    </row>
    <row r="143" spans="1:7" ht="14">
      <c r="A143" s="520"/>
      <c r="B143" s="520"/>
      <c r="C143" s="522"/>
      <c r="D143" s="522"/>
      <c r="E143" s="522"/>
      <c r="F143" s="522"/>
      <c r="G143" s="622"/>
    </row>
    <row r="144" spans="1:7" ht="14">
      <c r="A144" s="520"/>
      <c r="B144" s="520"/>
      <c r="C144" s="522"/>
      <c r="D144" s="522"/>
      <c r="E144" s="522"/>
      <c r="F144" s="522"/>
      <c r="G144" s="622"/>
    </row>
    <row r="145" spans="1:7" ht="14">
      <c r="A145" s="520"/>
      <c r="B145" s="520"/>
      <c r="C145" s="522"/>
      <c r="D145" s="522"/>
      <c r="E145" s="522"/>
      <c r="F145" s="522"/>
      <c r="G145" s="622"/>
    </row>
    <row r="146" spans="1:7" ht="14">
      <c r="A146" s="520"/>
      <c r="B146" s="520"/>
      <c r="C146" s="522"/>
      <c r="D146" s="522"/>
      <c r="E146" s="522"/>
      <c r="F146" s="522"/>
      <c r="G146" s="622"/>
    </row>
    <row r="147" spans="1:7" ht="14">
      <c r="A147" s="520"/>
      <c r="B147" s="520"/>
      <c r="C147" s="522"/>
      <c r="D147" s="522"/>
      <c r="E147" s="522"/>
      <c r="F147" s="522"/>
      <c r="G147" s="622"/>
    </row>
    <row r="148" spans="1:7" ht="14">
      <c r="A148" s="520"/>
      <c r="B148" s="520"/>
      <c r="C148" s="522"/>
      <c r="D148" s="522"/>
      <c r="E148" s="522"/>
      <c r="F148" s="522"/>
      <c r="G148" s="622"/>
    </row>
    <row r="149" spans="1:7" ht="14">
      <c r="A149" s="520"/>
      <c r="B149" s="520"/>
      <c r="C149" s="522"/>
      <c r="D149" s="522"/>
      <c r="E149" s="522"/>
      <c r="F149" s="522"/>
      <c r="G149" s="622"/>
    </row>
    <row r="150" spans="1:7" ht="14">
      <c r="A150" s="520"/>
      <c r="B150" s="520"/>
      <c r="C150" s="522"/>
      <c r="D150" s="522"/>
      <c r="E150" s="522"/>
      <c r="F150" s="522"/>
      <c r="G150" s="622"/>
    </row>
    <row r="151" spans="1:7" ht="14">
      <c r="A151" s="520"/>
      <c r="B151" s="520"/>
      <c r="C151" s="522"/>
      <c r="D151" s="522"/>
      <c r="E151" s="522"/>
      <c r="F151" s="522"/>
      <c r="G151" s="622"/>
    </row>
    <row r="152" spans="1:7" ht="14">
      <c r="A152" s="520"/>
      <c r="B152" s="520"/>
      <c r="C152" s="522"/>
      <c r="D152" s="522"/>
      <c r="E152" s="522"/>
      <c r="F152" s="522"/>
      <c r="G152" s="622"/>
    </row>
    <row r="153" spans="1:7" ht="14">
      <c r="A153" s="520"/>
      <c r="B153" s="520"/>
      <c r="C153" s="522"/>
      <c r="D153" s="522"/>
      <c r="E153" s="522"/>
      <c r="F153" s="522"/>
      <c r="G153" s="622"/>
    </row>
    <row r="154" spans="1:7" ht="14">
      <c r="A154" s="520"/>
      <c r="B154" s="520"/>
      <c r="C154" s="522"/>
      <c r="D154" s="522"/>
      <c r="E154" s="522"/>
      <c r="F154" s="522"/>
      <c r="G154" s="622"/>
    </row>
    <row r="155" spans="1:7" ht="14">
      <c r="A155" s="520"/>
      <c r="B155" s="520"/>
      <c r="C155" s="522"/>
      <c r="D155" s="522"/>
      <c r="E155" s="522"/>
      <c r="F155" s="522"/>
      <c r="G155" s="622"/>
    </row>
    <row r="156" spans="1:7" ht="14">
      <c r="A156" s="520"/>
      <c r="B156" s="520"/>
      <c r="C156" s="522"/>
      <c r="D156" s="522"/>
      <c r="E156" s="522"/>
      <c r="F156" s="522"/>
      <c r="G156" s="622"/>
    </row>
    <row r="157" spans="1:7" ht="14">
      <c r="A157" s="520"/>
      <c r="B157" s="520"/>
      <c r="C157" s="522"/>
      <c r="D157" s="522"/>
      <c r="E157" s="522"/>
      <c r="F157" s="522"/>
      <c r="G157" s="622"/>
    </row>
    <row r="158" spans="1:7" ht="14">
      <c r="A158" s="520"/>
      <c r="B158" s="520"/>
      <c r="C158" s="522"/>
      <c r="D158" s="522"/>
      <c r="E158" s="522"/>
      <c r="F158" s="522"/>
      <c r="G158" s="622"/>
    </row>
    <row r="159" spans="1:7" ht="14">
      <c r="A159" s="520"/>
      <c r="B159" s="520"/>
      <c r="C159" s="522"/>
      <c r="D159" s="522"/>
      <c r="E159" s="522"/>
      <c r="F159" s="522"/>
      <c r="G159" s="622"/>
    </row>
    <row r="160" spans="1:7" ht="14">
      <c r="A160" s="520"/>
      <c r="B160" s="520"/>
      <c r="C160" s="522"/>
      <c r="D160" s="522"/>
      <c r="E160" s="522"/>
      <c r="F160" s="522"/>
      <c r="G160" s="622"/>
    </row>
    <row r="161" spans="1:7" ht="14">
      <c r="A161" s="520"/>
      <c r="B161" s="533"/>
      <c r="C161" s="534"/>
      <c r="D161" s="534"/>
      <c r="E161" s="534"/>
      <c r="F161" s="534"/>
      <c r="G161" s="622"/>
    </row>
    <row r="162" spans="1:7" ht="14">
      <c r="A162" s="520"/>
      <c r="B162" s="533"/>
      <c r="C162" s="534"/>
      <c r="D162" s="534"/>
      <c r="E162" s="534"/>
      <c r="F162" s="534"/>
      <c r="G162" s="622"/>
    </row>
    <row r="163" spans="1:7" ht="14">
      <c r="A163" s="520"/>
      <c r="B163" s="533"/>
      <c r="C163" s="534"/>
      <c r="D163" s="534"/>
      <c r="E163" s="534"/>
      <c r="F163" s="534"/>
      <c r="G163" s="622"/>
    </row>
    <row r="164" spans="1:7" ht="14">
      <c r="A164" s="520"/>
      <c r="B164" s="533"/>
      <c r="C164" s="534"/>
      <c r="D164" s="534"/>
      <c r="E164" s="534"/>
      <c r="F164" s="534"/>
      <c r="G164" s="622"/>
    </row>
    <row r="165" spans="1:7" ht="14">
      <c r="A165" s="520"/>
      <c r="B165" s="533"/>
      <c r="C165" s="534"/>
      <c r="D165" s="534"/>
      <c r="E165" s="534"/>
      <c r="F165" s="534"/>
      <c r="G165" s="622"/>
    </row>
    <row r="166" spans="1:7" ht="14">
      <c r="A166" s="520"/>
      <c r="B166" s="533"/>
      <c r="C166" s="534"/>
      <c r="D166" s="534"/>
      <c r="E166" s="534"/>
      <c r="F166" s="534"/>
      <c r="G166" s="622"/>
    </row>
    <row r="167" spans="1:7" ht="14">
      <c r="A167" s="520"/>
      <c r="B167" s="533"/>
      <c r="C167" s="534"/>
      <c r="D167" s="534"/>
      <c r="E167" s="534"/>
      <c r="F167" s="534"/>
      <c r="G167" s="622"/>
    </row>
    <row r="168" spans="1:7" ht="14">
      <c r="A168" s="520"/>
      <c r="B168" s="533"/>
      <c r="C168" s="534"/>
      <c r="D168" s="534"/>
      <c r="E168" s="534"/>
      <c r="F168" s="534"/>
      <c r="G168" s="622"/>
    </row>
    <row r="169" spans="1:7" ht="14">
      <c r="A169" s="520"/>
      <c r="B169" s="533"/>
      <c r="C169" s="534"/>
      <c r="D169" s="534"/>
      <c r="E169" s="534"/>
      <c r="F169" s="534"/>
      <c r="G169" s="622"/>
    </row>
    <row r="170" spans="1:7" ht="14">
      <c r="A170" s="520"/>
      <c r="B170" s="533"/>
      <c r="C170" s="534"/>
      <c r="D170" s="534"/>
      <c r="E170" s="534"/>
      <c r="F170" s="534"/>
      <c r="G170" s="622"/>
    </row>
    <row r="171" spans="1:7" ht="14">
      <c r="A171" s="520"/>
      <c r="B171" s="533"/>
      <c r="C171" s="534"/>
      <c r="D171" s="534"/>
      <c r="E171" s="534"/>
      <c r="F171" s="534"/>
      <c r="G171" s="622"/>
    </row>
    <row r="172" spans="1:7" ht="14">
      <c r="A172" s="520"/>
      <c r="B172" s="533"/>
      <c r="C172" s="534"/>
      <c r="D172" s="534"/>
      <c r="E172" s="534"/>
      <c r="F172" s="534"/>
      <c r="G172" s="622"/>
    </row>
    <row r="173" spans="1:7" ht="14">
      <c r="A173" s="520"/>
      <c r="B173" s="533"/>
      <c r="C173" s="534"/>
      <c r="D173" s="534"/>
      <c r="E173" s="534"/>
      <c r="F173" s="534"/>
      <c r="G173" s="622"/>
    </row>
    <row r="174" spans="1:7" ht="14">
      <c r="A174" s="520"/>
      <c r="B174" s="533"/>
      <c r="C174" s="534"/>
      <c r="D174" s="534"/>
      <c r="E174" s="534"/>
      <c r="F174" s="534"/>
      <c r="G174" s="622"/>
    </row>
    <row r="175" spans="1:7" ht="14">
      <c r="A175" s="520"/>
      <c r="B175" s="533"/>
      <c r="C175" s="534"/>
      <c r="D175" s="534"/>
      <c r="E175" s="534"/>
      <c r="F175" s="534"/>
      <c r="G175" s="622"/>
    </row>
    <row r="176" spans="1:7" ht="14">
      <c r="A176" s="520"/>
      <c r="B176" s="533"/>
      <c r="C176" s="534"/>
      <c r="D176" s="534"/>
      <c r="E176" s="534"/>
      <c r="F176" s="534"/>
      <c r="G176" s="622"/>
    </row>
    <row r="177" spans="1:7" ht="14">
      <c r="A177" s="520"/>
      <c r="B177" s="533"/>
      <c r="C177" s="534"/>
      <c r="D177" s="534"/>
      <c r="E177" s="534"/>
      <c r="F177" s="534"/>
      <c r="G177" s="622"/>
    </row>
    <row r="178" spans="1:7" ht="14">
      <c r="A178" s="520"/>
      <c r="B178" s="533"/>
      <c r="C178" s="534"/>
      <c r="D178" s="534"/>
      <c r="E178" s="534"/>
      <c r="F178" s="534"/>
      <c r="G178" s="622"/>
    </row>
    <row r="179" spans="1:7" ht="14">
      <c r="A179" s="520"/>
      <c r="B179" s="533"/>
      <c r="C179" s="534"/>
      <c r="D179" s="534"/>
      <c r="E179" s="534"/>
      <c r="F179" s="534"/>
      <c r="G179" s="622"/>
    </row>
    <row r="180" spans="1:7" ht="14">
      <c r="A180" s="520"/>
      <c r="B180" s="533"/>
      <c r="C180" s="534"/>
      <c r="D180" s="534"/>
      <c r="E180" s="534"/>
      <c r="F180" s="534"/>
      <c r="G180" s="622"/>
    </row>
    <row r="181" spans="1:7" ht="14">
      <c r="A181" s="520"/>
      <c r="B181" s="533"/>
      <c r="C181" s="534"/>
      <c r="D181" s="534"/>
      <c r="E181" s="534"/>
      <c r="F181" s="534"/>
      <c r="G181" s="622"/>
    </row>
    <row r="182" spans="1:7" ht="14">
      <c r="A182" s="520"/>
      <c r="B182" s="533"/>
      <c r="C182" s="534"/>
      <c r="D182" s="534"/>
      <c r="E182" s="534"/>
      <c r="F182" s="534"/>
      <c r="G182" s="622"/>
    </row>
    <row r="183" spans="1:7" ht="14">
      <c r="A183" s="520"/>
      <c r="B183" s="533"/>
      <c r="C183" s="534"/>
      <c r="D183" s="534"/>
      <c r="E183" s="534"/>
      <c r="F183" s="534"/>
      <c r="G183" s="622"/>
    </row>
    <row r="184" spans="1:7" ht="14">
      <c r="A184" s="520"/>
      <c r="B184" s="533"/>
      <c r="C184" s="534"/>
      <c r="D184" s="534"/>
      <c r="E184" s="534"/>
      <c r="F184" s="534"/>
      <c r="G184" s="622"/>
    </row>
    <row r="185" spans="1:7" ht="14">
      <c r="A185" s="520"/>
      <c r="B185" s="533"/>
      <c r="C185" s="534"/>
      <c r="D185" s="534"/>
      <c r="E185" s="534"/>
      <c r="F185" s="534"/>
      <c r="G185" s="622"/>
    </row>
    <row r="186" spans="1:7" ht="14">
      <c r="A186" s="520"/>
      <c r="B186" s="533"/>
      <c r="C186" s="534"/>
      <c r="D186" s="534"/>
      <c r="E186" s="534"/>
      <c r="F186" s="534"/>
      <c r="G186" s="622"/>
    </row>
    <row r="187" spans="1:7" ht="14">
      <c r="A187" s="520"/>
      <c r="B187" s="533"/>
      <c r="C187" s="534"/>
      <c r="D187" s="534"/>
      <c r="E187" s="534"/>
      <c r="F187" s="534"/>
      <c r="G187" s="622"/>
    </row>
    <row r="188" spans="1:7" ht="14">
      <c r="A188" s="520"/>
      <c r="B188" s="533"/>
      <c r="C188" s="534"/>
      <c r="D188" s="534"/>
      <c r="E188" s="534"/>
      <c r="F188" s="534"/>
      <c r="G188" s="622"/>
    </row>
    <row r="189" spans="1:7" ht="14">
      <c r="A189" s="520"/>
      <c r="B189" s="533"/>
      <c r="C189" s="534"/>
      <c r="D189" s="534"/>
      <c r="E189" s="534"/>
      <c r="F189" s="534"/>
      <c r="G189" s="622"/>
    </row>
    <row r="190" spans="1:7" ht="14">
      <c r="A190" s="520"/>
      <c r="B190" s="533"/>
      <c r="C190" s="534"/>
      <c r="D190" s="534"/>
      <c r="E190" s="534"/>
      <c r="F190" s="534"/>
      <c r="G190" s="622"/>
    </row>
    <row r="191" spans="1:7" ht="14">
      <c r="A191" s="520"/>
      <c r="B191" s="533"/>
      <c r="C191" s="534"/>
      <c r="D191" s="534"/>
      <c r="E191" s="534"/>
      <c r="F191" s="534"/>
      <c r="G191" s="622"/>
    </row>
    <row r="192" spans="1:7" ht="14">
      <c r="A192" s="520"/>
      <c r="B192" s="533"/>
      <c r="C192" s="534"/>
      <c r="D192" s="534"/>
      <c r="E192" s="534"/>
      <c r="F192" s="534"/>
      <c r="G192" s="622"/>
    </row>
    <row r="193" spans="1:7" ht="14">
      <c r="A193" s="520"/>
      <c r="B193" s="533"/>
      <c r="C193" s="534"/>
      <c r="D193" s="534"/>
      <c r="E193" s="534"/>
      <c r="F193" s="534"/>
      <c r="G193" s="622"/>
    </row>
    <row r="194" spans="1:7" ht="14">
      <c r="A194" s="520"/>
      <c r="B194" s="533"/>
      <c r="C194" s="534"/>
      <c r="D194" s="534"/>
      <c r="E194" s="534"/>
      <c r="F194" s="534"/>
      <c r="G194" s="622"/>
    </row>
    <row r="195" spans="1:7" ht="14">
      <c r="A195" s="520"/>
      <c r="B195" s="533"/>
      <c r="C195" s="534"/>
      <c r="D195" s="534"/>
      <c r="E195" s="534"/>
      <c r="F195" s="534"/>
      <c r="G195" s="622"/>
    </row>
    <row r="196" spans="1:7" ht="14">
      <c r="A196" s="520"/>
      <c r="B196" s="533"/>
      <c r="C196" s="534"/>
      <c r="D196" s="534"/>
      <c r="E196" s="534"/>
      <c r="F196" s="534"/>
      <c r="G196" s="622"/>
    </row>
    <row r="197" spans="1:7" ht="14">
      <c r="A197" s="520"/>
      <c r="B197" s="533"/>
      <c r="C197" s="534"/>
      <c r="D197" s="534"/>
      <c r="E197" s="534"/>
      <c r="F197" s="534"/>
      <c r="G197" s="622"/>
    </row>
    <row r="198" spans="1:7" ht="14">
      <c r="A198" s="520"/>
      <c r="B198" s="533"/>
      <c r="C198" s="534"/>
      <c r="D198" s="534"/>
      <c r="E198" s="534"/>
      <c r="F198" s="534"/>
      <c r="G198" s="622"/>
    </row>
    <row r="199" spans="1:7" ht="14">
      <c r="A199" s="520"/>
      <c r="B199" s="533"/>
      <c r="C199" s="534"/>
      <c r="D199" s="534"/>
      <c r="E199" s="534"/>
      <c r="F199" s="534"/>
      <c r="G199" s="622"/>
    </row>
    <row r="200" spans="1:7" ht="14">
      <c r="A200" s="520"/>
      <c r="B200" s="533"/>
      <c r="C200" s="534"/>
      <c r="D200" s="534"/>
      <c r="E200" s="534"/>
      <c r="F200" s="534"/>
      <c r="G200" s="622"/>
    </row>
    <row r="201" spans="1:7" ht="14">
      <c r="A201" s="520"/>
      <c r="B201" s="533"/>
      <c r="C201" s="534"/>
      <c r="D201" s="534"/>
      <c r="E201" s="534"/>
      <c r="F201" s="534"/>
      <c r="G201" s="622"/>
    </row>
    <row r="202" spans="1:7" ht="14">
      <c r="A202" s="520"/>
      <c r="B202" s="533"/>
      <c r="C202" s="534"/>
      <c r="D202" s="534"/>
      <c r="E202" s="534"/>
      <c r="F202" s="534"/>
      <c r="G202" s="622"/>
    </row>
    <row r="203" spans="1:7" ht="14">
      <c r="A203" s="520"/>
      <c r="B203" s="533"/>
      <c r="C203" s="534"/>
      <c r="D203" s="534"/>
      <c r="E203" s="534"/>
      <c r="F203" s="534"/>
      <c r="G203" s="622"/>
    </row>
    <row r="204" spans="1:7" ht="14">
      <c r="A204" s="520"/>
      <c r="B204" s="533"/>
      <c r="C204" s="534"/>
      <c r="D204" s="534"/>
      <c r="E204" s="534"/>
      <c r="F204" s="534"/>
      <c r="G204" s="622"/>
    </row>
    <row r="205" spans="1:7" ht="14">
      <c r="A205" s="520"/>
      <c r="B205" s="533"/>
      <c r="C205" s="534"/>
      <c r="D205" s="534"/>
      <c r="E205" s="534"/>
      <c r="F205" s="534"/>
      <c r="G205" s="622"/>
    </row>
    <row r="206" spans="1:7" ht="14">
      <c r="A206" s="520"/>
      <c r="B206" s="533"/>
      <c r="C206" s="534"/>
      <c r="D206" s="534"/>
      <c r="E206" s="534"/>
      <c r="F206" s="534"/>
      <c r="G206" s="622"/>
    </row>
    <row r="207" spans="1:7" ht="14">
      <c r="A207" s="520"/>
      <c r="B207" s="533"/>
      <c r="C207" s="534"/>
      <c r="D207" s="534"/>
      <c r="E207" s="534"/>
      <c r="F207" s="534"/>
      <c r="G207" s="622"/>
    </row>
    <row r="208" spans="1:7" ht="14">
      <c r="A208" s="520"/>
      <c r="B208" s="533"/>
      <c r="C208" s="534"/>
      <c r="D208" s="534"/>
      <c r="E208" s="534"/>
      <c r="F208" s="534"/>
      <c r="G208" s="622"/>
    </row>
    <row r="209" spans="1:7" ht="14">
      <c r="A209" s="520"/>
      <c r="B209" s="533"/>
      <c r="C209" s="534"/>
      <c r="D209" s="534"/>
      <c r="E209" s="534"/>
      <c r="F209" s="534"/>
      <c r="G209" s="622"/>
    </row>
    <row r="210" spans="1:7" ht="14">
      <c r="A210" s="520"/>
      <c r="B210" s="533"/>
      <c r="C210" s="534"/>
      <c r="D210" s="534"/>
      <c r="E210" s="534"/>
      <c r="F210" s="534"/>
      <c r="G210" s="622"/>
    </row>
    <row r="211" spans="1:7" ht="14">
      <c r="A211" s="520"/>
      <c r="B211" s="533"/>
      <c r="C211" s="534"/>
      <c r="D211" s="534"/>
      <c r="E211" s="534"/>
      <c r="F211" s="534"/>
      <c r="G211" s="622"/>
    </row>
    <row r="212" spans="1:7" ht="14">
      <c r="A212" s="520"/>
      <c r="B212" s="533"/>
      <c r="C212" s="534"/>
      <c r="D212" s="534"/>
      <c r="E212" s="534"/>
      <c r="F212" s="534"/>
      <c r="G212" s="622"/>
    </row>
    <row r="213" spans="1:7" ht="14">
      <c r="A213" s="520"/>
      <c r="B213" s="533"/>
      <c r="C213" s="534"/>
      <c r="D213" s="534"/>
      <c r="E213" s="534"/>
      <c r="F213" s="534"/>
      <c r="G213" s="622"/>
    </row>
    <row r="214" spans="1:7" ht="14">
      <c r="A214" s="520"/>
      <c r="B214" s="533"/>
      <c r="C214" s="534"/>
      <c r="D214" s="534"/>
      <c r="E214" s="534"/>
      <c r="F214" s="534"/>
      <c r="G214" s="622"/>
    </row>
    <row r="215" spans="1:7" ht="14">
      <c r="A215" s="520"/>
      <c r="B215" s="533"/>
      <c r="C215" s="534"/>
      <c r="D215" s="534"/>
      <c r="E215" s="534"/>
      <c r="F215" s="534"/>
      <c r="G215" s="622"/>
    </row>
    <row r="216" spans="1:7" ht="14">
      <c r="A216" s="520"/>
      <c r="B216" s="533"/>
      <c r="C216" s="534"/>
      <c r="D216" s="534"/>
      <c r="E216" s="534"/>
      <c r="F216" s="534"/>
      <c r="G216" s="622"/>
    </row>
    <row r="217" spans="1:7" ht="14">
      <c r="A217" s="520"/>
      <c r="B217" s="533"/>
      <c r="C217" s="534"/>
      <c r="D217" s="534"/>
      <c r="E217" s="534"/>
      <c r="F217" s="534"/>
      <c r="G217" s="622"/>
    </row>
    <row r="218" spans="1:7" ht="14">
      <c r="A218" s="520"/>
      <c r="B218" s="533"/>
      <c r="C218" s="534"/>
      <c r="D218" s="534"/>
      <c r="E218" s="534"/>
      <c r="F218" s="534"/>
      <c r="G218" s="622"/>
    </row>
    <row r="219" spans="1:7" ht="14">
      <c r="A219" s="520"/>
      <c r="B219" s="533"/>
      <c r="C219" s="534"/>
      <c r="D219" s="534"/>
      <c r="E219" s="534"/>
      <c r="F219" s="534"/>
      <c r="G219" s="622"/>
    </row>
    <row r="220" spans="1:7" ht="14">
      <c r="A220" s="520"/>
      <c r="B220" s="533"/>
      <c r="C220" s="534"/>
      <c r="D220" s="534"/>
      <c r="E220" s="534"/>
      <c r="F220" s="534"/>
      <c r="G220" s="622"/>
    </row>
    <row r="221" spans="1:7" ht="14">
      <c r="A221" s="520"/>
      <c r="B221" s="533"/>
      <c r="C221" s="534"/>
      <c r="D221" s="534"/>
      <c r="E221" s="534"/>
      <c r="F221" s="534"/>
      <c r="G221" s="622"/>
    </row>
    <row r="222" spans="1:7" ht="14">
      <c r="A222" s="520"/>
      <c r="B222" s="533"/>
      <c r="C222" s="534"/>
      <c r="D222" s="534"/>
      <c r="E222" s="534"/>
      <c r="F222" s="534"/>
      <c r="G222" s="622"/>
    </row>
    <row r="223" spans="1:7" ht="14">
      <c r="A223" s="520"/>
      <c r="B223" s="533"/>
      <c r="C223" s="534"/>
      <c r="D223" s="534"/>
      <c r="E223" s="534"/>
      <c r="F223" s="534"/>
      <c r="G223" s="622"/>
    </row>
    <row r="224" spans="1:7" ht="14">
      <c r="A224" s="520"/>
      <c r="B224" s="533"/>
      <c r="C224" s="534"/>
      <c r="D224" s="534"/>
      <c r="E224" s="534"/>
      <c r="F224" s="534"/>
      <c r="G224" s="622"/>
    </row>
    <row r="225" spans="1:7" ht="14">
      <c r="A225" s="520"/>
      <c r="B225" s="533"/>
      <c r="C225" s="534"/>
      <c r="D225" s="534"/>
      <c r="E225" s="534"/>
      <c r="F225" s="534"/>
      <c r="G225" s="622"/>
    </row>
    <row r="226" spans="1:7" ht="14">
      <c r="A226" s="520"/>
      <c r="B226" s="533"/>
      <c r="C226" s="534"/>
      <c r="D226" s="534"/>
      <c r="E226" s="534"/>
      <c r="F226" s="534"/>
      <c r="G226" s="622"/>
    </row>
    <row r="227" spans="1:7" ht="14">
      <c r="A227" s="520"/>
      <c r="B227" s="533"/>
      <c r="C227" s="534"/>
      <c r="D227" s="534"/>
      <c r="E227" s="534"/>
      <c r="F227" s="534"/>
      <c r="G227" s="622"/>
    </row>
    <row r="228" spans="1:7" ht="14">
      <c r="A228" s="520"/>
      <c r="B228" s="533"/>
      <c r="C228" s="534"/>
      <c r="D228" s="534"/>
      <c r="E228" s="534"/>
      <c r="F228" s="534"/>
      <c r="G228" s="622"/>
    </row>
    <row r="229" spans="1:7" ht="14">
      <c r="A229" s="520"/>
      <c r="B229" s="533"/>
      <c r="C229" s="534"/>
      <c r="D229" s="534"/>
      <c r="E229" s="534"/>
      <c r="F229" s="534"/>
      <c r="G229" s="622"/>
    </row>
    <row r="230" spans="1:7" ht="14">
      <c r="A230" s="520"/>
      <c r="B230" s="533"/>
      <c r="C230" s="534"/>
      <c r="D230" s="534"/>
      <c r="E230" s="534"/>
      <c r="F230" s="534"/>
      <c r="G230" s="622"/>
    </row>
    <row r="231" spans="1:7" ht="14">
      <c r="A231" s="520"/>
      <c r="B231" s="533"/>
      <c r="C231" s="534"/>
      <c r="D231" s="534"/>
      <c r="E231" s="534"/>
      <c r="F231" s="534"/>
      <c r="G231" s="622"/>
    </row>
    <row r="232" spans="1:7" ht="14">
      <c r="A232" s="520"/>
      <c r="B232" s="533"/>
      <c r="C232" s="534"/>
      <c r="D232" s="534"/>
      <c r="E232" s="534"/>
      <c r="F232" s="534"/>
      <c r="G232" s="622"/>
    </row>
    <row r="233" spans="1:7" ht="14">
      <c r="A233" s="520"/>
      <c r="B233" s="533"/>
      <c r="C233" s="534"/>
      <c r="D233" s="534"/>
      <c r="E233" s="534"/>
      <c r="F233" s="534"/>
      <c r="G233" s="622"/>
    </row>
    <row r="234" spans="1:7" ht="14">
      <c r="A234" s="520"/>
      <c r="B234" s="533"/>
      <c r="C234" s="534"/>
      <c r="D234" s="534"/>
      <c r="E234" s="534"/>
      <c r="F234" s="534"/>
      <c r="G234" s="622"/>
    </row>
    <row r="235" spans="1:7" ht="14">
      <c r="A235" s="520"/>
      <c r="B235" s="533"/>
      <c r="C235" s="534"/>
      <c r="D235" s="534"/>
      <c r="E235" s="534"/>
      <c r="F235" s="534"/>
      <c r="G235" s="622"/>
    </row>
    <row r="236" spans="1:7" ht="14">
      <c r="A236" s="520"/>
      <c r="B236" s="533"/>
      <c r="C236" s="534"/>
      <c r="D236" s="534"/>
      <c r="E236" s="534"/>
      <c r="F236" s="534"/>
      <c r="G236" s="622"/>
    </row>
    <row r="237" spans="1:7" ht="14">
      <c r="A237" s="520"/>
      <c r="B237" s="533"/>
      <c r="C237" s="534"/>
      <c r="D237" s="534"/>
      <c r="E237" s="534"/>
      <c r="F237" s="534"/>
      <c r="G237" s="622"/>
    </row>
    <row r="238" spans="1:7" ht="14">
      <c r="A238" s="520"/>
      <c r="B238" s="533"/>
      <c r="C238" s="534"/>
      <c r="D238" s="534"/>
      <c r="E238" s="534"/>
      <c r="F238" s="534"/>
      <c r="G238" s="622"/>
    </row>
    <row r="239" spans="1:7" ht="14">
      <c r="A239" s="520"/>
      <c r="B239" s="533"/>
      <c r="C239" s="534"/>
      <c r="D239" s="534"/>
      <c r="E239" s="534"/>
      <c r="F239" s="534"/>
      <c r="G239" s="622"/>
    </row>
    <row r="240" spans="1:7" ht="14">
      <c r="A240" s="520"/>
      <c r="B240" s="533"/>
      <c r="C240" s="533"/>
      <c r="D240" s="533"/>
      <c r="E240" s="533"/>
      <c r="F240" s="533"/>
      <c r="G240" s="622"/>
    </row>
    <row r="241" spans="1:7" ht="14">
      <c r="A241" s="520"/>
      <c r="B241" s="533"/>
      <c r="C241" s="533"/>
      <c r="D241" s="533"/>
      <c r="E241" s="533"/>
      <c r="F241" s="533"/>
      <c r="G241" s="622"/>
    </row>
    <row r="242" spans="1:7" ht="14">
      <c r="A242" s="520"/>
      <c r="B242" s="533"/>
      <c r="C242" s="533"/>
      <c r="D242" s="533"/>
      <c r="E242" s="533"/>
      <c r="F242" s="533"/>
      <c r="G242" s="622"/>
    </row>
    <row r="243" spans="1:7" ht="14">
      <c r="A243" s="520"/>
      <c r="B243" s="533"/>
      <c r="C243" s="533"/>
      <c r="D243" s="533"/>
      <c r="E243" s="533"/>
      <c r="F243" s="533"/>
      <c r="G243" s="622"/>
    </row>
    <row r="244" spans="1:7" ht="14">
      <c r="A244" s="520"/>
      <c r="B244" s="533"/>
      <c r="C244" s="533"/>
      <c r="D244" s="533"/>
      <c r="E244" s="533"/>
      <c r="F244" s="533"/>
      <c r="G244" s="622"/>
    </row>
    <row r="245" spans="1:7" ht="14">
      <c r="A245" s="520"/>
      <c r="B245" s="533"/>
      <c r="C245" s="533"/>
      <c r="D245" s="533"/>
      <c r="E245" s="533"/>
      <c r="F245" s="533"/>
      <c r="G245" s="622"/>
    </row>
    <row r="246" spans="1:7" ht="14">
      <c r="A246" s="520"/>
      <c r="B246" s="533"/>
      <c r="C246" s="533"/>
      <c r="D246" s="533"/>
      <c r="E246" s="533"/>
      <c r="F246" s="533"/>
      <c r="G246" s="622"/>
    </row>
    <row r="247" spans="1:7" ht="14">
      <c r="A247" s="520"/>
      <c r="B247" s="533"/>
      <c r="C247" s="533"/>
      <c r="D247" s="533"/>
      <c r="E247" s="533"/>
      <c r="F247" s="533"/>
      <c r="G247" s="622"/>
    </row>
    <row r="248" spans="1:7" ht="14">
      <c r="A248" s="520"/>
      <c r="B248" s="533"/>
      <c r="C248" s="533"/>
      <c r="D248" s="533"/>
      <c r="E248" s="533"/>
      <c r="F248" s="533"/>
      <c r="G248" s="622"/>
    </row>
    <row r="249" spans="1:7" ht="14">
      <c r="A249" s="520"/>
      <c r="B249" s="533"/>
      <c r="C249" s="533"/>
      <c r="D249" s="533"/>
      <c r="E249" s="533"/>
      <c r="F249" s="533"/>
      <c r="G249" s="622"/>
    </row>
    <row r="250" spans="1:7" ht="14">
      <c r="A250" s="520"/>
      <c r="B250" s="533"/>
      <c r="C250" s="533"/>
      <c r="D250" s="533"/>
      <c r="E250" s="533"/>
      <c r="F250" s="533"/>
      <c r="G250" s="622"/>
    </row>
    <row r="251" spans="1:7" ht="14">
      <c r="A251" s="520"/>
      <c r="B251" s="533"/>
      <c r="C251" s="533"/>
      <c r="D251" s="533"/>
      <c r="E251" s="533"/>
      <c r="F251" s="533"/>
      <c r="G251" s="622"/>
    </row>
    <row r="252" spans="1:7" ht="14">
      <c r="A252" s="520"/>
      <c r="B252" s="533"/>
      <c r="C252" s="533"/>
      <c r="D252" s="533"/>
      <c r="E252" s="533"/>
      <c r="F252" s="533"/>
      <c r="G252" s="622"/>
    </row>
    <row r="253" spans="1:7" ht="14">
      <c r="A253" s="520"/>
      <c r="B253" s="533"/>
      <c r="C253" s="533"/>
      <c r="D253" s="533"/>
      <c r="E253" s="533"/>
      <c r="F253" s="533"/>
      <c r="G253" s="622"/>
    </row>
    <row r="254" spans="1:7" ht="14">
      <c r="A254" s="520"/>
      <c r="B254" s="533"/>
      <c r="C254" s="533"/>
      <c r="D254" s="533"/>
      <c r="E254" s="533"/>
      <c r="F254" s="533"/>
      <c r="G254" s="622"/>
    </row>
  </sheetData>
  <mergeCells count="45">
    <mergeCell ref="A6:D7"/>
    <mergeCell ref="F6:G7"/>
    <mergeCell ref="C2:H3"/>
    <mergeCell ref="A1:B4"/>
    <mergeCell ref="A16:G16"/>
    <mergeCell ref="A19:J19"/>
    <mergeCell ref="A22:G22"/>
    <mergeCell ref="F23:G23"/>
    <mergeCell ref="A9:C9"/>
    <mergeCell ref="F9:G9"/>
    <mergeCell ref="A10:C10"/>
    <mergeCell ref="F10:G10"/>
    <mergeCell ref="A11:C11"/>
    <mergeCell ref="F11:G11"/>
    <mergeCell ref="D43:E43"/>
    <mergeCell ref="A44:C44"/>
    <mergeCell ref="D44:E44"/>
    <mergeCell ref="F44:G44"/>
    <mergeCell ref="A34:G34"/>
    <mergeCell ref="A38:C38"/>
    <mergeCell ref="F38:G38"/>
    <mergeCell ref="A40:C40"/>
    <mergeCell ref="D40:E40"/>
    <mergeCell ref="F40:G40"/>
    <mergeCell ref="I1:J4"/>
    <mergeCell ref="C1:H1"/>
    <mergeCell ref="C4:H4"/>
    <mergeCell ref="D41:E41"/>
    <mergeCell ref="A42:C42"/>
    <mergeCell ref="D42:E42"/>
    <mergeCell ref="F42:G42"/>
    <mergeCell ref="F24:G24"/>
    <mergeCell ref="F25:G25"/>
    <mergeCell ref="A26:C26"/>
    <mergeCell ref="F26:G26"/>
    <mergeCell ref="A28:G28"/>
    <mergeCell ref="A32:C32"/>
    <mergeCell ref="F32:G32"/>
    <mergeCell ref="A13:D13"/>
    <mergeCell ref="F13:G13"/>
    <mergeCell ref="B60:D60"/>
    <mergeCell ref="D45:E45"/>
    <mergeCell ref="A46:C46"/>
    <mergeCell ref="D46:E46"/>
    <mergeCell ref="F46:G46"/>
  </mergeCells>
  <pageMargins left="0.7" right="0.7" top="0.75" bottom="0.75" header="0.3" footer="0.3"/>
  <pageSetup scale="42" orientation="portrait" r:id="rId1"/>
  <colBreaks count="1" manualBreakCount="1">
    <brk id="10" max="1048575" man="1"/>
  </col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G36"/>
  <sheetViews>
    <sheetView view="pageBreakPreview" topLeftCell="A16" zoomScaleNormal="55" zoomScaleSheetLayoutView="100" workbookViewId="0">
      <selection activeCell="A26" sqref="A26"/>
    </sheetView>
  </sheetViews>
  <sheetFormatPr baseColWidth="10" defaultRowHeight="13"/>
  <cols>
    <col min="1" max="1" width="27.3984375" customWidth="1"/>
    <col min="4" max="4" width="16.796875" customWidth="1"/>
    <col min="7" max="7" width="14.796875" customWidth="1"/>
  </cols>
  <sheetData>
    <row r="1" spans="1:7">
      <c r="A1" s="338"/>
      <c r="B1" s="339"/>
      <c r="C1" s="339"/>
      <c r="D1" s="339"/>
      <c r="E1" s="339"/>
      <c r="F1" s="339"/>
      <c r="G1" s="340"/>
    </row>
    <row r="2" spans="1:7">
      <c r="A2" s="341"/>
      <c r="G2" s="342"/>
    </row>
    <row r="3" spans="1:7">
      <c r="A3" s="341"/>
      <c r="G3" s="342"/>
    </row>
    <row r="4" spans="1:7">
      <c r="A4" s="341"/>
      <c r="G4" s="342"/>
    </row>
    <row r="5" spans="1:7">
      <c r="A5" s="341"/>
      <c r="G5" s="342"/>
    </row>
    <row r="6" spans="1:7">
      <c r="A6" s="341"/>
      <c r="G6" s="342"/>
    </row>
    <row r="7" spans="1:7" ht="184.5" customHeight="1">
      <c r="A7" s="640"/>
      <c r="B7" s="643" t="str">
        <f>AIU!C2</f>
        <v>PROYECTO: MANTENIMIENTO DE LA VÍA QUE CONDUCE  DE "LA BODEGA" HACIA LA VEREDA "SABANA RUBIA" DEL
 MUNICIPIO DE LA PAZ, DEPARTAMENTO DEL CESAR.</v>
      </c>
      <c r="C7" s="644"/>
      <c r="D7" s="644"/>
      <c r="E7" s="645"/>
      <c r="F7" s="646"/>
      <c r="G7" s="647"/>
    </row>
    <row r="8" spans="1:7" ht="37.5" customHeight="1">
      <c r="A8" s="641"/>
      <c r="B8" s="643" t="s">
        <v>610</v>
      </c>
      <c r="C8" s="644"/>
      <c r="D8" s="644"/>
      <c r="E8" s="645"/>
      <c r="F8" s="648"/>
      <c r="G8" s="649"/>
    </row>
    <row r="9" spans="1:7" ht="39.75" customHeight="1">
      <c r="A9" s="642"/>
      <c r="B9" s="643" t="s">
        <v>611</v>
      </c>
      <c r="C9" s="644"/>
      <c r="D9" s="644"/>
      <c r="E9" s="645"/>
      <c r="F9" s="650"/>
      <c r="G9" s="651"/>
    </row>
    <row r="10" spans="1:7" ht="16.5" customHeight="1">
      <c r="A10" s="341"/>
      <c r="G10" s="342"/>
    </row>
    <row r="11" spans="1:7" ht="16.5" customHeight="1">
      <c r="A11" s="341"/>
      <c r="G11" s="342"/>
    </row>
    <row r="12" spans="1:7">
      <c r="A12" s="341"/>
      <c r="G12" s="342"/>
    </row>
    <row r="13" spans="1:7" ht="15" customHeight="1">
      <c r="A13" s="637"/>
      <c r="B13" s="638"/>
      <c r="C13" s="638"/>
      <c r="D13" s="638"/>
      <c r="E13" s="638"/>
      <c r="F13" s="638"/>
      <c r="G13" s="639"/>
    </row>
    <row r="14" spans="1:7" ht="15" customHeight="1">
      <c r="A14" s="637"/>
      <c r="B14" s="638"/>
      <c r="C14" s="638"/>
      <c r="D14" s="638"/>
      <c r="E14" s="638"/>
      <c r="F14" s="638"/>
      <c r="G14" s="639"/>
    </row>
    <row r="15" spans="1:7" ht="15" customHeight="1">
      <c r="A15" s="637"/>
      <c r="B15" s="638"/>
      <c r="C15" s="638"/>
      <c r="D15" s="638"/>
      <c r="E15" s="638"/>
      <c r="F15" s="638"/>
      <c r="G15" s="639"/>
    </row>
    <row r="16" spans="1:7" ht="15" customHeight="1">
      <c r="A16" s="637"/>
      <c r="B16" s="638"/>
      <c r="C16" s="638"/>
      <c r="D16" s="638"/>
      <c r="E16" s="638"/>
      <c r="F16" s="638"/>
      <c r="G16" s="639"/>
    </row>
    <row r="17" spans="1:7" ht="15" customHeight="1">
      <c r="A17" s="637"/>
      <c r="B17" s="638"/>
      <c r="C17" s="638"/>
      <c r="D17" s="638"/>
      <c r="E17" s="638"/>
      <c r="F17" s="638"/>
      <c r="G17" s="639"/>
    </row>
    <row r="18" spans="1:7">
      <c r="A18" s="341"/>
      <c r="G18" s="342"/>
    </row>
    <row r="19" spans="1:7">
      <c r="A19" s="341"/>
      <c r="G19" s="342"/>
    </row>
    <row r="20" spans="1:7">
      <c r="A20" s="341"/>
      <c r="G20" s="342"/>
    </row>
    <row r="21" spans="1:7">
      <c r="A21" s="748" t="s">
        <v>746</v>
      </c>
      <c r="B21" s="749"/>
      <c r="C21" s="749"/>
      <c r="D21" s="749"/>
      <c r="E21" s="749"/>
      <c r="F21" s="749"/>
      <c r="G21" s="750"/>
    </row>
    <row r="22" spans="1:7">
      <c r="A22" s="748"/>
      <c r="B22" s="749"/>
      <c r="C22" s="749"/>
      <c r="D22" s="749"/>
      <c r="E22" s="749"/>
      <c r="F22" s="749"/>
      <c r="G22" s="750"/>
    </row>
    <row r="23" spans="1:7" ht="20.25" customHeight="1">
      <c r="A23" s="748"/>
      <c r="B23" s="749"/>
      <c r="C23" s="749"/>
      <c r="D23" s="749"/>
      <c r="E23" s="749"/>
      <c r="F23" s="749"/>
      <c r="G23" s="750"/>
    </row>
    <row r="24" spans="1:7">
      <c r="A24" s="748"/>
      <c r="B24" s="749"/>
      <c r="C24" s="749"/>
      <c r="D24" s="749"/>
      <c r="E24" s="749"/>
      <c r="F24" s="749"/>
      <c r="G24" s="750"/>
    </row>
    <row r="25" spans="1:7" ht="24" customHeight="1">
      <c r="A25" s="748"/>
      <c r="B25" s="749"/>
      <c r="C25" s="749"/>
      <c r="D25" s="749"/>
      <c r="E25" s="749"/>
      <c r="F25" s="749"/>
      <c r="G25" s="750"/>
    </row>
    <row r="26" spans="1:7">
      <c r="A26" s="341"/>
      <c r="G26" s="342"/>
    </row>
    <row r="27" spans="1:7">
      <c r="A27" s="341"/>
      <c r="G27" s="342"/>
    </row>
    <row r="28" spans="1:7">
      <c r="A28" s="341"/>
      <c r="G28" s="342"/>
    </row>
    <row r="29" spans="1:7">
      <c r="A29" s="341"/>
      <c r="G29" s="342"/>
    </row>
    <row r="30" spans="1:7">
      <c r="A30" s="341"/>
      <c r="G30" s="342"/>
    </row>
    <row r="31" spans="1:7">
      <c r="A31" s="341"/>
      <c r="G31" s="342"/>
    </row>
    <row r="32" spans="1:7">
      <c r="A32" s="341"/>
      <c r="G32" s="342"/>
    </row>
    <row r="33" spans="1:7">
      <c r="A33" s="341"/>
      <c r="G33" s="342"/>
    </row>
    <row r="34" spans="1:7">
      <c r="A34" s="341"/>
      <c r="G34" s="342"/>
    </row>
    <row r="35" spans="1:7">
      <c r="A35" s="341"/>
      <c r="G35" s="342"/>
    </row>
    <row r="36" spans="1:7" ht="14" thickBot="1">
      <c r="A36" s="343"/>
      <c r="B36" s="307"/>
      <c r="C36" s="307"/>
      <c r="D36" s="307"/>
      <c r="E36" s="307"/>
      <c r="F36" s="307"/>
      <c r="G36" s="344"/>
    </row>
  </sheetData>
  <mergeCells count="7">
    <mergeCell ref="A21:G25"/>
    <mergeCell ref="A7:A9"/>
    <mergeCell ref="B7:E7"/>
    <mergeCell ref="F7:G9"/>
    <mergeCell ref="B8:E8"/>
    <mergeCell ref="B9:E9"/>
    <mergeCell ref="A13:G17"/>
  </mergeCells>
  <pageMargins left="0.7" right="0.7" top="0.75" bottom="0.75" header="0.3" footer="0.3"/>
  <pageSetup scale="87"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G107"/>
  <sheetViews>
    <sheetView view="pageBreakPreview" topLeftCell="A82" zoomScaleNormal="100" zoomScaleSheetLayoutView="100" workbookViewId="0">
      <selection activeCell="E101" sqref="E101"/>
    </sheetView>
  </sheetViews>
  <sheetFormatPr baseColWidth="10" defaultColWidth="11.3984375" defaultRowHeight="13"/>
  <cols>
    <col min="1" max="1" width="27.19921875" style="346" customWidth="1"/>
    <col min="2" max="2" width="11.3984375" style="346" customWidth="1"/>
    <col min="3" max="3" width="13" style="346" customWidth="1"/>
    <col min="4" max="4" width="14.796875" style="346" customWidth="1"/>
    <col min="5" max="5" width="14" style="346" customWidth="1"/>
    <col min="6" max="6" width="21" style="346" customWidth="1"/>
    <col min="7" max="16384" width="11.3984375" style="346"/>
  </cols>
  <sheetData>
    <row r="1" spans="1:7" ht="134.25" customHeight="1">
      <c r="A1" s="680"/>
      <c r="B1" s="683" t="str">
        <f>CRONOGRAMA!B1</f>
        <v>PROYECTO: MANTENIMIENTO DE LA VÍA QUE CONDUCE  DE "LA BODEGA" HACIA LA VEREDA "SABANA RUBIA" DEL
 MUNICIPIO DE LA PAZ, DEPARTAMENTO DEL CESAR.</v>
      </c>
      <c r="C1" s="683"/>
      <c r="D1" s="683"/>
      <c r="E1" s="683"/>
      <c r="F1" s="770"/>
    </row>
    <row r="2" spans="1:7" ht="17.25" customHeight="1">
      <c r="A2" s="681"/>
      <c r="B2" s="677" t="s">
        <v>610</v>
      </c>
      <c r="C2" s="677"/>
      <c r="D2" s="677"/>
      <c r="E2" s="677"/>
      <c r="F2" s="771"/>
    </row>
    <row r="3" spans="1:7" ht="17.25" customHeight="1">
      <c r="A3" s="681"/>
      <c r="B3" s="677" t="s">
        <v>611</v>
      </c>
      <c r="C3" s="677"/>
      <c r="D3" s="677"/>
      <c r="E3" s="677"/>
      <c r="F3" s="771"/>
    </row>
    <row r="4" spans="1:7" ht="17.25" customHeight="1" thickBot="1">
      <c r="A4" s="682"/>
      <c r="B4" s="678" t="s">
        <v>747</v>
      </c>
      <c r="C4" s="678"/>
      <c r="D4" s="678"/>
      <c r="E4" s="678"/>
      <c r="F4" s="772"/>
    </row>
    <row r="5" spans="1:7" ht="17.25" customHeight="1">
      <c r="A5" s="347"/>
      <c r="B5" s="380"/>
      <c r="C5" s="380"/>
      <c r="D5" s="380"/>
      <c r="E5" s="380"/>
      <c r="F5" s="380"/>
    </row>
    <row r="6" spans="1:7" ht="42.75" customHeight="1">
      <c r="A6" s="762" t="str">
        <f>PRESUPUESTO!B10</f>
        <v>ROCERÍA Y LIMPIEZA GENERAL DE VEGETACIÓN EN ZONA DE INFLUENCIA VIAL, INCLUYE DESMONTE DE MALEZA, DESTRONQUE, RECOLECCIÓN Y RETIRO DE MATERIAL VEGETAL Y RESIDUOS EXISTENTES.</v>
      </c>
      <c r="B6" s="763"/>
      <c r="C6" s="763"/>
      <c r="D6" s="764"/>
      <c r="E6" s="548" t="s">
        <v>582</v>
      </c>
      <c r="F6" s="548" t="str">
        <f>PRESUPUESTO!C10</f>
        <v>M2</v>
      </c>
      <c r="G6" s="549"/>
    </row>
    <row r="8" spans="1:7" ht="14" thickBot="1">
      <c r="A8" s="550" t="s">
        <v>568</v>
      </c>
      <c r="B8" s="550"/>
      <c r="C8" s="551"/>
      <c r="D8" s="551"/>
      <c r="E8" s="551"/>
      <c r="F8" s="551"/>
    </row>
    <row r="9" spans="1:7" ht="14" thickBot="1">
      <c r="A9" s="760" t="s">
        <v>19</v>
      </c>
      <c r="B9" s="765"/>
      <c r="C9" s="552" t="s">
        <v>20</v>
      </c>
      <c r="D9" s="553" t="s">
        <v>569</v>
      </c>
      <c r="E9" s="552" t="s">
        <v>22</v>
      </c>
      <c r="F9" s="554" t="s">
        <v>570</v>
      </c>
    </row>
    <row r="10" spans="1:7">
      <c r="A10" s="751" t="s">
        <v>737</v>
      </c>
      <c r="B10" s="773"/>
      <c r="C10" s="541" t="s">
        <v>738</v>
      </c>
      <c r="D10" s="555">
        <v>8200</v>
      </c>
      <c r="E10" s="556">
        <v>1.9E-2</v>
      </c>
      <c r="F10" s="557">
        <f>D10*E10</f>
        <v>155.79999999999998</v>
      </c>
    </row>
    <row r="11" spans="1:7">
      <c r="A11" s="774" t="s">
        <v>571</v>
      </c>
      <c r="B11" s="775"/>
      <c r="C11" s="541" t="s">
        <v>738</v>
      </c>
      <c r="D11" s="542">
        <v>11766</v>
      </c>
      <c r="E11" s="558">
        <v>8.9999999999999993E-3</v>
      </c>
      <c r="F11" s="557">
        <f t="shared" ref="F11:F12" si="0">D11*E11</f>
        <v>105.89399999999999</v>
      </c>
    </row>
    <row r="12" spans="1:7" ht="22.5" customHeight="1">
      <c r="A12" s="766" t="s">
        <v>739</v>
      </c>
      <c r="B12" s="767"/>
      <c r="C12" s="541" t="s">
        <v>83</v>
      </c>
      <c r="D12" s="545">
        <f>F32</f>
        <v>1025.17421449482</v>
      </c>
      <c r="E12" s="546">
        <v>0.03</v>
      </c>
      <c r="F12" s="557">
        <f t="shared" si="0"/>
        <v>30.755226434844602</v>
      </c>
    </row>
    <row r="13" spans="1:7" ht="14" thickBot="1">
      <c r="A13" s="768"/>
      <c r="B13" s="769"/>
      <c r="C13" s="559"/>
      <c r="D13" s="560"/>
      <c r="E13" s="561"/>
      <c r="F13" s="562"/>
    </row>
    <row r="14" spans="1:7" ht="14" thickBot="1">
      <c r="A14" s="551"/>
      <c r="B14" s="551"/>
      <c r="C14" s="551"/>
      <c r="D14" s="551"/>
      <c r="E14" s="563" t="s">
        <v>572</v>
      </c>
      <c r="F14" s="564">
        <f>+SUM(F10:F13)</f>
        <v>292.44922643484455</v>
      </c>
    </row>
    <row r="15" spans="1:7" ht="14" thickBot="1">
      <c r="A15" s="550" t="s">
        <v>573</v>
      </c>
      <c r="B15" s="550"/>
      <c r="C15" s="551"/>
      <c r="D15" s="551"/>
      <c r="E15" s="551"/>
      <c r="F15" s="551"/>
    </row>
    <row r="16" spans="1:7" ht="14" thickBot="1">
      <c r="A16" s="760" t="s">
        <v>19</v>
      </c>
      <c r="B16" s="765"/>
      <c r="C16" s="552" t="s">
        <v>28</v>
      </c>
      <c r="D16" s="552" t="s">
        <v>574</v>
      </c>
      <c r="E16" s="552" t="s">
        <v>30</v>
      </c>
      <c r="F16" s="554" t="s">
        <v>570</v>
      </c>
    </row>
    <row r="17" spans="1:6" ht="26.25" customHeight="1">
      <c r="A17" s="755" t="s">
        <v>740</v>
      </c>
      <c r="B17" s="756"/>
      <c r="C17" s="541" t="s">
        <v>741</v>
      </c>
      <c r="D17" s="545">
        <v>10000</v>
      </c>
      <c r="E17" s="547">
        <v>0.01</v>
      </c>
      <c r="F17" s="557">
        <f t="shared" ref="F17" si="1">D17*E17</f>
        <v>100</v>
      </c>
    </row>
    <row r="18" spans="1:6">
      <c r="A18" s="757"/>
      <c r="B18" s="758"/>
      <c r="C18" s="565"/>
      <c r="D18" s="566"/>
      <c r="E18" s="567"/>
      <c r="F18" s="568"/>
    </row>
    <row r="19" spans="1:6" ht="14" thickBot="1">
      <c r="A19" s="753"/>
      <c r="B19" s="759"/>
      <c r="C19" s="559"/>
      <c r="D19" s="560"/>
      <c r="E19" s="569"/>
      <c r="F19" s="562"/>
    </row>
    <row r="20" spans="1:6" ht="14" thickBot="1">
      <c r="A20" s="551"/>
      <c r="B20" s="551"/>
      <c r="C20" s="551"/>
      <c r="D20" s="551"/>
      <c r="E20" s="563" t="s">
        <v>572</v>
      </c>
      <c r="F20" s="570">
        <f>+SUM(F17:F19)</f>
        <v>100</v>
      </c>
    </row>
    <row r="21" spans="1:6" ht="14" thickBot="1">
      <c r="A21" s="571" t="s">
        <v>575</v>
      </c>
      <c r="B21" s="571"/>
      <c r="C21" s="551"/>
      <c r="D21" s="551"/>
      <c r="E21" s="551"/>
      <c r="F21" s="551"/>
    </row>
    <row r="22" spans="1:6" ht="14" thickBot="1">
      <c r="A22" s="760" t="s">
        <v>576</v>
      </c>
      <c r="B22" s="761"/>
      <c r="C22" s="552" t="s">
        <v>28</v>
      </c>
      <c r="D22" s="552" t="s">
        <v>574</v>
      </c>
      <c r="E22" s="552" t="s">
        <v>30</v>
      </c>
      <c r="F22" s="554" t="s">
        <v>570</v>
      </c>
    </row>
    <row r="23" spans="1:6" ht="21" customHeight="1">
      <c r="A23" s="755" t="s">
        <v>635</v>
      </c>
      <c r="B23" s="756"/>
      <c r="C23" s="381" t="s">
        <v>54</v>
      </c>
      <c r="D23" s="382">
        <v>300000</v>
      </c>
      <c r="E23" s="543">
        <v>2.9999999999999997E-4</v>
      </c>
      <c r="F23" s="384">
        <f>D23*E23</f>
        <v>89.999999999999986</v>
      </c>
    </row>
    <row r="24" spans="1:6">
      <c r="A24" s="751"/>
      <c r="B24" s="752"/>
      <c r="C24" s="572"/>
      <c r="D24" s="573"/>
      <c r="E24" s="574"/>
      <c r="F24" s="575"/>
    </row>
    <row r="25" spans="1:6" ht="14" thickBot="1">
      <c r="A25" s="753"/>
      <c r="B25" s="754"/>
      <c r="C25" s="560"/>
      <c r="D25" s="576"/>
      <c r="E25" s="577"/>
      <c r="F25" s="578"/>
    </row>
    <row r="26" spans="1:6" ht="14" thickBot="1">
      <c r="A26" s="551"/>
      <c r="B26" s="551"/>
      <c r="C26" s="551"/>
      <c r="D26" s="551"/>
      <c r="E26" s="563" t="s">
        <v>572</v>
      </c>
      <c r="F26" s="564">
        <f>+SUM(F23:F25)</f>
        <v>89.999999999999986</v>
      </c>
    </row>
    <row r="27" spans="1:6" ht="14" thickBot="1">
      <c r="A27" s="571" t="s">
        <v>577</v>
      </c>
      <c r="B27" s="571"/>
      <c r="C27" s="551"/>
      <c r="D27" s="551"/>
      <c r="E27" s="551"/>
      <c r="F27" s="551"/>
    </row>
    <row r="28" spans="1:6" ht="14" thickBot="1">
      <c r="A28" s="579" t="s">
        <v>578</v>
      </c>
      <c r="B28" s="580" t="s">
        <v>581</v>
      </c>
      <c r="C28" s="552" t="s">
        <v>579</v>
      </c>
      <c r="D28" s="553" t="s">
        <v>34</v>
      </c>
      <c r="E28" s="580" t="s">
        <v>22</v>
      </c>
      <c r="F28" s="554" t="s">
        <v>570</v>
      </c>
    </row>
    <row r="29" spans="1:6" ht="18" customHeight="1">
      <c r="A29" s="581" t="str">
        <f>'MANO DE OBRA'!C29</f>
        <v>Ayudante A</v>
      </c>
      <c r="B29" s="582">
        <f>'MANO DE OBRA'!F29</f>
        <v>99861.115770000004</v>
      </c>
      <c r="C29" s="583">
        <v>0.71099999999999997</v>
      </c>
      <c r="D29" s="584">
        <f>B29+B29*C29</f>
        <v>170862.36908247002</v>
      </c>
      <c r="E29" s="383">
        <v>6.0000000000000001E-3</v>
      </c>
      <c r="F29" s="544">
        <f>D29*E29</f>
        <v>1025.17421449482</v>
      </c>
    </row>
    <row r="30" spans="1:6">
      <c r="A30" s="581"/>
      <c r="B30" s="582"/>
      <c r="C30" s="583"/>
      <c r="D30" s="584"/>
      <c r="E30" s="383"/>
      <c r="F30" s="544"/>
    </row>
    <row r="31" spans="1:6" ht="14" thickBot="1">
      <c r="A31" s="585"/>
      <c r="B31" s="586"/>
      <c r="C31" s="587"/>
      <c r="D31" s="587"/>
      <c r="E31" s="588"/>
      <c r="F31" s="589"/>
    </row>
    <row r="32" spans="1:6" ht="14" thickBot="1">
      <c r="A32" s="551"/>
      <c r="B32" s="551"/>
      <c r="C32" s="551"/>
      <c r="D32" s="551"/>
      <c r="E32" s="563" t="s">
        <v>572</v>
      </c>
      <c r="F32" s="564">
        <f>+SUM(F29:F31)</f>
        <v>1025.17421449482</v>
      </c>
    </row>
    <row r="33" spans="1:7" ht="14" thickBot="1">
      <c r="A33" s="551"/>
      <c r="B33" s="551"/>
      <c r="C33" s="551"/>
      <c r="D33" s="551"/>
      <c r="E33" s="551"/>
      <c r="F33" s="590"/>
    </row>
    <row r="34" spans="1:7" ht="14" thickBot="1">
      <c r="A34" s="551"/>
      <c r="B34" s="551"/>
      <c r="C34" s="313" t="s">
        <v>580</v>
      </c>
      <c r="D34" s="591"/>
      <c r="E34" s="312"/>
      <c r="F34" s="592">
        <f>F14+F20+F26+F32</f>
        <v>1507.6234409296646</v>
      </c>
    </row>
    <row r="36" spans="1:7" ht="33" customHeight="1">
      <c r="A36" s="762" t="str">
        <f>PRESUPUESTO!B11</f>
        <v>LIMPIEZA MANUAL DE CUNETAS CON ANCHO PROMEDIO DE 50 CM, INCLUYE RETIRO DE SEDIMENTOS Y MATERIAL VEGETAL</v>
      </c>
      <c r="B36" s="763"/>
      <c r="C36" s="763"/>
      <c r="D36" s="764"/>
      <c r="E36" s="548" t="s">
        <v>582</v>
      </c>
      <c r="F36" s="548" t="str">
        <f>PRESUPUESTO!C11</f>
        <v>ML</v>
      </c>
      <c r="G36" s="549"/>
    </row>
    <row r="38" spans="1:7" ht="14" thickBot="1">
      <c r="A38" s="550" t="s">
        <v>568</v>
      </c>
      <c r="B38" s="550"/>
      <c r="C38" s="551"/>
      <c r="D38" s="551"/>
      <c r="E38" s="551"/>
      <c r="F38" s="551"/>
    </row>
    <row r="39" spans="1:7" ht="14" thickBot="1">
      <c r="A39" s="760" t="s">
        <v>19</v>
      </c>
      <c r="B39" s="765"/>
      <c r="C39" s="552" t="s">
        <v>20</v>
      </c>
      <c r="D39" s="553" t="s">
        <v>569</v>
      </c>
      <c r="E39" s="552" t="s">
        <v>22</v>
      </c>
      <c r="F39" s="554" t="s">
        <v>570</v>
      </c>
    </row>
    <row r="40" spans="1:7">
      <c r="A40" s="774" t="s">
        <v>742</v>
      </c>
      <c r="B40" s="775"/>
      <c r="C40" s="541" t="s">
        <v>738</v>
      </c>
      <c r="D40" s="542">
        <v>1300</v>
      </c>
      <c r="E40" s="558">
        <v>7.0000000000000007E-2</v>
      </c>
      <c r="F40" s="557">
        <f t="shared" ref="F40:F41" si="2">D40*E40</f>
        <v>91.000000000000014</v>
      </c>
    </row>
    <row r="41" spans="1:7" ht="22.5" customHeight="1">
      <c r="A41" s="766" t="s">
        <v>739</v>
      </c>
      <c r="B41" s="767"/>
      <c r="C41" s="541" t="s">
        <v>83</v>
      </c>
      <c r="D41" s="545">
        <f>F61</f>
        <v>3588.1097507318705</v>
      </c>
      <c r="E41" s="546">
        <v>0.03</v>
      </c>
      <c r="F41" s="557">
        <f t="shared" si="2"/>
        <v>107.64329252195611</v>
      </c>
    </row>
    <row r="42" spans="1:7" ht="14" thickBot="1">
      <c r="A42" s="768"/>
      <c r="B42" s="769"/>
      <c r="C42" s="559"/>
      <c r="D42" s="560"/>
      <c r="E42" s="561"/>
      <c r="F42" s="562"/>
    </row>
    <row r="43" spans="1:7" ht="14" thickBot="1">
      <c r="A43" s="551"/>
      <c r="B43" s="551"/>
      <c r="C43" s="551"/>
      <c r="D43" s="551"/>
      <c r="E43" s="563" t="s">
        <v>572</v>
      </c>
      <c r="F43" s="564">
        <f>+SUM(F40:F42)</f>
        <v>198.64329252195614</v>
      </c>
    </row>
    <row r="44" spans="1:7" ht="14" thickBot="1">
      <c r="A44" s="550" t="s">
        <v>573</v>
      </c>
      <c r="B44" s="550"/>
      <c r="C44" s="551"/>
      <c r="D44" s="551"/>
      <c r="E44" s="551"/>
      <c r="F44" s="551"/>
    </row>
    <row r="45" spans="1:7" ht="14" thickBot="1">
      <c r="A45" s="760" t="s">
        <v>19</v>
      </c>
      <c r="B45" s="765"/>
      <c r="C45" s="552" t="s">
        <v>28</v>
      </c>
      <c r="D45" s="552" t="s">
        <v>574</v>
      </c>
      <c r="E45" s="552" t="s">
        <v>30</v>
      </c>
      <c r="F45" s="554" t="s">
        <v>570</v>
      </c>
    </row>
    <row r="46" spans="1:7" ht="26.25" customHeight="1">
      <c r="A46" s="755" t="s">
        <v>740</v>
      </c>
      <c r="B46" s="756"/>
      <c r="C46" s="541" t="s">
        <v>741</v>
      </c>
      <c r="D46" s="545">
        <v>10000</v>
      </c>
      <c r="E46" s="547">
        <v>0.01</v>
      </c>
      <c r="F46" s="557">
        <f t="shared" ref="F46" si="3">D46*E46</f>
        <v>100</v>
      </c>
    </row>
    <row r="47" spans="1:7">
      <c r="A47" s="757"/>
      <c r="B47" s="758"/>
      <c r="C47" s="565"/>
      <c r="D47" s="566"/>
      <c r="E47" s="567"/>
      <c r="F47" s="568"/>
    </row>
    <row r="48" spans="1:7" ht="14" thickBot="1">
      <c r="A48" s="753"/>
      <c r="B48" s="759"/>
      <c r="C48" s="559"/>
      <c r="D48" s="560"/>
      <c r="E48" s="569"/>
      <c r="F48" s="562"/>
    </row>
    <row r="49" spans="1:6" ht="14" thickBot="1">
      <c r="A49" s="551"/>
      <c r="B49" s="551"/>
      <c r="C49" s="551"/>
      <c r="D49" s="551"/>
      <c r="E49" s="563" t="s">
        <v>572</v>
      </c>
      <c r="F49" s="570">
        <f>+SUM(F46:F48)</f>
        <v>100</v>
      </c>
    </row>
    <row r="50" spans="1:6" ht="14" thickBot="1">
      <c r="A50" s="571" t="s">
        <v>575</v>
      </c>
      <c r="B50" s="571"/>
      <c r="C50" s="551"/>
      <c r="D50" s="551"/>
      <c r="E50" s="551"/>
      <c r="F50" s="551"/>
    </row>
    <row r="51" spans="1:6" ht="14" thickBot="1">
      <c r="A51" s="760" t="s">
        <v>576</v>
      </c>
      <c r="B51" s="761"/>
      <c r="C51" s="552" t="s">
        <v>28</v>
      </c>
      <c r="D51" s="552" t="s">
        <v>574</v>
      </c>
      <c r="E51" s="552" t="s">
        <v>30</v>
      </c>
      <c r="F51" s="554" t="s">
        <v>570</v>
      </c>
    </row>
    <row r="52" spans="1:6" ht="21" customHeight="1">
      <c r="A52" s="755" t="s">
        <v>635</v>
      </c>
      <c r="B52" s="756"/>
      <c r="C52" s="381" t="s">
        <v>54</v>
      </c>
      <c r="D52" s="382">
        <v>300000</v>
      </c>
      <c r="E52" s="543">
        <v>8.0000000000000004E-4</v>
      </c>
      <c r="F52" s="384">
        <f>D52*E52</f>
        <v>240</v>
      </c>
    </row>
    <row r="53" spans="1:6">
      <c r="A53" s="751"/>
      <c r="B53" s="752"/>
      <c r="C53" s="572"/>
      <c r="D53" s="573"/>
      <c r="E53" s="574"/>
      <c r="F53" s="575"/>
    </row>
    <row r="54" spans="1:6" ht="14" thickBot="1">
      <c r="A54" s="753"/>
      <c r="B54" s="754"/>
      <c r="C54" s="560"/>
      <c r="D54" s="576"/>
      <c r="E54" s="577"/>
      <c r="F54" s="578"/>
    </row>
    <row r="55" spans="1:6" ht="14" thickBot="1">
      <c r="A55" s="551"/>
      <c r="B55" s="551"/>
      <c r="C55" s="551"/>
      <c r="D55" s="551"/>
      <c r="E55" s="563" t="s">
        <v>572</v>
      </c>
      <c r="F55" s="564">
        <f>+SUM(F52:F54)</f>
        <v>240</v>
      </c>
    </row>
    <row r="56" spans="1:6" ht="14" thickBot="1">
      <c r="A56" s="571" t="s">
        <v>577</v>
      </c>
      <c r="B56" s="571"/>
      <c r="C56" s="551"/>
      <c r="D56" s="551"/>
      <c r="E56" s="551"/>
      <c r="F56" s="551"/>
    </row>
    <row r="57" spans="1:6" ht="14" thickBot="1">
      <c r="A57" s="579" t="s">
        <v>578</v>
      </c>
      <c r="B57" s="580" t="s">
        <v>581</v>
      </c>
      <c r="C57" s="552" t="s">
        <v>579</v>
      </c>
      <c r="D57" s="553" t="s">
        <v>34</v>
      </c>
      <c r="E57" s="580" t="s">
        <v>22</v>
      </c>
      <c r="F57" s="554" t="s">
        <v>570</v>
      </c>
    </row>
    <row r="58" spans="1:6" ht="18" customHeight="1">
      <c r="A58" s="581" t="str">
        <f>'MANO DE OBRA'!C29</f>
        <v>Ayudante A</v>
      </c>
      <c r="B58" s="582">
        <f>'MANO DE OBRA'!F29</f>
        <v>99861.115770000004</v>
      </c>
      <c r="C58" s="583">
        <v>0.71099999999999997</v>
      </c>
      <c r="D58" s="584">
        <f>B58+B58*C58</f>
        <v>170862.36908247002</v>
      </c>
      <c r="E58" s="383">
        <v>2.1000000000000001E-2</v>
      </c>
      <c r="F58" s="544">
        <f>D58*E58</f>
        <v>3588.1097507318705</v>
      </c>
    </row>
    <row r="59" spans="1:6">
      <c r="A59" s="581"/>
      <c r="B59" s="582"/>
      <c r="C59" s="583"/>
      <c r="D59" s="584"/>
      <c r="E59" s="383"/>
      <c r="F59" s="544"/>
    </row>
    <row r="60" spans="1:6" ht="14" thickBot="1">
      <c r="A60" s="585"/>
      <c r="B60" s="586"/>
      <c r="C60" s="587"/>
      <c r="D60" s="587"/>
      <c r="E60" s="588"/>
      <c r="F60" s="589"/>
    </row>
    <row r="61" spans="1:6" ht="14" thickBot="1">
      <c r="A61" s="551"/>
      <c r="B61" s="551"/>
      <c r="C61" s="551"/>
      <c r="D61" s="551"/>
      <c r="E61" s="563" t="s">
        <v>572</v>
      </c>
      <c r="F61" s="564">
        <f>+SUM(F58:F60)</f>
        <v>3588.1097507318705</v>
      </c>
    </row>
    <row r="62" spans="1:6" ht="14" thickBot="1">
      <c r="A62" s="551"/>
      <c r="B62" s="551"/>
      <c r="C62" s="551"/>
      <c r="D62" s="551"/>
      <c r="E62" s="551"/>
      <c r="F62" s="590"/>
    </row>
    <row r="63" spans="1:6" ht="14" thickBot="1">
      <c r="A63" s="551"/>
      <c r="B63" s="551"/>
      <c r="C63" s="313" t="s">
        <v>580</v>
      </c>
      <c r="D63" s="591"/>
      <c r="E63" s="312"/>
      <c r="F63" s="592">
        <f>F43+F49+F55+F61</f>
        <v>4126.7530432538269</v>
      </c>
    </row>
    <row r="64" spans="1:6">
      <c r="A64" s="551"/>
      <c r="B64" s="551"/>
      <c r="C64" s="313"/>
      <c r="D64" s="591"/>
      <c r="E64" s="312"/>
      <c r="F64" s="628"/>
    </row>
    <row r="65" spans="1:7" ht="42.75" customHeight="1">
      <c r="A65" s="762" t="str">
        <f>PRESUPUESTO!B12</f>
        <v>EXCAVACIÓN PARA LA CONFORMACIÓN MANUAL DE CUNETAS EN TERRENO NATURAL, ANCHO PROMEDIO DE 50 CM, H=40 CM. INCLUYE DESCAPOTE</v>
      </c>
      <c r="B65" s="763"/>
      <c r="C65" s="763"/>
      <c r="D65" s="764"/>
      <c r="E65" s="548" t="s">
        <v>582</v>
      </c>
      <c r="F65" s="548" t="str">
        <f>PRESUPUESTO!C12</f>
        <v>ML</v>
      </c>
      <c r="G65" s="549"/>
    </row>
    <row r="67" spans="1:7" ht="14" thickBot="1">
      <c r="A67" s="550" t="s">
        <v>568</v>
      </c>
      <c r="B67" s="550"/>
      <c r="C67" s="551"/>
      <c r="D67" s="551"/>
      <c r="E67" s="551"/>
      <c r="F67" s="551"/>
    </row>
    <row r="68" spans="1:7" ht="14" thickBot="1">
      <c r="A68" s="760" t="s">
        <v>19</v>
      </c>
      <c r="B68" s="765"/>
      <c r="C68" s="552" t="s">
        <v>20</v>
      </c>
      <c r="D68" s="553" t="s">
        <v>569</v>
      </c>
      <c r="E68" s="552" t="s">
        <v>22</v>
      </c>
      <c r="F68" s="554" t="s">
        <v>570</v>
      </c>
    </row>
    <row r="69" spans="1:7" ht="22.5" customHeight="1">
      <c r="A69" s="766" t="s">
        <v>739</v>
      </c>
      <c r="B69" s="767"/>
      <c r="C69" s="541" t="s">
        <v>83</v>
      </c>
      <c r="D69" s="545">
        <f>F89</f>
        <v>11960.365835772902</v>
      </c>
      <c r="E69" s="546">
        <v>0.03</v>
      </c>
      <c r="F69" s="557">
        <f t="shared" ref="F69" si="4">D69*E69</f>
        <v>358.81097507318702</v>
      </c>
    </row>
    <row r="70" spans="1:7" ht="14" thickBot="1">
      <c r="A70" s="768"/>
      <c r="B70" s="769"/>
      <c r="C70" s="559"/>
      <c r="D70" s="560"/>
      <c r="E70" s="561"/>
      <c r="F70" s="562"/>
    </row>
    <row r="71" spans="1:7" ht="14" thickBot="1">
      <c r="A71" s="551"/>
      <c r="B71" s="551"/>
      <c r="C71" s="551"/>
      <c r="D71" s="551"/>
      <c r="E71" s="563" t="s">
        <v>572</v>
      </c>
      <c r="F71" s="564">
        <f>+SUM(F69:F70)</f>
        <v>358.81097507318702</v>
      </c>
    </row>
    <row r="72" spans="1:7" ht="14" thickBot="1">
      <c r="A72" s="550" t="s">
        <v>573</v>
      </c>
      <c r="B72" s="550"/>
      <c r="C72" s="551"/>
      <c r="D72" s="551"/>
      <c r="E72" s="551"/>
      <c r="F72" s="551"/>
    </row>
    <row r="73" spans="1:7" ht="14" thickBot="1">
      <c r="A73" s="760" t="s">
        <v>19</v>
      </c>
      <c r="B73" s="765"/>
      <c r="C73" s="552" t="s">
        <v>28</v>
      </c>
      <c r="D73" s="552" t="s">
        <v>574</v>
      </c>
      <c r="E73" s="552" t="s">
        <v>30</v>
      </c>
      <c r="F73" s="554" t="s">
        <v>570</v>
      </c>
    </row>
    <row r="74" spans="1:7" ht="26.25" customHeight="1">
      <c r="A74" s="755"/>
      <c r="B74" s="756"/>
      <c r="C74" s="541"/>
      <c r="D74" s="545"/>
      <c r="E74" s="547"/>
      <c r="F74" s="557"/>
    </row>
    <row r="75" spans="1:7">
      <c r="A75" s="757"/>
      <c r="B75" s="758"/>
      <c r="C75" s="565"/>
      <c r="D75" s="566"/>
      <c r="E75" s="567"/>
      <c r="F75" s="568"/>
    </row>
    <row r="76" spans="1:7" ht="14" thickBot="1">
      <c r="A76" s="753"/>
      <c r="B76" s="759"/>
      <c r="C76" s="559"/>
      <c r="D76" s="560"/>
      <c r="E76" s="569"/>
      <c r="F76" s="562"/>
    </row>
    <row r="77" spans="1:7" ht="14" thickBot="1">
      <c r="A77" s="551"/>
      <c r="B77" s="551"/>
      <c r="C77" s="551"/>
      <c r="D77" s="551"/>
      <c r="E77" s="563" t="s">
        <v>572</v>
      </c>
      <c r="F77" s="570">
        <f>+SUM(F74:F76)</f>
        <v>0</v>
      </c>
    </row>
    <row r="78" spans="1:7" ht="14" thickBot="1">
      <c r="A78" s="571" t="s">
        <v>575</v>
      </c>
      <c r="B78" s="571"/>
      <c r="C78" s="551"/>
      <c r="D78" s="551"/>
      <c r="E78" s="551"/>
      <c r="F78" s="551"/>
    </row>
    <row r="79" spans="1:7" ht="14" thickBot="1">
      <c r="A79" s="760" t="s">
        <v>576</v>
      </c>
      <c r="B79" s="761"/>
      <c r="C79" s="552" t="s">
        <v>28</v>
      </c>
      <c r="D79" s="552" t="s">
        <v>574</v>
      </c>
      <c r="E79" s="552" t="s">
        <v>30</v>
      </c>
      <c r="F79" s="554" t="s">
        <v>570</v>
      </c>
    </row>
    <row r="80" spans="1:7" ht="21" customHeight="1">
      <c r="A80" s="755" t="s">
        <v>635</v>
      </c>
      <c r="B80" s="756"/>
      <c r="C80" s="381" t="s">
        <v>54</v>
      </c>
      <c r="D80" s="382">
        <v>300000</v>
      </c>
      <c r="E80" s="543">
        <v>2.9999999999999997E-4</v>
      </c>
      <c r="F80" s="384">
        <f>D80*E80</f>
        <v>89.999999999999986</v>
      </c>
    </row>
    <row r="81" spans="1:6">
      <c r="A81" s="751"/>
      <c r="B81" s="752"/>
      <c r="C81" s="572"/>
      <c r="D81" s="573"/>
      <c r="E81" s="574"/>
      <c r="F81" s="575"/>
    </row>
    <row r="82" spans="1:6" ht="14" thickBot="1">
      <c r="A82" s="753"/>
      <c r="B82" s="754"/>
      <c r="C82" s="560"/>
      <c r="D82" s="576"/>
      <c r="E82" s="577"/>
      <c r="F82" s="578"/>
    </row>
    <row r="83" spans="1:6" ht="14" thickBot="1">
      <c r="A83" s="551"/>
      <c r="B83" s="551"/>
      <c r="C83" s="551"/>
      <c r="D83" s="551"/>
      <c r="E83" s="563" t="s">
        <v>572</v>
      </c>
      <c r="F83" s="564">
        <f>+SUM(F80:F82)</f>
        <v>89.999999999999986</v>
      </c>
    </row>
    <row r="84" spans="1:6" ht="14" thickBot="1">
      <c r="A84" s="571" t="s">
        <v>577</v>
      </c>
      <c r="B84" s="571"/>
      <c r="C84" s="551"/>
      <c r="D84" s="551"/>
      <c r="E84" s="551"/>
      <c r="F84" s="551"/>
    </row>
    <row r="85" spans="1:6" ht="14" thickBot="1">
      <c r="A85" s="579" t="s">
        <v>578</v>
      </c>
      <c r="B85" s="580" t="s">
        <v>581</v>
      </c>
      <c r="C85" s="552" t="s">
        <v>579</v>
      </c>
      <c r="D85" s="553" t="s">
        <v>34</v>
      </c>
      <c r="E85" s="580" t="s">
        <v>22</v>
      </c>
      <c r="F85" s="554" t="s">
        <v>570</v>
      </c>
    </row>
    <row r="86" spans="1:6" ht="18" customHeight="1">
      <c r="A86" s="581" t="str">
        <f>'[4]MANO DE OBRA'!C58</f>
        <v>Oficial A Instalaciones</v>
      </c>
      <c r="B86" s="582">
        <f>'MANO DE OBRA'!D7</f>
        <v>99861.115770000004</v>
      </c>
      <c r="C86" s="583">
        <v>0.71099999999999997</v>
      </c>
      <c r="D86" s="584">
        <f>B86+B86*C86</f>
        <v>170862.36908247002</v>
      </c>
      <c r="E86" s="383">
        <v>7.0000000000000007E-2</v>
      </c>
      <c r="F86" s="544">
        <f>D86*E86</f>
        <v>11960.365835772902</v>
      </c>
    </row>
    <row r="87" spans="1:6">
      <c r="A87" s="581"/>
      <c r="B87" s="582"/>
      <c r="C87" s="583"/>
      <c r="D87" s="584"/>
      <c r="E87" s="383"/>
      <c r="F87" s="544"/>
    </row>
    <row r="88" spans="1:6" ht="14" thickBot="1">
      <c r="A88" s="585"/>
      <c r="B88" s="586"/>
      <c r="C88" s="587"/>
      <c r="D88" s="587"/>
      <c r="E88" s="588"/>
      <c r="F88" s="589"/>
    </row>
    <row r="89" spans="1:6" ht="14" thickBot="1">
      <c r="A89" s="551"/>
      <c r="B89" s="551"/>
      <c r="C89" s="551"/>
      <c r="D89" s="551"/>
      <c r="E89" s="563" t="s">
        <v>572</v>
      </c>
      <c r="F89" s="564">
        <f>+SUM(F86:F88)</f>
        <v>11960.365835772902</v>
      </c>
    </row>
    <row r="90" spans="1:6" ht="14" thickBot="1">
      <c r="A90" s="551"/>
      <c r="B90" s="551"/>
      <c r="C90" s="551"/>
      <c r="D90" s="551"/>
      <c r="E90" s="551"/>
      <c r="F90" s="590"/>
    </row>
    <row r="91" spans="1:6" ht="14" thickBot="1">
      <c r="A91" s="551"/>
      <c r="B91" s="551"/>
      <c r="C91" s="313" t="s">
        <v>580</v>
      </c>
      <c r="D91" s="591"/>
      <c r="E91" s="312"/>
      <c r="F91" s="592">
        <f>F71+F77+F83+F89</f>
        <v>12409.176810846089</v>
      </c>
    </row>
    <row r="92" spans="1:6">
      <c r="A92" s="551"/>
      <c r="B92" s="551"/>
      <c r="C92" s="313"/>
      <c r="D92" s="591"/>
      <c r="E92" s="312"/>
      <c r="F92" s="628"/>
    </row>
    <row r="93" spans="1:6">
      <c r="A93" s="551"/>
      <c r="B93" s="551"/>
      <c r="C93" s="313"/>
      <c r="D93" s="591"/>
      <c r="E93" s="312"/>
      <c r="F93" s="628"/>
    </row>
    <row r="94" spans="1:6" ht="14">
      <c r="A94" s="373"/>
      <c r="B94" s="371"/>
      <c r="C94" s="372"/>
      <c r="F94" s="593"/>
    </row>
    <row r="95" spans="1:6" ht="14">
      <c r="A95" s="370" t="s">
        <v>629</v>
      </c>
      <c r="B95" s="371"/>
      <c r="C95" s="372"/>
      <c r="F95" s="594"/>
    </row>
    <row r="96" spans="1:6" ht="14">
      <c r="A96" s="370"/>
      <c r="B96" s="371"/>
      <c r="C96" s="372"/>
    </row>
    <row r="97" spans="1:5" ht="14">
      <c r="A97" s="370"/>
      <c r="B97" s="374"/>
      <c r="C97" s="374"/>
    </row>
    <row r="98" spans="1:5" ht="14">
      <c r="A98" s="370"/>
      <c r="B98" s="374"/>
      <c r="C98" s="374"/>
    </row>
    <row r="99" spans="1:5" ht="14">
      <c r="A99" s="350"/>
      <c r="B99" s="374"/>
      <c r="C99" s="374"/>
    </row>
    <row r="100" spans="1:5" ht="16">
      <c r="A100" s="535" t="s">
        <v>733</v>
      </c>
      <c r="B100" s="374"/>
      <c r="C100" s="374"/>
      <c r="D100" s="595"/>
      <c r="E100" s="595"/>
    </row>
    <row r="101" spans="1:5" ht="16">
      <c r="A101" s="535" t="s">
        <v>630</v>
      </c>
      <c r="B101" s="374"/>
      <c r="C101" s="374"/>
    </row>
    <row r="102" spans="1:5" ht="16">
      <c r="A102" s="535" t="s">
        <v>631</v>
      </c>
      <c r="B102" s="374"/>
      <c r="C102" s="374"/>
    </row>
    <row r="103" spans="1:5" ht="16">
      <c r="A103" s="535" t="s">
        <v>632</v>
      </c>
      <c r="B103" s="374"/>
      <c r="C103" s="374"/>
    </row>
    <row r="104" spans="1:5" ht="15">
      <c r="A104" s="536"/>
      <c r="B104" s="538"/>
      <c r="C104" s="538"/>
    </row>
    <row r="105" spans="1:5" ht="15">
      <c r="A105" s="536"/>
      <c r="B105" s="374"/>
      <c r="C105" s="374"/>
    </row>
    <row r="106" spans="1:5" ht="15">
      <c r="A106" s="537"/>
    </row>
    <row r="107" spans="1:5" ht="15">
      <c r="A107" s="536"/>
    </row>
  </sheetData>
  <mergeCells count="45">
    <mergeCell ref="A51:B51"/>
    <mergeCell ref="A52:B52"/>
    <mergeCell ref="A53:B53"/>
    <mergeCell ref="A54:B54"/>
    <mergeCell ref="A36:D36"/>
    <mergeCell ref="A39:B39"/>
    <mergeCell ref="A40:B40"/>
    <mergeCell ref="A41:B41"/>
    <mergeCell ref="A48:B48"/>
    <mergeCell ref="A42:B42"/>
    <mergeCell ref="A45:B45"/>
    <mergeCell ref="A46:B46"/>
    <mergeCell ref="A47:B47"/>
    <mergeCell ref="A9:B9"/>
    <mergeCell ref="A10:B10"/>
    <mergeCell ref="A25:B25"/>
    <mergeCell ref="A11:B11"/>
    <mergeCell ref="A12:B12"/>
    <mergeCell ref="A13:B13"/>
    <mergeCell ref="A16:B16"/>
    <mergeCell ref="A23:B23"/>
    <mergeCell ref="A17:B17"/>
    <mergeCell ref="A18:B18"/>
    <mergeCell ref="A19:B19"/>
    <mergeCell ref="A22:B22"/>
    <mergeCell ref="A24:B24"/>
    <mergeCell ref="A6:D6"/>
    <mergeCell ref="F1:F4"/>
    <mergeCell ref="B2:E2"/>
    <mergeCell ref="B3:E3"/>
    <mergeCell ref="B4:E4"/>
    <mergeCell ref="A1:A4"/>
    <mergeCell ref="B1:E1"/>
    <mergeCell ref="A65:D65"/>
    <mergeCell ref="A68:B68"/>
    <mergeCell ref="A69:B69"/>
    <mergeCell ref="A70:B70"/>
    <mergeCell ref="A73:B73"/>
    <mergeCell ref="A81:B81"/>
    <mergeCell ref="A82:B82"/>
    <mergeCell ref="A74:B74"/>
    <mergeCell ref="A75:B75"/>
    <mergeCell ref="A76:B76"/>
    <mergeCell ref="A79:B79"/>
    <mergeCell ref="A80:B80"/>
  </mergeCells>
  <pageMargins left="0.7" right="0.7" top="0.75" bottom="0.75" header="0.3" footer="0.3"/>
  <pageSetup scale="66" orientation="portrait" r:id="rId1"/>
  <rowBreaks count="2" manualBreakCount="2">
    <brk id="34" max="5" man="1"/>
    <brk id="104" max="5" man="1"/>
  </row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G36"/>
  <sheetViews>
    <sheetView view="pageBreakPreview" zoomScale="60" zoomScaleNormal="100" workbookViewId="0">
      <selection activeCell="H11" sqref="H11"/>
    </sheetView>
  </sheetViews>
  <sheetFormatPr baseColWidth="10" defaultRowHeight="13"/>
  <cols>
    <col min="1" max="1" width="27.3984375" customWidth="1"/>
    <col min="4" max="4" width="16.796875" customWidth="1"/>
    <col min="7" max="7" width="14.796875" customWidth="1"/>
  </cols>
  <sheetData>
    <row r="1" spans="1:7">
      <c r="A1" s="338"/>
      <c r="B1" s="339"/>
      <c r="C1" s="339"/>
      <c r="D1" s="339"/>
      <c r="E1" s="339"/>
      <c r="F1" s="339"/>
      <c r="G1" s="340"/>
    </row>
    <row r="2" spans="1:7">
      <c r="A2" s="341"/>
      <c r="G2" s="342"/>
    </row>
    <row r="3" spans="1:7">
      <c r="A3" s="341"/>
      <c r="G3" s="342"/>
    </row>
    <row r="4" spans="1:7">
      <c r="A4" s="341"/>
      <c r="G4" s="342"/>
    </row>
    <row r="5" spans="1:7">
      <c r="A5" s="341"/>
      <c r="G5" s="342"/>
    </row>
    <row r="6" spans="1:7">
      <c r="A6" s="341"/>
      <c r="G6" s="342"/>
    </row>
    <row r="7" spans="1:7" ht="184.5" customHeight="1">
      <c r="A7" s="640"/>
      <c r="B7" s="643" t="str">
        <f>+'APU '!B1:E1</f>
        <v>PROYECTO: MANTENIMIENTO DE LA VÍA QUE CONDUCE  DE "LA BODEGA" HACIA LA VEREDA "SABANA RUBIA" DEL
 MUNICIPIO DE LA PAZ, DEPARTAMENTO DEL CESAR.</v>
      </c>
      <c r="C7" s="644"/>
      <c r="D7" s="644"/>
      <c r="E7" s="645"/>
      <c r="F7" s="646"/>
      <c r="G7" s="647"/>
    </row>
    <row r="8" spans="1:7" ht="37.5" customHeight="1">
      <c r="A8" s="641"/>
      <c r="B8" s="643" t="s">
        <v>610</v>
      </c>
      <c r="C8" s="644"/>
      <c r="D8" s="644"/>
      <c r="E8" s="645"/>
      <c r="F8" s="648"/>
      <c r="G8" s="649"/>
    </row>
    <row r="9" spans="1:7" ht="39.75" customHeight="1">
      <c r="A9" s="642"/>
      <c r="B9" s="643" t="s">
        <v>611</v>
      </c>
      <c r="C9" s="644"/>
      <c r="D9" s="644"/>
      <c r="E9" s="645"/>
      <c r="F9" s="650"/>
      <c r="G9" s="651"/>
    </row>
    <row r="10" spans="1:7" ht="16.5" customHeight="1">
      <c r="A10" s="341"/>
      <c r="G10" s="342"/>
    </row>
    <row r="11" spans="1:7" ht="16.5" customHeight="1">
      <c r="A11" s="341"/>
      <c r="G11" s="342"/>
    </row>
    <row r="12" spans="1:7">
      <c r="A12" s="341"/>
      <c r="G12" s="342"/>
    </row>
    <row r="13" spans="1:7" ht="15" customHeight="1">
      <c r="A13" s="748" t="s">
        <v>695</v>
      </c>
      <c r="B13" s="749"/>
      <c r="C13" s="749"/>
      <c r="D13" s="749"/>
      <c r="E13" s="749"/>
      <c r="F13" s="749"/>
      <c r="G13" s="750"/>
    </row>
    <row r="14" spans="1:7" ht="15" customHeight="1">
      <c r="A14" s="748"/>
      <c r="B14" s="749"/>
      <c r="C14" s="749"/>
      <c r="D14" s="749"/>
      <c r="E14" s="749"/>
      <c r="F14" s="749"/>
      <c r="G14" s="750"/>
    </row>
    <row r="15" spans="1:7" ht="15" customHeight="1">
      <c r="A15" s="748"/>
      <c r="B15" s="749"/>
      <c r="C15" s="749"/>
      <c r="D15" s="749"/>
      <c r="E15" s="749"/>
      <c r="F15" s="749"/>
      <c r="G15" s="750"/>
    </row>
    <row r="16" spans="1:7" ht="15" customHeight="1">
      <c r="A16" s="748"/>
      <c r="B16" s="749"/>
      <c r="C16" s="749"/>
      <c r="D16" s="749"/>
      <c r="E16" s="749"/>
      <c r="F16" s="749"/>
      <c r="G16" s="750"/>
    </row>
    <row r="17" spans="1:7" ht="15" customHeight="1">
      <c r="A17" s="748"/>
      <c r="B17" s="749"/>
      <c r="C17" s="749"/>
      <c r="D17" s="749"/>
      <c r="E17" s="749"/>
      <c r="F17" s="749"/>
      <c r="G17" s="750"/>
    </row>
    <row r="18" spans="1:7">
      <c r="A18" s="748"/>
      <c r="B18" s="749"/>
      <c r="C18" s="749"/>
      <c r="D18" s="749"/>
      <c r="E18" s="749"/>
      <c r="F18" s="749"/>
      <c r="G18" s="750"/>
    </row>
    <row r="19" spans="1:7">
      <c r="A19" s="748"/>
      <c r="B19" s="749"/>
      <c r="C19" s="749"/>
      <c r="D19" s="749"/>
      <c r="E19" s="749"/>
      <c r="F19" s="749"/>
      <c r="G19" s="750"/>
    </row>
    <row r="20" spans="1:7">
      <c r="A20" s="748"/>
      <c r="B20" s="749"/>
      <c r="C20" s="749"/>
      <c r="D20" s="749"/>
      <c r="E20" s="749"/>
      <c r="F20" s="749"/>
      <c r="G20" s="750"/>
    </row>
    <row r="21" spans="1:7" ht="12.75" customHeight="1">
      <c r="A21" s="748"/>
      <c r="B21" s="749"/>
      <c r="C21" s="749"/>
      <c r="D21" s="749"/>
      <c r="E21" s="749"/>
      <c r="F21" s="749"/>
      <c r="G21" s="750"/>
    </row>
    <row r="22" spans="1:7" ht="12.75" customHeight="1">
      <c r="A22" s="748"/>
      <c r="B22" s="749"/>
      <c r="C22" s="749"/>
      <c r="D22" s="749"/>
      <c r="E22" s="749"/>
      <c r="F22" s="749"/>
      <c r="G22" s="750"/>
    </row>
    <row r="23" spans="1:7" ht="20.25" customHeight="1">
      <c r="A23" s="748"/>
      <c r="B23" s="749"/>
      <c r="C23" s="749"/>
      <c r="D23" s="749"/>
      <c r="E23" s="749"/>
      <c r="F23" s="749"/>
      <c r="G23" s="750"/>
    </row>
    <row r="24" spans="1:7" ht="12.75" customHeight="1">
      <c r="A24" s="748"/>
      <c r="B24" s="749"/>
      <c r="C24" s="749"/>
      <c r="D24" s="749"/>
      <c r="E24" s="749"/>
      <c r="F24" s="749"/>
      <c r="G24" s="750"/>
    </row>
    <row r="25" spans="1:7" ht="24" customHeight="1">
      <c r="A25" s="748"/>
      <c r="B25" s="749"/>
      <c r="C25" s="749"/>
      <c r="D25" s="749"/>
      <c r="E25" s="749"/>
      <c r="F25" s="749"/>
      <c r="G25" s="750"/>
    </row>
    <row r="26" spans="1:7">
      <c r="A26" s="341"/>
      <c r="G26" s="342"/>
    </row>
    <row r="27" spans="1:7">
      <c r="A27" s="341"/>
      <c r="G27" s="342"/>
    </row>
    <row r="28" spans="1:7">
      <c r="A28" s="341"/>
      <c r="G28" s="342"/>
    </row>
    <row r="29" spans="1:7">
      <c r="A29" s="341"/>
      <c r="G29" s="342"/>
    </row>
    <row r="30" spans="1:7">
      <c r="A30" s="341"/>
      <c r="G30" s="342"/>
    </row>
    <row r="31" spans="1:7">
      <c r="A31" s="341"/>
      <c r="G31" s="342"/>
    </row>
    <row r="32" spans="1:7">
      <c r="A32" s="341"/>
      <c r="G32" s="342"/>
    </row>
    <row r="33" spans="1:7">
      <c r="A33" s="341"/>
      <c r="G33" s="342"/>
    </row>
    <row r="34" spans="1:7">
      <c r="A34" s="341"/>
      <c r="G34" s="342"/>
    </row>
    <row r="35" spans="1:7">
      <c r="A35" s="341"/>
      <c r="G35" s="342"/>
    </row>
    <row r="36" spans="1:7" ht="14" thickBot="1">
      <c r="A36" s="343"/>
      <c r="B36" s="307"/>
      <c r="C36" s="307"/>
      <c r="D36" s="307"/>
      <c r="E36" s="307"/>
      <c r="F36" s="307"/>
      <c r="G36" s="344"/>
    </row>
  </sheetData>
  <mergeCells count="6">
    <mergeCell ref="A13:G25"/>
    <mergeCell ref="A7:A9"/>
    <mergeCell ref="B7:E7"/>
    <mergeCell ref="F7:G9"/>
    <mergeCell ref="B8:E8"/>
    <mergeCell ref="B9:E9"/>
  </mergeCells>
  <pageMargins left="0.7" right="0.7" top="0.75" bottom="0.75" header="0.3" footer="0.3"/>
  <pageSetup scale="87"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H25"/>
  <sheetViews>
    <sheetView view="pageBreakPreview" topLeftCell="A8" zoomScale="115" zoomScaleNormal="100" zoomScaleSheetLayoutView="115" workbookViewId="0">
      <selection activeCell="D10" sqref="D10"/>
    </sheetView>
  </sheetViews>
  <sheetFormatPr baseColWidth="10" defaultRowHeight="13"/>
  <cols>
    <col min="1" max="1" width="11.3984375" style="392"/>
    <col min="2" max="2" width="28.796875" customWidth="1"/>
    <col min="8" max="8" width="16.59765625" customWidth="1"/>
  </cols>
  <sheetData>
    <row r="1" spans="1:8" ht="97.5" customHeight="1">
      <c r="A1" s="786"/>
      <c r="B1" s="787"/>
      <c r="C1" s="779" t="str">
        <f>CRONOGRAMA!B1</f>
        <v>PROYECTO: MANTENIMIENTO DE LA VÍA QUE CONDUCE  DE "LA BODEGA" HACIA LA VEREDA "SABANA RUBIA" DEL
 MUNICIPIO DE LA PAZ, DEPARTAMENTO DEL CESAR.</v>
      </c>
      <c r="D1" s="780"/>
      <c r="E1" s="780"/>
      <c r="F1" s="780"/>
      <c r="G1" s="781"/>
      <c r="H1" s="770"/>
    </row>
    <row r="2" spans="1:8" ht="14">
      <c r="A2" s="788"/>
      <c r="B2" s="789"/>
      <c r="C2" s="782" t="s">
        <v>610</v>
      </c>
      <c r="D2" s="644"/>
      <c r="E2" s="644"/>
      <c r="F2" s="644"/>
      <c r="G2" s="645"/>
      <c r="H2" s="771"/>
    </row>
    <row r="3" spans="1:8" ht="14">
      <c r="A3" s="788"/>
      <c r="B3" s="789"/>
      <c r="C3" s="782" t="s">
        <v>611</v>
      </c>
      <c r="D3" s="644"/>
      <c r="E3" s="644"/>
      <c r="F3" s="644"/>
      <c r="G3" s="645"/>
      <c r="H3" s="771"/>
    </row>
    <row r="4" spans="1:8" ht="15" thickBot="1">
      <c r="A4" s="790"/>
      <c r="B4" s="791"/>
      <c r="C4" s="783" t="s">
        <v>694</v>
      </c>
      <c r="D4" s="784"/>
      <c r="E4" s="784"/>
      <c r="F4" s="784"/>
      <c r="G4" s="785"/>
      <c r="H4" s="772"/>
    </row>
    <row r="5" spans="1:8">
      <c r="B5" s="777"/>
      <c r="C5" s="777"/>
      <c r="D5" s="777"/>
      <c r="E5" s="777"/>
      <c r="F5" s="777"/>
      <c r="G5" s="777"/>
      <c r="H5" s="777"/>
    </row>
    <row r="6" spans="1:8">
      <c r="B6" s="778"/>
      <c r="C6" s="778"/>
      <c r="D6" s="778"/>
      <c r="E6" s="778"/>
      <c r="F6" s="778"/>
      <c r="G6" s="778"/>
      <c r="H6" s="778"/>
    </row>
    <row r="7" spans="1:8">
      <c r="A7" s="627" t="s">
        <v>749</v>
      </c>
      <c r="B7" s="295" t="s">
        <v>1</v>
      </c>
      <c r="C7" s="296" t="s">
        <v>2</v>
      </c>
      <c r="D7" s="296" t="s">
        <v>566</v>
      </c>
      <c r="E7" s="296" t="s">
        <v>565</v>
      </c>
      <c r="F7" s="296" t="s">
        <v>564</v>
      </c>
      <c r="G7" s="296" t="s">
        <v>3</v>
      </c>
      <c r="H7" s="297" t="s">
        <v>567</v>
      </c>
    </row>
    <row r="8" spans="1:8" ht="14">
      <c r="A8" s="776" t="str">
        <f>PRESUPUESTO!B9</f>
        <v>MANTENIMIENTO VIAL</v>
      </c>
      <c r="B8" s="776"/>
      <c r="C8" s="776"/>
      <c r="D8" s="776"/>
      <c r="E8" s="776"/>
      <c r="F8" s="776"/>
      <c r="G8" s="776"/>
      <c r="H8" s="776"/>
    </row>
    <row r="9" spans="1:8" ht="105" customHeight="1">
      <c r="A9" s="626" t="s">
        <v>620</v>
      </c>
      <c r="B9" s="1" t="str">
        <f>PRESUPUESTO!B10</f>
        <v>ROCERÍA Y LIMPIEZA GENERAL DE VEGETACIÓN EN ZONA DE INFLUENCIA VIAL, INCLUYE DESMONTE DE MALEZA, DESTRONQUE, RECOLECCIÓN Y RETIRO DE MATERIAL VEGETAL Y RESIDUOS EXISTENTES.</v>
      </c>
      <c r="C9" s="2" t="s">
        <v>4</v>
      </c>
      <c r="D9" s="615">
        <v>2900</v>
      </c>
      <c r="E9" s="2">
        <v>1.6</v>
      </c>
      <c r="F9" s="2"/>
      <c r="G9" s="2">
        <v>2</v>
      </c>
      <c r="H9" s="299">
        <f>(D9*E9)*G9</f>
        <v>9280</v>
      </c>
    </row>
    <row r="10" spans="1:8" ht="84">
      <c r="A10" s="626" t="s">
        <v>621</v>
      </c>
      <c r="B10" s="1" t="str">
        <f>PRESUPUESTO!B11</f>
        <v>LIMPIEZA MANUAL DE CUNETAS CON ANCHO PROMEDIO DE 50 CM, INCLUYE RETIRO DE SEDIMENTOS Y MATERIAL VEGETAL</v>
      </c>
      <c r="C10" s="2" t="s">
        <v>9</v>
      </c>
      <c r="D10" s="2">
        <v>1500</v>
      </c>
      <c r="E10" s="2">
        <v>0.5</v>
      </c>
      <c r="F10" s="2"/>
      <c r="G10" s="2">
        <v>2</v>
      </c>
      <c r="H10" s="299">
        <f>D10*G10</f>
        <v>3000</v>
      </c>
    </row>
    <row r="11" spans="1:8" ht="98">
      <c r="A11" s="626" t="s">
        <v>750</v>
      </c>
      <c r="B11" s="1" t="str">
        <f>PRESUPUESTO!B12</f>
        <v>EXCAVACIÓN PARA LA CONFORMACIÓN MANUAL DE CUNETAS EN TERRENO NATURAL, ANCHO PROMEDIO DE 50 CM, H=40 CM. INCLUYE DESCAPOTE</v>
      </c>
      <c r="C11" s="2" t="s">
        <v>9</v>
      </c>
      <c r="D11" s="2">
        <v>450</v>
      </c>
      <c r="E11" s="2">
        <v>0.5</v>
      </c>
      <c r="F11" s="2"/>
      <c r="G11" s="2">
        <v>2</v>
      </c>
      <c r="H11" s="299">
        <f>D11*G11</f>
        <v>900</v>
      </c>
    </row>
    <row r="12" spans="1:8" ht="14">
      <c r="B12" s="373"/>
      <c r="C12" s="371"/>
      <c r="D12" s="372"/>
      <c r="G12" s="337"/>
    </row>
    <row r="13" spans="1:8" ht="14">
      <c r="B13" s="370" t="s">
        <v>629</v>
      </c>
      <c r="C13" s="371"/>
      <c r="D13" s="372"/>
      <c r="G13" s="336"/>
    </row>
    <row r="14" spans="1:8" ht="14">
      <c r="B14" s="370"/>
      <c r="C14" s="371"/>
      <c r="D14" s="372"/>
    </row>
    <row r="15" spans="1:8" ht="14">
      <c r="B15" s="370"/>
      <c r="C15" s="375"/>
      <c r="D15" s="375"/>
    </row>
    <row r="16" spans="1:8" ht="14">
      <c r="B16" s="370"/>
      <c r="C16" s="375"/>
      <c r="D16" s="375"/>
    </row>
    <row r="17" spans="2:6" ht="14">
      <c r="B17" s="350"/>
      <c r="C17" s="375"/>
      <c r="D17" s="375"/>
    </row>
    <row r="18" spans="2:6" ht="16">
      <c r="B18" s="535" t="s">
        <v>733</v>
      </c>
      <c r="C18" s="375"/>
      <c r="D18" s="375"/>
      <c r="E18" s="6"/>
      <c r="F18" s="6"/>
    </row>
    <row r="19" spans="2:6" ht="16">
      <c r="B19" s="535" t="s">
        <v>630</v>
      </c>
      <c r="C19" s="375"/>
      <c r="D19" s="375"/>
    </row>
    <row r="20" spans="2:6" ht="16">
      <c r="B20" s="535" t="s">
        <v>631</v>
      </c>
      <c r="C20" s="375"/>
      <c r="D20" s="375"/>
    </row>
    <row r="21" spans="2:6" ht="16">
      <c r="B21" s="535" t="s">
        <v>632</v>
      </c>
      <c r="C21" s="375"/>
      <c r="D21" s="375"/>
    </row>
    <row r="22" spans="2:6" ht="15">
      <c r="B22" s="536"/>
      <c r="C22" s="538"/>
      <c r="D22" s="538"/>
    </row>
    <row r="23" spans="2:6" ht="15">
      <c r="B23" s="536"/>
      <c r="C23" s="374"/>
      <c r="D23" s="375"/>
    </row>
    <row r="24" spans="2:6" ht="15">
      <c r="B24" s="537"/>
    </row>
    <row r="25" spans="2:6" ht="15">
      <c r="B25" s="536"/>
    </row>
  </sheetData>
  <mergeCells count="8">
    <mergeCell ref="A8:H8"/>
    <mergeCell ref="B5:H6"/>
    <mergeCell ref="C1:G1"/>
    <mergeCell ref="H1:H4"/>
    <mergeCell ref="C2:G2"/>
    <mergeCell ref="C3:G3"/>
    <mergeCell ref="C4:G4"/>
    <mergeCell ref="A1:B4"/>
  </mergeCells>
  <conditionalFormatting sqref="A8">
    <cfRule type="cellIs" dxfId="6" priority="1" stopIfTrue="1" operator="equal">
      <formula>"ESCRIBA AQUÍ EL NOMBRE DEL CAPITULO"</formula>
    </cfRule>
  </conditionalFormatting>
  <pageMargins left="0.7" right="0.7" top="0.75" bottom="0.75" header="0.3" footer="0.3"/>
  <pageSetup scale="7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G36"/>
  <sheetViews>
    <sheetView view="pageBreakPreview" zoomScaleNormal="100" zoomScaleSheetLayoutView="100" workbookViewId="0">
      <selection activeCell="A26" sqref="A26"/>
    </sheetView>
  </sheetViews>
  <sheetFormatPr baseColWidth="10" defaultRowHeight="13"/>
  <cols>
    <col min="1" max="1" width="27.3984375" customWidth="1"/>
    <col min="4" max="4" width="16.796875" customWidth="1"/>
    <col min="7" max="7" width="14.796875" customWidth="1"/>
  </cols>
  <sheetData>
    <row r="1" spans="1:7">
      <c r="A1" s="338"/>
      <c r="B1" s="339"/>
      <c r="C1" s="339"/>
      <c r="D1" s="339"/>
      <c r="E1" s="339"/>
      <c r="F1" s="339"/>
      <c r="G1" s="340"/>
    </row>
    <row r="2" spans="1:7">
      <c r="A2" s="341"/>
      <c r="G2" s="342"/>
    </row>
    <row r="3" spans="1:7">
      <c r="A3" s="341"/>
      <c r="G3" s="342"/>
    </row>
    <row r="4" spans="1:7">
      <c r="A4" s="341"/>
      <c r="G4" s="342"/>
    </row>
    <row r="5" spans="1:7">
      <c r="A5" s="341"/>
      <c r="G5" s="342"/>
    </row>
    <row r="6" spans="1:7">
      <c r="A6" s="341"/>
      <c r="G6" s="342"/>
    </row>
    <row r="7" spans="1:7" ht="184.5" customHeight="1">
      <c r="A7" s="640"/>
      <c r="B7" s="643" t="str">
        <f>+CANTIDADES!C1</f>
        <v>PROYECTO: MANTENIMIENTO DE LA VÍA QUE CONDUCE  DE "LA BODEGA" HACIA LA VEREDA "SABANA RUBIA" DEL
 MUNICIPIO DE LA PAZ, DEPARTAMENTO DEL CESAR.</v>
      </c>
      <c r="C7" s="644"/>
      <c r="D7" s="644"/>
      <c r="E7" s="645"/>
      <c r="F7" s="646"/>
      <c r="G7" s="647"/>
    </row>
    <row r="8" spans="1:7" ht="37.5" customHeight="1">
      <c r="A8" s="641"/>
      <c r="B8" s="643" t="s">
        <v>610</v>
      </c>
      <c r="C8" s="644"/>
      <c r="D8" s="644"/>
      <c r="E8" s="645"/>
      <c r="F8" s="648"/>
      <c r="G8" s="649"/>
    </row>
    <row r="9" spans="1:7" ht="39.75" customHeight="1">
      <c r="A9" s="642"/>
      <c r="B9" s="643" t="s">
        <v>611</v>
      </c>
      <c r="C9" s="644"/>
      <c r="D9" s="644"/>
      <c r="E9" s="645"/>
      <c r="F9" s="650"/>
      <c r="G9" s="651"/>
    </row>
    <row r="10" spans="1:7" ht="16.5" customHeight="1">
      <c r="A10" s="341"/>
      <c r="G10" s="342"/>
    </row>
    <row r="11" spans="1:7" ht="16.5" customHeight="1">
      <c r="A11" s="341"/>
      <c r="G11" s="342"/>
    </row>
    <row r="12" spans="1:7">
      <c r="A12" s="341"/>
      <c r="G12" s="342"/>
    </row>
    <row r="13" spans="1:7" ht="15" customHeight="1">
      <c r="A13" s="637"/>
      <c r="B13" s="638"/>
      <c r="C13" s="638"/>
      <c r="D13" s="638"/>
      <c r="E13" s="638"/>
      <c r="F13" s="638"/>
      <c r="G13" s="639"/>
    </row>
    <row r="14" spans="1:7" ht="15" customHeight="1">
      <c r="A14" s="637"/>
      <c r="B14" s="638"/>
      <c r="C14" s="638"/>
      <c r="D14" s="638"/>
      <c r="E14" s="638"/>
      <c r="F14" s="638"/>
      <c r="G14" s="639"/>
    </row>
    <row r="15" spans="1:7" ht="15" customHeight="1">
      <c r="A15" s="637"/>
      <c r="B15" s="638"/>
      <c r="C15" s="638"/>
      <c r="D15" s="638"/>
      <c r="E15" s="638"/>
      <c r="F15" s="638"/>
      <c r="G15" s="639"/>
    </row>
    <row r="16" spans="1:7" ht="15" customHeight="1">
      <c r="A16" s="637"/>
      <c r="B16" s="638"/>
      <c r="C16" s="638"/>
      <c r="D16" s="638"/>
      <c r="E16" s="638"/>
      <c r="F16" s="638"/>
      <c r="G16" s="639"/>
    </row>
    <row r="17" spans="1:7" ht="15" customHeight="1">
      <c r="A17" s="637"/>
      <c r="B17" s="638"/>
      <c r="C17" s="638"/>
      <c r="D17" s="638"/>
      <c r="E17" s="638"/>
      <c r="F17" s="638"/>
      <c r="G17" s="639"/>
    </row>
    <row r="18" spans="1:7">
      <c r="A18" s="341"/>
      <c r="G18" s="342"/>
    </row>
    <row r="19" spans="1:7">
      <c r="A19" s="341"/>
      <c r="G19" s="342"/>
    </row>
    <row r="20" spans="1:7">
      <c r="A20" s="341"/>
      <c r="G20" s="342"/>
    </row>
    <row r="21" spans="1:7">
      <c r="A21" s="748" t="s">
        <v>745</v>
      </c>
      <c r="B21" s="749"/>
      <c r="C21" s="749"/>
      <c r="D21" s="749"/>
      <c r="E21" s="749"/>
      <c r="F21" s="749"/>
      <c r="G21" s="750"/>
    </row>
    <row r="22" spans="1:7">
      <c r="A22" s="748"/>
      <c r="B22" s="749"/>
      <c r="C22" s="749"/>
      <c r="D22" s="749"/>
      <c r="E22" s="749"/>
      <c r="F22" s="749"/>
      <c r="G22" s="750"/>
    </row>
    <row r="23" spans="1:7" ht="20.25" customHeight="1">
      <c r="A23" s="748"/>
      <c r="B23" s="749"/>
      <c r="C23" s="749"/>
      <c r="D23" s="749"/>
      <c r="E23" s="749"/>
      <c r="F23" s="749"/>
      <c r="G23" s="750"/>
    </row>
    <row r="24" spans="1:7">
      <c r="A24" s="748"/>
      <c r="B24" s="749"/>
      <c r="C24" s="749"/>
      <c r="D24" s="749"/>
      <c r="E24" s="749"/>
      <c r="F24" s="749"/>
      <c r="G24" s="750"/>
    </row>
    <row r="25" spans="1:7" ht="24" customHeight="1">
      <c r="A25" s="748"/>
      <c r="B25" s="749"/>
      <c r="C25" s="749"/>
      <c r="D25" s="749"/>
      <c r="E25" s="749"/>
      <c r="F25" s="749"/>
      <c r="G25" s="750"/>
    </row>
    <row r="26" spans="1:7">
      <c r="A26" s="341"/>
      <c r="G26" s="342"/>
    </row>
    <row r="27" spans="1:7">
      <c r="A27" s="341"/>
      <c r="G27" s="342"/>
    </row>
    <row r="28" spans="1:7">
      <c r="A28" s="341"/>
      <c r="G28" s="342"/>
    </row>
    <row r="29" spans="1:7">
      <c r="A29" s="341"/>
      <c r="G29" s="342"/>
    </row>
    <row r="30" spans="1:7">
      <c r="A30" s="341"/>
      <c r="G30" s="342"/>
    </row>
    <row r="31" spans="1:7">
      <c r="A31" s="341"/>
      <c r="G31" s="342"/>
    </row>
    <row r="32" spans="1:7">
      <c r="A32" s="341"/>
      <c r="G32" s="342"/>
    </row>
    <row r="33" spans="1:7">
      <c r="A33" s="341"/>
      <c r="G33" s="342"/>
    </row>
    <row r="34" spans="1:7">
      <c r="A34" s="341"/>
      <c r="G34" s="342"/>
    </row>
    <row r="35" spans="1:7">
      <c r="A35" s="341"/>
      <c r="G35" s="342"/>
    </row>
    <row r="36" spans="1:7" ht="14" thickBot="1">
      <c r="A36" s="343"/>
      <c r="B36" s="307"/>
      <c r="C36" s="307"/>
      <c r="D36" s="307"/>
      <c r="E36" s="307"/>
      <c r="F36" s="307"/>
      <c r="G36" s="344"/>
    </row>
  </sheetData>
  <mergeCells count="7">
    <mergeCell ref="A21:G25"/>
    <mergeCell ref="A7:A9"/>
    <mergeCell ref="B7:E7"/>
    <mergeCell ref="F7:G9"/>
    <mergeCell ref="B8:E8"/>
    <mergeCell ref="B9:E9"/>
    <mergeCell ref="A13:G17"/>
  </mergeCells>
  <pageMargins left="0.7" right="0.7" top="0.75" bottom="0.75" header="0.3" footer="0.3"/>
  <pageSetup scale="87"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IV121"/>
  <sheetViews>
    <sheetView view="pageBreakPreview" topLeftCell="A16" zoomScale="85" zoomScaleNormal="100" zoomScaleSheetLayoutView="85" workbookViewId="0">
      <selection activeCell="A119" sqref="A119:A121"/>
    </sheetView>
  </sheetViews>
  <sheetFormatPr baseColWidth="10" defaultColWidth="13.796875" defaultRowHeight="13"/>
  <cols>
    <col min="1" max="1" width="22" style="346" customWidth="1"/>
    <col min="2" max="2" width="18.19921875" style="346" bestFit="1" customWidth="1"/>
    <col min="3" max="3" width="39.19921875" style="346" customWidth="1"/>
    <col min="4" max="4" width="20.59765625" style="346" customWidth="1"/>
    <col min="5" max="5" width="14.796875" style="346" customWidth="1"/>
    <col min="6" max="6" width="19.19921875" style="346" customWidth="1"/>
    <col min="7" max="7" width="19" style="346" customWidth="1"/>
    <col min="8" max="8" width="16.3984375" style="346" customWidth="1"/>
    <col min="9" max="255" width="11.3984375" style="346" customWidth="1"/>
    <col min="256" max="256" width="13.796875" style="346"/>
    <col min="257" max="257" width="34.796875" style="346" bestFit="1" customWidth="1"/>
    <col min="258" max="258" width="18.19921875" style="346" bestFit="1" customWidth="1"/>
    <col min="259" max="259" width="39.19921875" style="346" customWidth="1"/>
    <col min="260" max="260" width="20.59765625" style="346" customWidth="1"/>
    <col min="261" max="261" width="14.796875" style="346" customWidth="1"/>
    <col min="262" max="262" width="19.19921875" style="346" customWidth="1"/>
    <col min="263" max="263" width="11.19921875" style="346" bestFit="1" customWidth="1"/>
    <col min="264" max="264" width="16.3984375" style="346" customWidth="1"/>
    <col min="265" max="511" width="11.3984375" style="346" customWidth="1"/>
    <col min="512" max="512" width="13.796875" style="346"/>
    <col min="513" max="513" width="34.796875" style="346" bestFit="1" customWidth="1"/>
    <col min="514" max="514" width="18.19921875" style="346" bestFit="1" customWidth="1"/>
    <col min="515" max="515" width="39.19921875" style="346" customWidth="1"/>
    <col min="516" max="516" width="20.59765625" style="346" customWidth="1"/>
    <col min="517" max="517" width="14.796875" style="346" customWidth="1"/>
    <col min="518" max="518" width="19.19921875" style="346" customWidth="1"/>
    <col min="519" max="519" width="11.19921875" style="346" bestFit="1" customWidth="1"/>
    <col min="520" max="520" width="16.3984375" style="346" customWidth="1"/>
    <col min="521" max="767" width="11.3984375" style="346" customWidth="1"/>
    <col min="768" max="768" width="13.796875" style="346"/>
    <col min="769" max="769" width="34.796875" style="346" bestFit="1" customWidth="1"/>
    <col min="770" max="770" width="18.19921875" style="346" bestFit="1" customWidth="1"/>
    <col min="771" max="771" width="39.19921875" style="346" customWidth="1"/>
    <col min="772" max="772" width="20.59765625" style="346" customWidth="1"/>
    <col min="773" max="773" width="14.796875" style="346" customWidth="1"/>
    <col min="774" max="774" width="19.19921875" style="346" customWidth="1"/>
    <col min="775" max="775" width="11.19921875" style="346" bestFit="1" customWidth="1"/>
    <col min="776" max="776" width="16.3984375" style="346" customWidth="1"/>
    <col min="777" max="1023" width="11.3984375" style="346" customWidth="1"/>
    <col min="1024" max="1024" width="13.796875" style="346"/>
    <col min="1025" max="1025" width="34.796875" style="346" bestFit="1" customWidth="1"/>
    <col min="1026" max="1026" width="18.19921875" style="346" bestFit="1" customWidth="1"/>
    <col min="1027" max="1027" width="39.19921875" style="346" customWidth="1"/>
    <col min="1028" max="1028" width="20.59765625" style="346" customWidth="1"/>
    <col min="1029" max="1029" width="14.796875" style="346" customWidth="1"/>
    <col min="1030" max="1030" width="19.19921875" style="346" customWidth="1"/>
    <col min="1031" max="1031" width="11.19921875" style="346" bestFit="1" customWidth="1"/>
    <col min="1032" max="1032" width="16.3984375" style="346" customWidth="1"/>
    <col min="1033" max="1279" width="11.3984375" style="346" customWidth="1"/>
    <col min="1280" max="1280" width="13.796875" style="346"/>
    <col min="1281" max="1281" width="34.796875" style="346" bestFit="1" customWidth="1"/>
    <col min="1282" max="1282" width="18.19921875" style="346" bestFit="1" customWidth="1"/>
    <col min="1283" max="1283" width="39.19921875" style="346" customWidth="1"/>
    <col min="1284" max="1284" width="20.59765625" style="346" customWidth="1"/>
    <col min="1285" max="1285" width="14.796875" style="346" customWidth="1"/>
    <col min="1286" max="1286" width="19.19921875" style="346" customWidth="1"/>
    <col min="1287" max="1287" width="11.19921875" style="346" bestFit="1" customWidth="1"/>
    <col min="1288" max="1288" width="16.3984375" style="346" customWidth="1"/>
    <col min="1289" max="1535" width="11.3984375" style="346" customWidth="1"/>
    <col min="1536" max="1536" width="13.796875" style="346"/>
    <col min="1537" max="1537" width="34.796875" style="346" bestFit="1" customWidth="1"/>
    <col min="1538" max="1538" width="18.19921875" style="346" bestFit="1" customWidth="1"/>
    <col min="1539" max="1539" width="39.19921875" style="346" customWidth="1"/>
    <col min="1540" max="1540" width="20.59765625" style="346" customWidth="1"/>
    <col min="1541" max="1541" width="14.796875" style="346" customWidth="1"/>
    <col min="1542" max="1542" width="19.19921875" style="346" customWidth="1"/>
    <col min="1543" max="1543" width="11.19921875" style="346" bestFit="1" customWidth="1"/>
    <col min="1544" max="1544" width="16.3984375" style="346" customWidth="1"/>
    <col min="1545" max="1791" width="11.3984375" style="346" customWidth="1"/>
    <col min="1792" max="1792" width="13.796875" style="346"/>
    <col min="1793" max="1793" width="34.796875" style="346" bestFit="1" customWidth="1"/>
    <col min="1794" max="1794" width="18.19921875" style="346" bestFit="1" customWidth="1"/>
    <col min="1795" max="1795" width="39.19921875" style="346" customWidth="1"/>
    <col min="1796" max="1796" width="20.59765625" style="346" customWidth="1"/>
    <col min="1797" max="1797" width="14.796875" style="346" customWidth="1"/>
    <col min="1798" max="1798" width="19.19921875" style="346" customWidth="1"/>
    <col min="1799" max="1799" width="11.19921875" style="346" bestFit="1" customWidth="1"/>
    <col min="1800" max="1800" width="16.3984375" style="346" customWidth="1"/>
    <col min="1801" max="2047" width="11.3984375" style="346" customWidth="1"/>
    <col min="2048" max="2048" width="13.796875" style="346"/>
    <col min="2049" max="2049" width="34.796875" style="346" bestFit="1" customWidth="1"/>
    <col min="2050" max="2050" width="18.19921875" style="346" bestFit="1" customWidth="1"/>
    <col min="2051" max="2051" width="39.19921875" style="346" customWidth="1"/>
    <col min="2052" max="2052" width="20.59765625" style="346" customWidth="1"/>
    <col min="2053" max="2053" width="14.796875" style="346" customWidth="1"/>
    <col min="2054" max="2054" width="19.19921875" style="346" customWidth="1"/>
    <col min="2055" max="2055" width="11.19921875" style="346" bestFit="1" customWidth="1"/>
    <col min="2056" max="2056" width="16.3984375" style="346" customWidth="1"/>
    <col min="2057" max="2303" width="11.3984375" style="346" customWidth="1"/>
    <col min="2304" max="2304" width="13.796875" style="346"/>
    <col min="2305" max="2305" width="34.796875" style="346" bestFit="1" customWidth="1"/>
    <col min="2306" max="2306" width="18.19921875" style="346" bestFit="1" customWidth="1"/>
    <col min="2307" max="2307" width="39.19921875" style="346" customWidth="1"/>
    <col min="2308" max="2308" width="20.59765625" style="346" customWidth="1"/>
    <col min="2309" max="2309" width="14.796875" style="346" customWidth="1"/>
    <col min="2310" max="2310" width="19.19921875" style="346" customWidth="1"/>
    <col min="2311" max="2311" width="11.19921875" style="346" bestFit="1" customWidth="1"/>
    <col min="2312" max="2312" width="16.3984375" style="346" customWidth="1"/>
    <col min="2313" max="2559" width="11.3984375" style="346" customWidth="1"/>
    <col min="2560" max="2560" width="13.796875" style="346"/>
    <col min="2561" max="2561" width="34.796875" style="346" bestFit="1" customWidth="1"/>
    <col min="2562" max="2562" width="18.19921875" style="346" bestFit="1" customWidth="1"/>
    <col min="2563" max="2563" width="39.19921875" style="346" customWidth="1"/>
    <col min="2564" max="2564" width="20.59765625" style="346" customWidth="1"/>
    <col min="2565" max="2565" width="14.796875" style="346" customWidth="1"/>
    <col min="2566" max="2566" width="19.19921875" style="346" customWidth="1"/>
    <col min="2567" max="2567" width="11.19921875" style="346" bestFit="1" customWidth="1"/>
    <col min="2568" max="2568" width="16.3984375" style="346" customWidth="1"/>
    <col min="2569" max="2815" width="11.3984375" style="346" customWidth="1"/>
    <col min="2816" max="2816" width="13.796875" style="346"/>
    <col min="2817" max="2817" width="34.796875" style="346" bestFit="1" customWidth="1"/>
    <col min="2818" max="2818" width="18.19921875" style="346" bestFit="1" customWidth="1"/>
    <col min="2819" max="2819" width="39.19921875" style="346" customWidth="1"/>
    <col min="2820" max="2820" width="20.59765625" style="346" customWidth="1"/>
    <col min="2821" max="2821" width="14.796875" style="346" customWidth="1"/>
    <col min="2822" max="2822" width="19.19921875" style="346" customWidth="1"/>
    <col min="2823" max="2823" width="11.19921875" style="346" bestFit="1" customWidth="1"/>
    <col min="2824" max="2824" width="16.3984375" style="346" customWidth="1"/>
    <col min="2825" max="3071" width="11.3984375" style="346" customWidth="1"/>
    <col min="3072" max="3072" width="13.796875" style="346"/>
    <col min="3073" max="3073" width="34.796875" style="346" bestFit="1" customWidth="1"/>
    <col min="3074" max="3074" width="18.19921875" style="346" bestFit="1" customWidth="1"/>
    <col min="3075" max="3075" width="39.19921875" style="346" customWidth="1"/>
    <col min="3076" max="3076" width="20.59765625" style="346" customWidth="1"/>
    <col min="3077" max="3077" width="14.796875" style="346" customWidth="1"/>
    <col min="3078" max="3078" width="19.19921875" style="346" customWidth="1"/>
    <col min="3079" max="3079" width="11.19921875" style="346" bestFit="1" customWidth="1"/>
    <col min="3080" max="3080" width="16.3984375" style="346" customWidth="1"/>
    <col min="3081" max="3327" width="11.3984375" style="346" customWidth="1"/>
    <col min="3328" max="3328" width="13.796875" style="346"/>
    <col min="3329" max="3329" width="34.796875" style="346" bestFit="1" customWidth="1"/>
    <col min="3330" max="3330" width="18.19921875" style="346" bestFit="1" customWidth="1"/>
    <col min="3331" max="3331" width="39.19921875" style="346" customWidth="1"/>
    <col min="3332" max="3332" width="20.59765625" style="346" customWidth="1"/>
    <col min="3333" max="3333" width="14.796875" style="346" customWidth="1"/>
    <col min="3334" max="3334" width="19.19921875" style="346" customWidth="1"/>
    <col min="3335" max="3335" width="11.19921875" style="346" bestFit="1" customWidth="1"/>
    <col min="3336" max="3336" width="16.3984375" style="346" customWidth="1"/>
    <col min="3337" max="3583" width="11.3984375" style="346" customWidth="1"/>
    <col min="3584" max="3584" width="13.796875" style="346"/>
    <col min="3585" max="3585" width="34.796875" style="346" bestFit="1" customWidth="1"/>
    <col min="3586" max="3586" width="18.19921875" style="346" bestFit="1" customWidth="1"/>
    <col min="3587" max="3587" width="39.19921875" style="346" customWidth="1"/>
    <col min="3588" max="3588" width="20.59765625" style="346" customWidth="1"/>
    <col min="3589" max="3589" width="14.796875" style="346" customWidth="1"/>
    <col min="3590" max="3590" width="19.19921875" style="346" customWidth="1"/>
    <col min="3591" max="3591" width="11.19921875" style="346" bestFit="1" customWidth="1"/>
    <col min="3592" max="3592" width="16.3984375" style="346" customWidth="1"/>
    <col min="3593" max="3839" width="11.3984375" style="346" customWidth="1"/>
    <col min="3840" max="3840" width="13.796875" style="346"/>
    <col min="3841" max="3841" width="34.796875" style="346" bestFit="1" customWidth="1"/>
    <col min="3842" max="3842" width="18.19921875" style="346" bestFit="1" customWidth="1"/>
    <col min="3843" max="3843" width="39.19921875" style="346" customWidth="1"/>
    <col min="3844" max="3844" width="20.59765625" style="346" customWidth="1"/>
    <col min="3845" max="3845" width="14.796875" style="346" customWidth="1"/>
    <col min="3846" max="3846" width="19.19921875" style="346" customWidth="1"/>
    <col min="3847" max="3847" width="11.19921875" style="346" bestFit="1" customWidth="1"/>
    <col min="3848" max="3848" width="16.3984375" style="346" customWidth="1"/>
    <col min="3849" max="4095" width="11.3984375" style="346" customWidth="1"/>
    <col min="4096" max="4096" width="13.796875" style="346"/>
    <col min="4097" max="4097" width="34.796875" style="346" bestFit="1" customWidth="1"/>
    <col min="4098" max="4098" width="18.19921875" style="346" bestFit="1" customWidth="1"/>
    <col min="4099" max="4099" width="39.19921875" style="346" customWidth="1"/>
    <col min="4100" max="4100" width="20.59765625" style="346" customWidth="1"/>
    <col min="4101" max="4101" width="14.796875" style="346" customWidth="1"/>
    <col min="4102" max="4102" width="19.19921875" style="346" customWidth="1"/>
    <col min="4103" max="4103" width="11.19921875" style="346" bestFit="1" customWidth="1"/>
    <col min="4104" max="4104" width="16.3984375" style="346" customWidth="1"/>
    <col min="4105" max="4351" width="11.3984375" style="346" customWidth="1"/>
    <col min="4352" max="4352" width="13.796875" style="346"/>
    <col min="4353" max="4353" width="34.796875" style="346" bestFit="1" customWidth="1"/>
    <col min="4354" max="4354" width="18.19921875" style="346" bestFit="1" customWidth="1"/>
    <col min="4355" max="4355" width="39.19921875" style="346" customWidth="1"/>
    <col min="4356" max="4356" width="20.59765625" style="346" customWidth="1"/>
    <col min="4357" max="4357" width="14.796875" style="346" customWidth="1"/>
    <col min="4358" max="4358" width="19.19921875" style="346" customWidth="1"/>
    <col min="4359" max="4359" width="11.19921875" style="346" bestFit="1" customWidth="1"/>
    <col min="4360" max="4360" width="16.3984375" style="346" customWidth="1"/>
    <col min="4361" max="4607" width="11.3984375" style="346" customWidth="1"/>
    <col min="4608" max="4608" width="13.796875" style="346"/>
    <col min="4609" max="4609" width="34.796875" style="346" bestFit="1" customWidth="1"/>
    <col min="4610" max="4610" width="18.19921875" style="346" bestFit="1" customWidth="1"/>
    <col min="4611" max="4611" width="39.19921875" style="346" customWidth="1"/>
    <col min="4612" max="4612" width="20.59765625" style="346" customWidth="1"/>
    <col min="4613" max="4613" width="14.796875" style="346" customWidth="1"/>
    <col min="4614" max="4614" width="19.19921875" style="346" customWidth="1"/>
    <col min="4615" max="4615" width="11.19921875" style="346" bestFit="1" customWidth="1"/>
    <col min="4616" max="4616" width="16.3984375" style="346" customWidth="1"/>
    <col min="4617" max="4863" width="11.3984375" style="346" customWidth="1"/>
    <col min="4864" max="4864" width="13.796875" style="346"/>
    <col min="4865" max="4865" width="34.796875" style="346" bestFit="1" customWidth="1"/>
    <col min="4866" max="4866" width="18.19921875" style="346" bestFit="1" customWidth="1"/>
    <col min="4867" max="4867" width="39.19921875" style="346" customWidth="1"/>
    <col min="4868" max="4868" width="20.59765625" style="346" customWidth="1"/>
    <col min="4869" max="4869" width="14.796875" style="346" customWidth="1"/>
    <col min="4870" max="4870" width="19.19921875" style="346" customWidth="1"/>
    <col min="4871" max="4871" width="11.19921875" style="346" bestFit="1" customWidth="1"/>
    <col min="4872" max="4872" width="16.3984375" style="346" customWidth="1"/>
    <col min="4873" max="5119" width="11.3984375" style="346" customWidth="1"/>
    <col min="5120" max="5120" width="13.796875" style="346"/>
    <col min="5121" max="5121" width="34.796875" style="346" bestFit="1" customWidth="1"/>
    <col min="5122" max="5122" width="18.19921875" style="346" bestFit="1" customWidth="1"/>
    <col min="5123" max="5123" width="39.19921875" style="346" customWidth="1"/>
    <col min="5124" max="5124" width="20.59765625" style="346" customWidth="1"/>
    <col min="5125" max="5125" width="14.796875" style="346" customWidth="1"/>
    <col min="5126" max="5126" width="19.19921875" style="346" customWidth="1"/>
    <col min="5127" max="5127" width="11.19921875" style="346" bestFit="1" customWidth="1"/>
    <col min="5128" max="5128" width="16.3984375" style="346" customWidth="1"/>
    <col min="5129" max="5375" width="11.3984375" style="346" customWidth="1"/>
    <col min="5376" max="5376" width="13.796875" style="346"/>
    <col min="5377" max="5377" width="34.796875" style="346" bestFit="1" customWidth="1"/>
    <col min="5378" max="5378" width="18.19921875" style="346" bestFit="1" customWidth="1"/>
    <col min="5379" max="5379" width="39.19921875" style="346" customWidth="1"/>
    <col min="5380" max="5380" width="20.59765625" style="346" customWidth="1"/>
    <col min="5381" max="5381" width="14.796875" style="346" customWidth="1"/>
    <col min="5382" max="5382" width="19.19921875" style="346" customWidth="1"/>
    <col min="5383" max="5383" width="11.19921875" style="346" bestFit="1" customWidth="1"/>
    <col min="5384" max="5384" width="16.3984375" style="346" customWidth="1"/>
    <col min="5385" max="5631" width="11.3984375" style="346" customWidth="1"/>
    <col min="5632" max="5632" width="13.796875" style="346"/>
    <col min="5633" max="5633" width="34.796875" style="346" bestFit="1" customWidth="1"/>
    <col min="5634" max="5634" width="18.19921875" style="346" bestFit="1" customWidth="1"/>
    <col min="5635" max="5635" width="39.19921875" style="346" customWidth="1"/>
    <col min="5636" max="5636" width="20.59765625" style="346" customWidth="1"/>
    <col min="5637" max="5637" width="14.796875" style="346" customWidth="1"/>
    <col min="5638" max="5638" width="19.19921875" style="346" customWidth="1"/>
    <col min="5639" max="5639" width="11.19921875" style="346" bestFit="1" customWidth="1"/>
    <col min="5640" max="5640" width="16.3984375" style="346" customWidth="1"/>
    <col min="5641" max="5887" width="11.3984375" style="346" customWidth="1"/>
    <col min="5888" max="5888" width="13.796875" style="346"/>
    <col min="5889" max="5889" width="34.796875" style="346" bestFit="1" customWidth="1"/>
    <col min="5890" max="5890" width="18.19921875" style="346" bestFit="1" customWidth="1"/>
    <col min="5891" max="5891" width="39.19921875" style="346" customWidth="1"/>
    <col min="5892" max="5892" width="20.59765625" style="346" customWidth="1"/>
    <col min="5893" max="5893" width="14.796875" style="346" customWidth="1"/>
    <col min="5894" max="5894" width="19.19921875" style="346" customWidth="1"/>
    <col min="5895" max="5895" width="11.19921875" style="346" bestFit="1" customWidth="1"/>
    <col min="5896" max="5896" width="16.3984375" style="346" customWidth="1"/>
    <col min="5897" max="6143" width="11.3984375" style="346" customWidth="1"/>
    <col min="6144" max="6144" width="13.796875" style="346"/>
    <col min="6145" max="6145" width="34.796875" style="346" bestFit="1" customWidth="1"/>
    <col min="6146" max="6146" width="18.19921875" style="346" bestFit="1" customWidth="1"/>
    <col min="6147" max="6147" width="39.19921875" style="346" customWidth="1"/>
    <col min="6148" max="6148" width="20.59765625" style="346" customWidth="1"/>
    <col min="6149" max="6149" width="14.796875" style="346" customWidth="1"/>
    <col min="6150" max="6150" width="19.19921875" style="346" customWidth="1"/>
    <col min="6151" max="6151" width="11.19921875" style="346" bestFit="1" customWidth="1"/>
    <col min="6152" max="6152" width="16.3984375" style="346" customWidth="1"/>
    <col min="6153" max="6399" width="11.3984375" style="346" customWidth="1"/>
    <col min="6400" max="6400" width="13.796875" style="346"/>
    <col min="6401" max="6401" width="34.796875" style="346" bestFit="1" customWidth="1"/>
    <col min="6402" max="6402" width="18.19921875" style="346" bestFit="1" customWidth="1"/>
    <col min="6403" max="6403" width="39.19921875" style="346" customWidth="1"/>
    <col min="6404" max="6404" width="20.59765625" style="346" customWidth="1"/>
    <col min="6405" max="6405" width="14.796875" style="346" customWidth="1"/>
    <col min="6406" max="6406" width="19.19921875" style="346" customWidth="1"/>
    <col min="6407" max="6407" width="11.19921875" style="346" bestFit="1" customWidth="1"/>
    <col min="6408" max="6408" width="16.3984375" style="346" customWidth="1"/>
    <col min="6409" max="6655" width="11.3984375" style="346" customWidth="1"/>
    <col min="6656" max="6656" width="13.796875" style="346"/>
    <col min="6657" max="6657" width="34.796875" style="346" bestFit="1" customWidth="1"/>
    <col min="6658" max="6658" width="18.19921875" style="346" bestFit="1" customWidth="1"/>
    <col min="6659" max="6659" width="39.19921875" style="346" customWidth="1"/>
    <col min="6660" max="6660" width="20.59765625" style="346" customWidth="1"/>
    <col min="6661" max="6661" width="14.796875" style="346" customWidth="1"/>
    <col min="6662" max="6662" width="19.19921875" style="346" customWidth="1"/>
    <col min="6663" max="6663" width="11.19921875" style="346" bestFit="1" customWidth="1"/>
    <col min="6664" max="6664" width="16.3984375" style="346" customWidth="1"/>
    <col min="6665" max="6911" width="11.3984375" style="346" customWidth="1"/>
    <col min="6912" max="6912" width="13.796875" style="346"/>
    <col min="6913" max="6913" width="34.796875" style="346" bestFit="1" customWidth="1"/>
    <col min="6914" max="6914" width="18.19921875" style="346" bestFit="1" customWidth="1"/>
    <col min="6915" max="6915" width="39.19921875" style="346" customWidth="1"/>
    <col min="6916" max="6916" width="20.59765625" style="346" customWidth="1"/>
    <col min="6917" max="6917" width="14.796875" style="346" customWidth="1"/>
    <col min="6918" max="6918" width="19.19921875" style="346" customWidth="1"/>
    <col min="6919" max="6919" width="11.19921875" style="346" bestFit="1" customWidth="1"/>
    <col min="6920" max="6920" width="16.3984375" style="346" customWidth="1"/>
    <col min="6921" max="7167" width="11.3984375" style="346" customWidth="1"/>
    <col min="7168" max="7168" width="13.796875" style="346"/>
    <col min="7169" max="7169" width="34.796875" style="346" bestFit="1" customWidth="1"/>
    <col min="7170" max="7170" width="18.19921875" style="346" bestFit="1" customWidth="1"/>
    <col min="7171" max="7171" width="39.19921875" style="346" customWidth="1"/>
    <col min="7172" max="7172" width="20.59765625" style="346" customWidth="1"/>
    <col min="7173" max="7173" width="14.796875" style="346" customWidth="1"/>
    <col min="7174" max="7174" width="19.19921875" style="346" customWidth="1"/>
    <col min="7175" max="7175" width="11.19921875" style="346" bestFit="1" customWidth="1"/>
    <col min="7176" max="7176" width="16.3984375" style="346" customWidth="1"/>
    <col min="7177" max="7423" width="11.3984375" style="346" customWidth="1"/>
    <col min="7424" max="7424" width="13.796875" style="346"/>
    <col min="7425" max="7425" width="34.796875" style="346" bestFit="1" customWidth="1"/>
    <col min="7426" max="7426" width="18.19921875" style="346" bestFit="1" customWidth="1"/>
    <col min="7427" max="7427" width="39.19921875" style="346" customWidth="1"/>
    <col min="7428" max="7428" width="20.59765625" style="346" customWidth="1"/>
    <col min="7429" max="7429" width="14.796875" style="346" customWidth="1"/>
    <col min="7430" max="7430" width="19.19921875" style="346" customWidth="1"/>
    <col min="7431" max="7431" width="11.19921875" style="346" bestFit="1" customWidth="1"/>
    <col min="7432" max="7432" width="16.3984375" style="346" customWidth="1"/>
    <col min="7433" max="7679" width="11.3984375" style="346" customWidth="1"/>
    <col min="7680" max="7680" width="13.796875" style="346"/>
    <col min="7681" max="7681" width="34.796875" style="346" bestFit="1" customWidth="1"/>
    <col min="7682" max="7682" width="18.19921875" style="346" bestFit="1" customWidth="1"/>
    <col min="7683" max="7683" width="39.19921875" style="346" customWidth="1"/>
    <col min="7684" max="7684" width="20.59765625" style="346" customWidth="1"/>
    <col min="7685" max="7685" width="14.796875" style="346" customWidth="1"/>
    <col min="7686" max="7686" width="19.19921875" style="346" customWidth="1"/>
    <col min="7687" max="7687" width="11.19921875" style="346" bestFit="1" customWidth="1"/>
    <col min="7688" max="7688" width="16.3984375" style="346" customWidth="1"/>
    <col min="7689" max="7935" width="11.3984375" style="346" customWidth="1"/>
    <col min="7936" max="7936" width="13.796875" style="346"/>
    <col min="7937" max="7937" width="34.796875" style="346" bestFit="1" customWidth="1"/>
    <col min="7938" max="7938" width="18.19921875" style="346" bestFit="1" customWidth="1"/>
    <col min="7939" max="7939" width="39.19921875" style="346" customWidth="1"/>
    <col min="7940" max="7940" width="20.59765625" style="346" customWidth="1"/>
    <col min="7941" max="7941" width="14.796875" style="346" customWidth="1"/>
    <col min="7942" max="7942" width="19.19921875" style="346" customWidth="1"/>
    <col min="7943" max="7943" width="11.19921875" style="346" bestFit="1" customWidth="1"/>
    <col min="7944" max="7944" width="16.3984375" style="346" customWidth="1"/>
    <col min="7945" max="8191" width="11.3984375" style="346" customWidth="1"/>
    <col min="8192" max="8192" width="13.796875" style="346"/>
    <col min="8193" max="8193" width="34.796875" style="346" bestFit="1" customWidth="1"/>
    <col min="8194" max="8194" width="18.19921875" style="346" bestFit="1" customWidth="1"/>
    <col min="8195" max="8195" width="39.19921875" style="346" customWidth="1"/>
    <col min="8196" max="8196" width="20.59765625" style="346" customWidth="1"/>
    <col min="8197" max="8197" width="14.796875" style="346" customWidth="1"/>
    <col min="8198" max="8198" width="19.19921875" style="346" customWidth="1"/>
    <col min="8199" max="8199" width="11.19921875" style="346" bestFit="1" customWidth="1"/>
    <col min="8200" max="8200" width="16.3984375" style="346" customWidth="1"/>
    <col min="8201" max="8447" width="11.3984375" style="346" customWidth="1"/>
    <col min="8448" max="8448" width="13.796875" style="346"/>
    <col min="8449" max="8449" width="34.796875" style="346" bestFit="1" customWidth="1"/>
    <col min="8450" max="8450" width="18.19921875" style="346" bestFit="1" customWidth="1"/>
    <col min="8451" max="8451" width="39.19921875" style="346" customWidth="1"/>
    <col min="8452" max="8452" width="20.59765625" style="346" customWidth="1"/>
    <col min="8453" max="8453" width="14.796875" style="346" customWidth="1"/>
    <col min="8454" max="8454" width="19.19921875" style="346" customWidth="1"/>
    <col min="8455" max="8455" width="11.19921875" style="346" bestFit="1" customWidth="1"/>
    <col min="8456" max="8456" width="16.3984375" style="346" customWidth="1"/>
    <col min="8457" max="8703" width="11.3984375" style="346" customWidth="1"/>
    <col min="8704" max="8704" width="13.796875" style="346"/>
    <col min="8705" max="8705" width="34.796875" style="346" bestFit="1" customWidth="1"/>
    <col min="8706" max="8706" width="18.19921875" style="346" bestFit="1" customWidth="1"/>
    <col min="8707" max="8707" width="39.19921875" style="346" customWidth="1"/>
    <col min="8708" max="8708" width="20.59765625" style="346" customWidth="1"/>
    <col min="8709" max="8709" width="14.796875" style="346" customWidth="1"/>
    <col min="8710" max="8710" width="19.19921875" style="346" customWidth="1"/>
    <col min="8711" max="8711" width="11.19921875" style="346" bestFit="1" customWidth="1"/>
    <col min="8712" max="8712" width="16.3984375" style="346" customWidth="1"/>
    <col min="8713" max="8959" width="11.3984375" style="346" customWidth="1"/>
    <col min="8960" max="8960" width="13.796875" style="346"/>
    <col min="8961" max="8961" width="34.796875" style="346" bestFit="1" customWidth="1"/>
    <col min="8962" max="8962" width="18.19921875" style="346" bestFit="1" customWidth="1"/>
    <col min="8963" max="8963" width="39.19921875" style="346" customWidth="1"/>
    <col min="8964" max="8964" width="20.59765625" style="346" customWidth="1"/>
    <col min="8965" max="8965" width="14.796875" style="346" customWidth="1"/>
    <col min="8966" max="8966" width="19.19921875" style="346" customWidth="1"/>
    <col min="8967" max="8967" width="11.19921875" style="346" bestFit="1" customWidth="1"/>
    <col min="8968" max="8968" width="16.3984375" style="346" customWidth="1"/>
    <col min="8969" max="9215" width="11.3984375" style="346" customWidth="1"/>
    <col min="9216" max="9216" width="13.796875" style="346"/>
    <col min="9217" max="9217" width="34.796875" style="346" bestFit="1" customWidth="1"/>
    <col min="9218" max="9218" width="18.19921875" style="346" bestFit="1" customWidth="1"/>
    <col min="9219" max="9219" width="39.19921875" style="346" customWidth="1"/>
    <col min="9220" max="9220" width="20.59765625" style="346" customWidth="1"/>
    <col min="9221" max="9221" width="14.796875" style="346" customWidth="1"/>
    <col min="9222" max="9222" width="19.19921875" style="346" customWidth="1"/>
    <col min="9223" max="9223" width="11.19921875" style="346" bestFit="1" customWidth="1"/>
    <col min="9224" max="9224" width="16.3984375" style="346" customWidth="1"/>
    <col min="9225" max="9471" width="11.3984375" style="346" customWidth="1"/>
    <col min="9472" max="9472" width="13.796875" style="346"/>
    <col min="9473" max="9473" width="34.796875" style="346" bestFit="1" customWidth="1"/>
    <col min="9474" max="9474" width="18.19921875" style="346" bestFit="1" customWidth="1"/>
    <col min="9475" max="9475" width="39.19921875" style="346" customWidth="1"/>
    <col min="9476" max="9476" width="20.59765625" style="346" customWidth="1"/>
    <col min="9477" max="9477" width="14.796875" style="346" customWidth="1"/>
    <col min="9478" max="9478" width="19.19921875" style="346" customWidth="1"/>
    <col min="9479" max="9479" width="11.19921875" style="346" bestFit="1" customWidth="1"/>
    <col min="9480" max="9480" width="16.3984375" style="346" customWidth="1"/>
    <col min="9481" max="9727" width="11.3984375" style="346" customWidth="1"/>
    <col min="9728" max="9728" width="13.796875" style="346"/>
    <col min="9729" max="9729" width="34.796875" style="346" bestFit="1" customWidth="1"/>
    <col min="9730" max="9730" width="18.19921875" style="346" bestFit="1" customWidth="1"/>
    <col min="9731" max="9731" width="39.19921875" style="346" customWidth="1"/>
    <col min="9732" max="9732" width="20.59765625" style="346" customWidth="1"/>
    <col min="9733" max="9733" width="14.796875" style="346" customWidth="1"/>
    <col min="9734" max="9734" width="19.19921875" style="346" customWidth="1"/>
    <col min="9735" max="9735" width="11.19921875" style="346" bestFit="1" customWidth="1"/>
    <col min="9736" max="9736" width="16.3984375" style="346" customWidth="1"/>
    <col min="9737" max="9983" width="11.3984375" style="346" customWidth="1"/>
    <col min="9984" max="9984" width="13.796875" style="346"/>
    <col min="9985" max="9985" width="34.796875" style="346" bestFit="1" customWidth="1"/>
    <col min="9986" max="9986" width="18.19921875" style="346" bestFit="1" customWidth="1"/>
    <col min="9987" max="9987" width="39.19921875" style="346" customWidth="1"/>
    <col min="9988" max="9988" width="20.59765625" style="346" customWidth="1"/>
    <col min="9989" max="9989" width="14.796875" style="346" customWidth="1"/>
    <col min="9990" max="9990" width="19.19921875" style="346" customWidth="1"/>
    <col min="9991" max="9991" width="11.19921875" style="346" bestFit="1" customWidth="1"/>
    <col min="9992" max="9992" width="16.3984375" style="346" customWidth="1"/>
    <col min="9993" max="10239" width="11.3984375" style="346" customWidth="1"/>
    <col min="10240" max="10240" width="13.796875" style="346"/>
    <col min="10241" max="10241" width="34.796875" style="346" bestFit="1" customWidth="1"/>
    <col min="10242" max="10242" width="18.19921875" style="346" bestFit="1" customWidth="1"/>
    <col min="10243" max="10243" width="39.19921875" style="346" customWidth="1"/>
    <col min="10244" max="10244" width="20.59765625" style="346" customWidth="1"/>
    <col min="10245" max="10245" width="14.796875" style="346" customWidth="1"/>
    <col min="10246" max="10246" width="19.19921875" style="346" customWidth="1"/>
    <col min="10247" max="10247" width="11.19921875" style="346" bestFit="1" customWidth="1"/>
    <col min="10248" max="10248" width="16.3984375" style="346" customWidth="1"/>
    <col min="10249" max="10495" width="11.3984375" style="346" customWidth="1"/>
    <col min="10496" max="10496" width="13.796875" style="346"/>
    <col min="10497" max="10497" width="34.796875" style="346" bestFit="1" customWidth="1"/>
    <col min="10498" max="10498" width="18.19921875" style="346" bestFit="1" customWidth="1"/>
    <col min="10499" max="10499" width="39.19921875" style="346" customWidth="1"/>
    <col min="10500" max="10500" width="20.59765625" style="346" customWidth="1"/>
    <col min="10501" max="10501" width="14.796875" style="346" customWidth="1"/>
    <col min="10502" max="10502" width="19.19921875" style="346" customWidth="1"/>
    <col min="10503" max="10503" width="11.19921875" style="346" bestFit="1" customWidth="1"/>
    <col min="10504" max="10504" width="16.3984375" style="346" customWidth="1"/>
    <col min="10505" max="10751" width="11.3984375" style="346" customWidth="1"/>
    <col min="10752" max="10752" width="13.796875" style="346"/>
    <col min="10753" max="10753" width="34.796875" style="346" bestFit="1" customWidth="1"/>
    <col min="10754" max="10754" width="18.19921875" style="346" bestFit="1" customWidth="1"/>
    <col min="10755" max="10755" width="39.19921875" style="346" customWidth="1"/>
    <col min="10756" max="10756" width="20.59765625" style="346" customWidth="1"/>
    <col min="10757" max="10757" width="14.796875" style="346" customWidth="1"/>
    <col min="10758" max="10758" width="19.19921875" style="346" customWidth="1"/>
    <col min="10759" max="10759" width="11.19921875" style="346" bestFit="1" customWidth="1"/>
    <col min="10760" max="10760" width="16.3984375" style="346" customWidth="1"/>
    <col min="10761" max="11007" width="11.3984375" style="346" customWidth="1"/>
    <col min="11008" max="11008" width="13.796875" style="346"/>
    <col min="11009" max="11009" width="34.796875" style="346" bestFit="1" customWidth="1"/>
    <col min="11010" max="11010" width="18.19921875" style="346" bestFit="1" customWidth="1"/>
    <col min="11011" max="11011" width="39.19921875" style="346" customWidth="1"/>
    <col min="11012" max="11012" width="20.59765625" style="346" customWidth="1"/>
    <col min="11013" max="11013" width="14.796875" style="346" customWidth="1"/>
    <col min="11014" max="11014" width="19.19921875" style="346" customWidth="1"/>
    <col min="11015" max="11015" width="11.19921875" style="346" bestFit="1" customWidth="1"/>
    <col min="11016" max="11016" width="16.3984375" style="346" customWidth="1"/>
    <col min="11017" max="11263" width="11.3984375" style="346" customWidth="1"/>
    <col min="11264" max="11264" width="13.796875" style="346"/>
    <col min="11265" max="11265" width="34.796875" style="346" bestFit="1" customWidth="1"/>
    <col min="11266" max="11266" width="18.19921875" style="346" bestFit="1" customWidth="1"/>
    <col min="11267" max="11267" width="39.19921875" style="346" customWidth="1"/>
    <col min="11268" max="11268" width="20.59765625" style="346" customWidth="1"/>
    <col min="11269" max="11269" width="14.796875" style="346" customWidth="1"/>
    <col min="11270" max="11270" width="19.19921875" style="346" customWidth="1"/>
    <col min="11271" max="11271" width="11.19921875" style="346" bestFit="1" customWidth="1"/>
    <col min="11272" max="11272" width="16.3984375" style="346" customWidth="1"/>
    <col min="11273" max="11519" width="11.3984375" style="346" customWidth="1"/>
    <col min="11520" max="11520" width="13.796875" style="346"/>
    <col min="11521" max="11521" width="34.796875" style="346" bestFit="1" customWidth="1"/>
    <col min="11522" max="11522" width="18.19921875" style="346" bestFit="1" customWidth="1"/>
    <col min="11523" max="11523" width="39.19921875" style="346" customWidth="1"/>
    <col min="11524" max="11524" width="20.59765625" style="346" customWidth="1"/>
    <col min="11525" max="11525" width="14.796875" style="346" customWidth="1"/>
    <col min="11526" max="11526" width="19.19921875" style="346" customWidth="1"/>
    <col min="11527" max="11527" width="11.19921875" style="346" bestFit="1" customWidth="1"/>
    <col min="11528" max="11528" width="16.3984375" style="346" customWidth="1"/>
    <col min="11529" max="11775" width="11.3984375" style="346" customWidth="1"/>
    <col min="11776" max="11776" width="13.796875" style="346"/>
    <col min="11777" max="11777" width="34.796875" style="346" bestFit="1" customWidth="1"/>
    <col min="11778" max="11778" width="18.19921875" style="346" bestFit="1" customWidth="1"/>
    <col min="11779" max="11779" width="39.19921875" style="346" customWidth="1"/>
    <col min="11780" max="11780" width="20.59765625" style="346" customWidth="1"/>
    <col min="11781" max="11781" width="14.796875" style="346" customWidth="1"/>
    <col min="11782" max="11782" width="19.19921875" style="346" customWidth="1"/>
    <col min="11783" max="11783" width="11.19921875" style="346" bestFit="1" customWidth="1"/>
    <col min="11784" max="11784" width="16.3984375" style="346" customWidth="1"/>
    <col min="11785" max="12031" width="11.3984375" style="346" customWidth="1"/>
    <col min="12032" max="12032" width="13.796875" style="346"/>
    <col min="12033" max="12033" width="34.796875" style="346" bestFit="1" customWidth="1"/>
    <col min="12034" max="12034" width="18.19921875" style="346" bestFit="1" customWidth="1"/>
    <col min="12035" max="12035" width="39.19921875" style="346" customWidth="1"/>
    <col min="12036" max="12036" width="20.59765625" style="346" customWidth="1"/>
    <col min="12037" max="12037" width="14.796875" style="346" customWidth="1"/>
    <col min="12038" max="12038" width="19.19921875" style="346" customWidth="1"/>
    <col min="12039" max="12039" width="11.19921875" style="346" bestFit="1" customWidth="1"/>
    <col min="12040" max="12040" width="16.3984375" style="346" customWidth="1"/>
    <col min="12041" max="12287" width="11.3984375" style="346" customWidth="1"/>
    <col min="12288" max="12288" width="13.796875" style="346"/>
    <col min="12289" max="12289" width="34.796875" style="346" bestFit="1" customWidth="1"/>
    <col min="12290" max="12290" width="18.19921875" style="346" bestFit="1" customWidth="1"/>
    <col min="12291" max="12291" width="39.19921875" style="346" customWidth="1"/>
    <col min="12292" max="12292" width="20.59765625" style="346" customWidth="1"/>
    <col min="12293" max="12293" width="14.796875" style="346" customWidth="1"/>
    <col min="12294" max="12294" width="19.19921875" style="346" customWidth="1"/>
    <col min="12295" max="12295" width="11.19921875" style="346" bestFit="1" customWidth="1"/>
    <col min="12296" max="12296" width="16.3984375" style="346" customWidth="1"/>
    <col min="12297" max="12543" width="11.3984375" style="346" customWidth="1"/>
    <col min="12544" max="12544" width="13.796875" style="346"/>
    <col min="12545" max="12545" width="34.796875" style="346" bestFit="1" customWidth="1"/>
    <col min="12546" max="12546" width="18.19921875" style="346" bestFit="1" customWidth="1"/>
    <col min="12547" max="12547" width="39.19921875" style="346" customWidth="1"/>
    <col min="12548" max="12548" width="20.59765625" style="346" customWidth="1"/>
    <col min="12549" max="12549" width="14.796875" style="346" customWidth="1"/>
    <col min="12550" max="12550" width="19.19921875" style="346" customWidth="1"/>
    <col min="12551" max="12551" width="11.19921875" style="346" bestFit="1" customWidth="1"/>
    <col min="12552" max="12552" width="16.3984375" style="346" customWidth="1"/>
    <col min="12553" max="12799" width="11.3984375" style="346" customWidth="1"/>
    <col min="12800" max="12800" width="13.796875" style="346"/>
    <col min="12801" max="12801" width="34.796875" style="346" bestFit="1" customWidth="1"/>
    <col min="12802" max="12802" width="18.19921875" style="346" bestFit="1" customWidth="1"/>
    <col min="12803" max="12803" width="39.19921875" style="346" customWidth="1"/>
    <col min="12804" max="12804" width="20.59765625" style="346" customWidth="1"/>
    <col min="12805" max="12805" width="14.796875" style="346" customWidth="1"/>
    <col min="12806" max="12806" width="19.19921875" style="346" customWidth="1"/>
    <col min="12807" max="12807" width="11.19921875" style="346" bestFit="1" customWidth="1"/>
    <col min="12808" max="12808" width="16.3984375" style="346" customWidth="1"/>
    <col min="12809" max="13055" width="11.3984375" style="346" customWidth="1"/>
    <col min="13056" max="13056" width="13.796875" style="346"/>
    <col min="13057" max="13057" width="34.796875" style="346" bestFit="1" customWidth="1"/>
    <col min="13058" max="13058" width="18.19921875" style="346" bestFit="1" customWidth="1"/>
    <col min="13059" max="13059" width="39.19921875" style="346" customWidth="1"/>
    <col min="13060" max="13060" width="20.59765625" style="346" customWidth="1"/>
    <col min="13061" max="13061" width="14.796875" style="346" customWidth="1"/>
    <col min="13062" max="13062" width="19.19921875" style="346" customWidth="1"/>
    <col min="13063" max="13063" width="11.19921875" style="346" bestFit="1" customWidth="1"/>
    <col min="13064" max="13064" width="16.3984375" style="346" customWidth="1"/>
    <col min="13065" max="13311" width="11.3984375" style="346" customWidth="1"/>
    <col min="13312" max="13312" width="13.796875" style="346"/>
    <col min="13313" max="13313" width="34.796875" style="346" bestFit="1" customWidth="1"/>
    <col min="13314" max="13314" width="18.19921875" style="346" bestFit="1" customWidth="1"/>
    <col min="13315" max="13315" width="39.19921875" style="346" customWidth="1"/>
    <col min="13316" max="13316" width="20.59765625" style="346" customWidth="1"/>
    <col min="13317" max="13317" width="14.796875" style="346" customWidth="1"/>
    <col min="13318" max="13318" width="19.19921875" style="346" customWidth="1"/>
    <col min="13319" max="13319" width="11.19921875" style="346" bestFit="1" customWidth="1"/>
    <col min="13320" max="13320" width="16.3984375" style="346" customWidth="1"/>
    <col min="13321" max="13567" width="11.3984375" style="346" customWidth="1"/>
    <col min="13568" max="13568" width="13.796875" style="346"/>
    <col min="13569" max="13569" width="34.796875" style="346" bestFit="1" customWidth="1"/>
    <col min="13570" max="13570" width="18.19921875" style="346" bestFit="1" customWidth="1"/>
    <col min="13571" max="13571" width="39.19921875" style="346" customWidth="1"/>
    <col min="13572" max="13572" width="20.59765625" style="346" customWidth="1"/>
    <col min="13573" max="13573" width="14.796875" style="346" customWidth="1"/>
    <col min="13574" max="13574" width="19.19921875" style="346" customWidth="1"/>
    <col min="13575" max="13575" width="11.19921875" style="346" bestFit="1" customWidth="1"/>
    <col min="13576" max="13576" width="16.3984375" style="346" customWidth="1"/>
    <col min="13577" max="13823" width="11.3984375" style="346" customWidth="1"/>
    <col min="13824" max="13824" width="13.796875" style="346"/>
    <col min="13825" max="13825" width="34.796875" style="346" bestFit="1" customWidth="1"/>
    <col min="13826" max="13826" width="18.19921875" style="346" bestFit="1" customWidth="1"/>
    <col min="13827" max="13827" width="39.19921875" style="346" customWidth="1"/>
    <col min="13828" max="13828" width="20.59765625" style="346" customWidth="1"/>
    <col min="13829" max="13829" width="14.796875" style="346" customWidth="1"/>
    <col min="13830" max="13830" width="19.19921875" style="346" customWidth="1"/>
    <col min="13831" max="13831" width="11.19921875" style="346" bestFit="1" customWidth="1"/>
    <col min="13832" max="13832" width="16.3984375" style="346" customWidth="1"/>
    <col min="13833" max="14079" width="11.3984375" style="346" customWidth="1"/>
    <col min="14080" max="14080" width="13.796875" style="346"/>
    <col min="14081" max="14081" width="34.796875" style="346" bestFit="1" customWidth="1"/>
    <col min="14082" max="14082" width="18.19921875" style="346" bestFit="1" customWidth="1"/>
    <col min="14083" max="14083" width="39.19921875" style="346" customWidth="1"/>
    <col min="14084" max="14084" width="20.59765625" style="346" customWidth="1"/>
    <col min="14085" max="14085" width="14.796875" style="346" customWidth="1"/>
    <col min="14086" max="14086" width="19.19921875" style="346" customWidth="1"/>
    <col min="14087" max="14087" width="11.19921875" style="346" bestFit="1" customWidth="1"/>
    <col min="14088" max="14088" width="16.3984375" style="346" customWidth="1"/>
    <col min="14089" max="14335" width="11.3984375" style="346" customWidth="1"/>
    <col min="14336" max="14336" width="13.796875" style="346"/>
    <col min="14337" max="14337" width="34.796875" style="346" bestFit="1" customWidth="1"/>
    <col min="14338" max="14338" width="18.19921875" style="346" bestFit="1" customWidth="1"/>
    <col min="14339" max="14339" width="39.19921875" style="346" customWidth="1"/>
    <col min="14340" max="14340" width="20.59765625" style="346" customWidth="1"/>
    <col min="14341" max="14341" width="14.796875" style="346" customWidth="1"/>
    <col min="14342" max="14342" width="19.19921875" style="346" customWidth="1"/>
    <col min="14343" max="14343" width="11.19921875" style="346" bestFit="1" customWidth="1"/>
    <col min="14344" max="14344" width="16.3984375" style="346" customWidth="1"/>
    <col min="14345" max="14591" width="11.3984375" style="346" customWidth="1"/>
    <col min="14592" max="14592" width="13.796875" style="346"/>
    <col min="14593" max="14593" width="34.796875" style="346" bestFit="1" customWidth="1"/>
    <col min="14594" max="14594" width="18.19921875" style="346" bestFit="1" customWidth="1"/>
    <col min="14595" max="14595" width="39.19921875" style="346" customWidth="1"/>
    <col min="14596" max="14596" width="20.59765625" style="346" customWidth="1"/>
    <col min="14597" max="14597" width="14.796875" style="346" customWidth="1"/>
    <col min="14598" max="14598" width="19.19921875" style="346" customWidth="1"/>
    <col min="14599" max="14599" width="11.19921875" style="346" bestFit="1" customWidth="1"/>
    <col min="14600" max="14600" width="16.3984375" style="346" customWidth="1"/>
    <col min="14601" max="14847" width="11.3984375" style="346" customWidth="1"/>
    <col min="14848" max="14848" width="13.796875" style="346"/>
    <col min="14849" max="14849" width="34.796875" style="346" bestFit="1" customWidth="1"/>
    <col min="14850" max="14850" width="18.19921875" style="346" bestFit="1" customWidth="1"/>
    <col min="14851" max="14851" width="39.19921875" style="346" customWidth="1"/>
    <col min="14852" max="14852" width="20.59765625" style="346" customWidth="1"/>
    <col min="14853" max="14853" width="14.796875" style="346" customWidth="1"/>
    <col min="14854" max="14854" width="19.19921875" style="346" customWidth="1"/>
    <col min="14855" max="14855" width="11.19921875" style="346" bestFit="1" customWidth="1"/>
    <col min="14856" max="14856" width="16.3984375" style="346" customWidth="1"/>
    <col min="14857" max="15103" width="11.3984375" style="346" customWidth="1"/>
    <col min="15104" max="15104" width="13.796875" style="346"/>
    <col min="15105" max="15105" width="34.796875" style="346" bestFit="1" customWidth="1"/>
    <col min="15106" max="15106" width="18.19921875" style="346" bestFit="1" customWidth="1"/>
    <col min="15107" max="15107" width="39.19921875" style="346" customWidth="1"/>
    <col min="15108" max="15108" width="20.59765625" style="346" customWidth="1"/>
    <col min="15109" max="15109" width="14.796875" style="346" customWidth="1"/>
    <col min="15110" max="15110" width="19.19921875" style="346" customWidth="1"/>
    <col min="15111" max="15111" width="11.19921875" style="346" bestFit="1" customWidth="1"/>
    <col min="15112" max="15112" width="16.3984375" style="346" customWidth="1"/>
    <col min="15113" max="15359" width="11.3984375" style="346" customWidth="1"/>
    <col min="15360" max="15360" width="13.796875" style="346"/>
    <col min="15361" max="15361" width="34.796875" style="346" bestFit="1" customWidth="1"/>
    <col min="15362" max="15362" width="18.19921875" style="346" bestFit="1" customWidth="1"/>
    <col min="15363" max="15363" width="39.19921875" style="346" customWidth="1"/>
    <col min="15364" max="15364" width="20.59765625" style="346" customWidth="1"/>
    <col min="15365" max="15365" width="14.796875" style="346" customWidth="1"/>
    <col min="15366" max="15366" width="19.19921875" style="346" customWidth="1"/>
    <col min="15367" max="15367" width="11.19921875" style="346" bestFit="1" customWidth="1"/>
    <col min="15368" max="15368" width="16.3984375" style="346" customWidth="1"/>
    <col min="15369" max="15615" width="11.3984375" style="346" customWidth="1"/>
    <col min="15616" max="15616" width="13.796875" style="346"/>
    <col min="15617" max="15617" width="34.796875" style="346" bestFit="1" customWidth="1"/>
    <col min="15618" max="15618" width="18.19921875" style="346" bestFit="1" customWidth="1"/>
    <col min="15619" max="15619" width="39.19921875" style="346" customWidth="1"/>
    <col min="15620" max="15620" width="20.59765625" style="346" customWidth="1"/>
    <col min="15621" max="15621" width="14.796875" style="346" customWidth="1"/>
    <col min="15622" max="15622" width="19.19921875" style="346" customWidth="1"/>
    <col min="15623" max="15623" width="11.19921875" style="346" bestFit="1" customWidth="1"/>
    <col min="15624" max="15624" width="16.3984375" style="346" customWidth="1"/>
    <col min="15625" max="15871" width="11.3984375" style="346" customWidth="1"/>
    <col min="15872" max="15872" width="13.796875" style="346"/>
    <col min="15873" max="15873" width="34.796875" style="346" bestFit="1" customWidth="1"/>
    <col min="15874" max="15874" width="18.19921875" style="346" bestFit="1" customWidth="1"/>
    <col min="15875" max="15875" width="39.19921875" style="346" customWidth="1"/>
    <col min="15876" max="15876" width="20.59765625" style="346" customWidth="1"/>
    <col min="15877" max="15877" width="14.796875" style="346" customWidth="1"/>
    <col min="15878" max="15878" width="19.19921875" style="346" customWidth="1"/>
    <col min="15879" max="15879" width="11.19921875" style="346" bestFit="1" customWidth="1"/>
    <col min="15880" max="15880" width="16.3984375" style="346" customWidth="1"/>
    <col min="15881" max="16127" width="11.3984375" style="346" customWidth="1"/>
    <col min="16128" max="16128" width="13.796875" style="346"/>
    <col min="16129" max="16129" width="34.796875" style="346" bestFit="1" customWidth="1"/>
    <col min="16130" max="16130" width="18.19921875" style="346" bestFit="1" customWidth="1"/>
    <col min="16131" max="16131" width="39.19921875" style="346" customWidth="1"/>
    <col min="16132" max="16132" width="20.59765625" style="346" customWidth="1"/>
    <col min="16133" max="16133" width="14.796875" style="346" customWidth="1"/>
    <col min="16134" max="16134" width="19.19921875" style="346" customWidth="1"/>
    <col min="16135" max="16135" width="11.19921875" style="346" bestFit="1" customWidth="1"/>
    <col min="16136" max="16136" width="16.3984375" style="346" customWidth="1"/>
    <col min="16137" max="16383" width="11.3984375" style="346" customWidth="1"/>
    <col min="16384" max="16384" width="13.796875" style="346"/>
  </cols>
  <sheetData>
    <row r="1" spans="1:256" ht="45" customHeight="1" thickBot="1">
      <c r="A1" s="792"/>
      <c r="B1" s="795" t="str">
        <f>'APU '!B1:E1</f>
        <v>PROYECTO: MANTENIMIENTO DE LA VÍA QUE CONDUCE  DE "LA BODEGA" HACIA LA VEREDA "SABANA RUBIA" DEL
 MUNICIPIO DE LA PAZ, DEPARTAMENTO DEL CESAR.</v>
      </c>
      <c r="C1" s="796"/>
      <c r="D1" s="796"/>
      <c r="E1" s="796"/>
      <c r="F1" s="796"/>
      <c r="G1" s="797"/>
      <c r="H1" s="792"/>
      <c r="I1" s="385"/>
      <c r="J1" s="386"/>
      <c r="K1" s="386"/>
      <c r="L1" s="386"/>
      <c r="M1" s="386"/>
      <c r="N1" s="386"/>
      <c r="O1" s="386"/>
      <c r="P1" s="386"/>
      <c r="Q1" s="386"/>
      <c r="R1" s="386"/>
      <c r="S1" s="387"/>
      <c r="T1" s="387"/>
      <c r="U1" s="387"/>
      <c r="V1" s="387"/>
      <c r="W1" s="387"/>
      <c r="X1" s="387"/>
      <c r="Y1" s="387"/>
      <c r="Z1" s="387"/>
      <c r="AA1" s="387"/>
      <c r="AB1" s="387"/>
      <c r="AC1" s="387"/>
      <c r="AD1" s="387"/>
      <c r="AE1" s="387"/>
      <c r="AF1" s="387"/>
      <c r="AG1" s="387"/>
      <c r="AH1" s="387"/>
      <c r="AI1" s="387"/>
      <c r="AJ1" s="387"/>
      <c r="AK1" s="387"/>
      <c r="AL1" s="387"/>
      <c r="AM1" s="387"/>
      <c r="AN1" s="387"/>
      <c r="AO1" s="387"/>
      <c r="AP1" s="387"/>
      <c r="AQ1" s="387"/>
      <c r="AR1" s="387"/>
      <c r="AS1" s="387"/>
      <c r="AT1" s="387"/>
      <c r="AU1" s="387"/>
      <c r="AV1" s="387"/>
      <c r="AW1" s="387"/>
      <c r="AX1" s="387"/>
      <c r="AY1" s="387"/>
      <c r="AZ1" s="387"/>
      <c r="BA1" s="387"/>
      <c r="BB1" s="387"/>
      <c r="BC1" s="387"/>
      <c r="BD1" s="387"/>
      <c r="BE1" s="387"/>
      <c r="BF1" s="387"/>
      <c r="BG1" s="387"/>
      <c r="BH1" s="387"/>
      <c r="BI1" s="387"/>
      <c r="BJ1" s="387"/>
      <c r="BK1" s="387"/>
      <c r="BL1" s="387"/>
      <c r="BM1" s="387"/>
      <c r="BN1" s="387"/>
      <c r="BO1" s="387"/>
      <c r="BP1" s="387"/>
      <c r="BQ1" s="387"/>
      <c r="BR1" s="387"/>
      <c r="BS1" s="387"/>
      <c r="BT1" s="387"/>
      <c r="BU1" s="387"/>
      <c r="BV1" s="387"/>
      <c r="BW1" s="387"/>
      <c r="BX1" s="387"/>
      <c r="BY1" s="387"/>
      <c r="BZ1" s="387"/>
      <c r="CA1" s="387"/>
      <c r="CB1" s="387"/>
      <c r="CC1" s="387"/>
      <c r="CD1" s="387"/>
      <c r="CE1" s="387"/>
      <c r="CF1" s="387"/>
      <c r="CG1" s="387"/>
      <c r="CH1" s="387"/>
      <c r="CI1" s="387"/>
      <c r="CJ1" s="387"/>
      <c r="CK1" s="387"/>
      <c r="CL1" s="387"/>
      <c r="CM1" s="387"/>
      <c r="CN1" s="387"/>
      <c r="CO1" s="387"/>
      <c r="CP1" s="387"/>
      <c r="CQ1" s="387"/>
      <c r="CR1" s="387"/>
      <c r="CS1" s="387"/>
      <c r="CT1" s="387"/>
      <c r="CU1" s="387"/>
      <c r="CV1" s="387"/>
      <c r="CW1" s="387"/>
      <c r="CX1" s="387"/>
      <c r="CY1" s="387"/>
      <c r="CZ1" s="387"/>
      <c r="DA1" s="387"/>
      <c r="DB1" s="387"/>
      <c r="DC1" s="387"/>
      <c r="DD1" s="387"/>
      <c r="DE1" s="387"/>
      <c r="DF1" s="387"/>
      <c r="DG1" s="387"/>
      <c r="DH1" s="387"/>
      <c r="DI1" s="387"/>
      <c r="DJ1" s="387"/>
      <c r="DK1" s="387"/>
      <c r="DL1" s="387"/>
      <c r="DM1" s="387"/>
      <c r="DN1" s="387"/>
      <c r="DO1" s="387"/>
      <c r="DP1" s="387"/>
      <c r="DQ1" s="387"/>
      <c r="DR1" s="387"/>
      <c r="DS1" s="387"/>
      <c r="DT1" s="387"/>
      <c r="DU1" s="387"/>
      <c r="DV1" s="387"/>
      <c r="DW1" s="387"/>
      <c r="DX1" s="387"/>
      <c r="DY1" s="387"/>
      <c r="DZ1" s="387"/>
      <c r="EA1" s="387"/>
      <c r="EB1" s="387"/>
      <c r="EC1" s="387"/>
      <c r="ED1" s="387"/>
      <c r="EE1" s="387"/>
      <c r="EF1" s="387"/>
      <c r="EG1" s="387"/>
      <c r="EH1" s="387"/>
      <c r="EI1" s="387"/>
      <c r="EJ1" s="387"/>
      <c r="EK1" s="387"/>
      <c r="EL1" s="387"/>
      <c r="EM1" s="387"/>
      <c r="EN1" s="387"/>
      <c r="EO1" s="387"/>
      <c r="EP1" s="387"/>
      <c r="EQ1" s="387"/>
      <c r="ER1" s="387"/>
      <c r="ES1" s="387"/>
      <c r="ET1" s="387"/>
      <c r="EU1" s="387"/>
      <c r="EV1" s="387"/>
      <c r="EW1" s="387"/>
      <c r="EX1" s="387"/>
      <c r="EY1" s="387"/>
      <c r="EZ1" s="387"/>
      <c r="FA1" s="387"/>
      <c r="FB1" s="387"/>
      <c r="FC1" s="387"/>
      <c r="FD1" s="387"/>
      <c r="FE1" s="387"/>
      <c r="FF1" s="387"/>
      <c r="FG1" s="387"/>
      <c r="FH1" s="387"/>
      <c r="FI1" s="387"/>
      <c r="FJ1" s="387"/>
      <c r="FK1" s="387"/>
      <c r="FL1" s="387"/>
      <c r="FM1" s="387"/>
      <c r="FN1" s="387"/>
      <c r="FO1" s="387"/>
      <c r="FP1" s="387"/>
      <c r="FQ1" s="387"/>
      <c r="FR1" s="387"/>
      <c r="FS1" s="387"/>
      <c r="FT1" s="387"/>
      <c r="FU1" s="387"/>
      <c r="FV1" s="387"/>
      <c r="FW1" s="387"/>
      <c r="FX1" s="387"/>
      <c r="FY1" s="387"/>
      <c r="FZ1" s="387"/>
      <c r="GA1" s="387"/>
      <c r="GB1" s="387"/>
      <c r="GC1" s="387"/>
      <c r="GD1" s="387"/>
      <c r="GE1" s="387"/>
      <c r="GF1" s="387"/>
      <c r="GG1" s="387"/>
      <c r="GH1" s="387"/>
      <c r="GI1" s="387"/>
      <c r="GJ1" s="387"/>
      <c r="GK1" s="387"/>
      <c r="GL1" s="387"/>
      <c r="GM1" s="387"/>
      <c r="GN1" s="387"/>
      <c r="GO1" s="387"/>
      <c r="GP1" s="387"/>
      <c r="GQ1" s="387"/>
      <c r="GR1" s="387"/>
      <c r="GS1" s="387"/>
      <c r="GT1" s="387"/>
      <c r="GU1" s="387"/>
      <c r="GV1" s="387"/>
      <c r="GW1" s="387"/>
      <c r="GX1" s="387"/>
      <c r="GY1" s="387"/>
      <c r="GZ1" s="387"/>
      <c r="HA1" s="387"/>
      <c r="HB1" s="387"/>
      <c r="HC1" s="387"/>
      <c r="HD1" s="387"/>
      <c r="HE1" s="387"/>
      <c r="HF1" s="387"/>
      <c r="HG1" s="387"/>
      <c r="HH1" s="387"/>
      <c r="HI1" s="387"/>
      <c r="HJ1" s="387"/>
      <c r="HK1" s="387"/>
      <c r="HL1" s="387"/>
      <c r="HM1" s="387"/>
      <c r="HN1" s="387"/>
      <c r="HO1" s="387"/>
      <c r="HP1" s="387"/>
      <c r="HQ1" s="387"/>
      <c r="HR1" s="387"/>
      <c r="HS1" s="387"/>
      <c r="HT1" s="387"/>
      <c r="HU1" s="387"/>
      <c r="HV1" s="387"/>
      <c r="HW1" s="387"/>
      <c r="HX1" s="387"/>
      <c r="HY1" s="387"/>
      <c r="HZ1" s="387"/>
      <c r="IA1" s="387"/>
      <c r="IB1" s="387"/>
      <c r="IC1" s="387"/>
      <c r="ID1" s="387"/>
      <c r="IE1" s="387"/>
      <c r="IF1" s="387"/>
      <c r="IG1" s="387"/>
      <c r="IH1" s="387"/>
      <c r="II1" s="387"/>
      <c r="IJ1" s="387"/>
      <c r="IK1" s="387"/>
      <c r="IL1" s="387"/>
      <c r="IM1" s="387"/>
      <c r="IN1" s="387"/>
      <c r="IO1" s="387"/>
      <c r="IP1" s="387"/>
      <c r="IQ1" s="387"/>
      <c r="IR1" s="387"/>
      <c r="IS1" s="387"/>
      <c r="IT1" s="387"/>
      <c r="IU1" s="387"/>
      <c r="IV1" s="387"/>
    </row>
    <row r="2" spans="1:256" ht="15" thickBot="1">
      <c r="A2" s="793"/>
      <c r="B2" s="795" t="s">
        <v>636</v>
      </c>
      <c r="C2" s="796"/>
      <c r="D2" s="796"/>
      <c r="E2" s="796"/>
      <c r="F2" s="796"/>
      <c r="G2" s="797"/>
      <c r="H2" s="793"/>
      <c r="I2" s="385"/>
      <c r="J2" s="386"/>
      <c r="K2" s="386"/>
      <c r="L2" s="386"/>
      <c r="M2" s="386"/>
      <c r="N2" s="386"/>
      <c r="O2" s="386"/>
      <c r="P2" s="386"/>
      <c r="Q2" s="386"/>
      <c r="R2" s="386"/>
      <c r="S2" s="387"/>
      <c r="T2" s="387"/>
      <c r="U2" s="387"/>
      <c r="V2" s="387"/>
      <c r="W2" s="387"/>
      <c r="X2" s="387"/>
      <c r="Y2" s="387"/>
      <c r="Z2" s="387"/>
      <c r="AA2" s="387"/>
      <c r="AB2" s="387"/>
      <c r="AC2" s="387"/>
      <c r="AD2" s="387"/>
      <c r="AE2" s="387"/>
      <c r="AF2" s="387"/>
      <c r="AG2" s="387"/>
      <c r="AH2" s="387"/>
      <c r="AI2" s="387"/>
      <c r="AJ2" s="387"/>
      <c r="AK2" s="387"/>
      <c r="AL2" s="387"/>
      <c r="AM2" s="387"/>
      <c r="AN2" s="387"/>
      <c r="AO2" s="387"/>
      <c r="AP2" s="387"/>
      <c r="AQ2" s="387"/>
      <c r="AR2" s="387"/>
      <c r="AS2" s="387"/>
      <c r="AT2" s="387"/>
      <c r="AU2" s="387"/>
      <c r="AV2" s="387"/>
      <c r="AW2" s="387"/>
      <c r="AX2" s="387"/>
      <c r="AY2" s="387"/>
      <c r="AZ2" s="387"/>
      <c r="BA2" s="387"/>
      <c r="BB2" s="387"/>
      <c r="BC2" s="387"/>
      <c r="BD2" s="387"/>
      <c r="BE2" s="387"/>
      <c r="BF2" s="387"/>
      <c r="BG2" s="387"/>
      <c r="BH2" s="387"/>
      <c r="BI2" s="387"/>
      <c r="BJ2" s="387"/>
      <c r="BK2" s="387"/>
      <c r="BL2" s="387"/>
      <c r="BM2" s="387"/>
      <c r="BN2" s="387"/>
      <c r="BO2" s="387"/>
      <c r="BP2" s="387"/>
      <c r="BQ2" s="387"/>
      <c r="BR2" s="387"/>
      <c r="BS2" s="387"/>
      <c r="BT2" s="387"/>
      <c r="BU2" s="387"/>
      <c r="BV2" s="387"/>
      <c r="BW2" s="387"/>
      <c r="BX2" s="387"/>
      <c r="BY2" s="387"/>
      <c r="BZ2" s="387"/>
      <c r="CA2" s="387"/>
      <c r="CB2" s="387"/>
      <c r="CC2" s="387"/>
      <c r="CD2" s="387"/>
      <c r="CE2" s="387"/>
      <c r="CF2" s="387"/>
      <c r="CG2" s="387"/>
      <c r="CH2" s="387"/>
      <c r="CI2" s="387"/>
      <c r="CJ2" s="387"/>
      <c r="CK2" s="387"/>
      <c r="CL2" s="387"/>
      <c r="CM2" s="387"/>
      <c r="CN2" s="387"/>
      <c r="CO2" s="387"/>
      <c r="CP2" s="387"/>
      <c r="CQ2" s="387"/>
      <c r="CR2" s="387"/>
      <c r="CS2" s="387"/>
      <c r="CT2" s="387"/>
      <c r="CU2" s="387"/>
      <c r="CV2" s="387"/>
      <c r="CW2" s="387"/>
      <c r="CX2" s="387"/>
      <c r="CY2" s="387"/>
      <c r="CZ2" s="387"/>
      <c r="DA2" s="387"/>
      <c r="DB2" s="387"/>
      <c r="DC2" s="387"/>
      <c r="DD2" s="387"/>
      <c r="DE2" s="387"/>
      <c r="DF2" s="387"/>
      <c r="DG2" s="387"/>
      <c r="DH2" s="387"/>
      <c r="DI2" s="387"/>
      <c r="DJ2" s="387"/>
      <c r="DK2" s="387"/>
      <c r="DL2" s="387"/>
      <c r="DM2" s="387"/>
      <c r="DN2" s="387"/>
      <c r="DO2" s="387"/>
      <c r="DP2" s="387"/>
      <c r="DQ2" s="387"/>
      <c r="DR2" s="387"/>
      <c r="DS2" s="387"/>
      <c r="DT2" s="387"/>
      <c r="DU2" s="387"/>
      <c r="DV2" s="387"/>
      <c r="DW2" s="387"/>
      <c r="DX2" s="387"/>
      <c r="DY2" s="387"/>
      <c r="DZ2" s="387"/>
      <c r="EA2" s="387"/>
      <c r="EB2" s="387"/>
      <c r="EC2" s="387"/>
      <c r="ED2" s="387"/>
      <c r="EE2" s="387"/>
      <c r="EF2" s="387"/>
      <c r="EG2" s="387"/>
      <c r="EH2" s="387"/>
      <c r="EI2" s="387"/>
      <c r="EJ2" s="387"/>
      <c r="EK2" s="387"/>
      <c r="EL2" s="387"/>
      <c r="EM2" s="387"/>
      <c r="EN2" s="387"/>
      <c r="EO2" s="387"/>
      <c r="EP2" s="387"/>
      <c r="EQ2" s="387"/>
      <c r="ER2" s="387"/>
      <c r="ES2" s="387"/>
      <c r="ET2" s="387"/>
      <c r="EU2" s="387"/>
      <c r="EV2" s="387"/>
      <c r="EW2" s="387"/>
      <c r="EX2" s="387"/>
      <c r="EY2" s="387"/>
      <c r="EZ2" s="387"/>
      <c r="FA2" s="387"/>
      <c r="FB2" s="387"/>
      <c r="FC2" s="387"/>
      <c r="FD2" s="387"/>
      <c r="FE2" s="387"/>
      <c r="FF2" s="387"/>
      <c r="FG2" s="387"/>
      <c r="FH2" s="387"/>
      <c r="FI2" s="387"/>
      <c r="FJ2" s="387"/>
      <c r="FK2" s="387"/>
      <c r="FL2" s="387"/>
      <c r="FM2" s="387"/>
      <c r="FN2" s="387"/>
      <c r="FO2" s="387"/>
      <c r="FP2" s="387"/>
      <c r="FQ2" s="387"/>
      <c r="FR2" s="387"/>
      <c r="FS2" s="387"/>
      <c r="FT2" s="387"/>
      <c r="FU2" s="387"/>
      <c r="FV2" s="387"/>
      <c r="FW2" s="387"/>
      <c r="FX2" s="387"/>
      <c r="FY2" s="387"/>
      <c r="FZ2" s="387"/>
      <c r="GA2" s="387"/>
      <c r="GB2" s="387"/>
      <c r="GC2" s="387"/>
      <c r="GD2" s="387"/>
      <c r="GE2" s="387"/>
      <c r="GF2" s="387"/>
      <c r="GG2" s="387"/>
      <c r="GH2" s="387"/>
      <c r="GI2" s="387"/>
      <c r="GJ2" s="387"/>
      <c r="GK2" s="387"/>
      <c r="GL2" s="387"/>
      <c r="GM2" s="387"/>
      <c r="GN2" s="387"/>
      <c r="GO2" s="387"/>
      <c r="GP2" s="387"/>
      <c r="GQ2" s="387"/>
      <c r="GR2" s="387"/>
      <c r="GS2" s="387"/>
      <c r="GT2" s="387"/>
      <c r="GU2" s="387"/>
      <c r="GV2" s="387"/>
      <c r="GW2" s="387"/>
      <c r="GX2" s="387"/>
      <c r="GY2" s="387"/>
      <c r="GZ2" s="387"/>
      <c r="HA2" s="387"/>
      <c r="HB2" s="387"/>
      <c r="HC2" s="387"/>
      <c r="HD2" s="387"/>
      <c r="HE2" s="387"/>
      <c r="HF2" s="387"/>
      <c r="HG2" s="387"/>
      <c r="HH2" s="387"/>
      <c r="HI2" s="387"/>
      <c r="HJ2" s="387"/>
      <c r="HK2" s="387"/>
      <c r="HL2" s="387"/>
      <c r="HM2" s="387"/>
      <c r="HN2" s="387"/>
      <c r="HO2" s="387"/>
      <c r="HP2" s="387"/>
      <c r="HQ2" s="387"/>
      <c r="HR2" s="387"/>
      <c r="HS2" s="387"/>
      <c r="HT2" s="387"/>
      <c r="HU2" s="387"/>
      <c r="HV2" s="387"/>
      <c r="HW2" s="387"/>
      <c r="HX2" s="387"/>
      <c r="HY2" s="387"/>
      <c r="HZ2" s="387"/>
      <c r="IA2" s="387"/>
      <c r="IB2" s="387"/>
      <c r="IC2" s="387"/>
      <c r="ID2" s="387"/>
      <c r="IE2" s="387"/>
      <c r="IF2" s="387"/>
      <c r="IG2" s="387"/>
      <c r="IH2" s="387"/>
      <c r="II2" s="387"/>
      <c r="IJ2" s="387"/>
      <c r="IK2" s="387"/>
      <c r="IL2" s="387"/>
      <c r="IM2" s="387"/>
      <c r="IN2" s="387"/>
      <c r="IO2" s="387"/>
      <c r="IP2" s="387"/>
      <c r="IQ2" s="387"/>
      <c r="IR2" s="387"/>
      <c r="IS2" s="387"/>
      <c r="IT2" s="387"/>
      <c r="IU2" s="387"/>
      <c r="IV2" s="387"/>
    </row>
    <row r="3" spans="1:256" ht="15" thickBot="1">
      <c r="A3" s="794"/>
      <c r="B3" s="795" t="s">
        <v>637</v>
      </c>
      <c r="C3" s="796"/>
      <c r="D3" s="796"/>
      <c r="E3" s="796"/>
      <c r="F3" s="796"/>
      <c r="G3" s="797"/>
      <c r="H3" s="794"/>
      <c r="I3" s="385"/>
      <c r="J3" s="386"/>
      <c r="K3" s="386"/>
      <c r="L3" s="386"/>
      <c r="M3" s="386"/>
      <c r="N3" s="386"/>
      <c r="O3" s="386"/>
      <c r="P3" s="386"/>
      <c r="Q3" s="386"/>
      <c r="R3" s="386"/>
      <c r="S3" s="387"/>
      <c r="T3" s="387"/>
      <c r="U3" s="387"/>
      <c r="V3" s="387"/>
      <c r="W3" s="387"/>
      <c r="X3" s="387"/>
      <c r="Y3" s="387"/>
      <c r="Z3" s="387"/>
      <c r="AA3" s="387"/>
      <c r="AB3" s="387"/>
      <c r="AC3" s="387"/>
      <c r="AD3" s="387"/>
      <c r="AE3" s="387"/>
      <c r="AF3" s="387"/>
      <c r="AG3" s="387"/>
      <c r="AH3" s="387"/>
      <c r="AI3" s="387"/>
      <c r="AJ3" s="387"/>
      <c r="AK3" s="387"/>
      <c r="AL3" s="387"/>
      <c r="AM3" s="387"/>
      <c r="AN3" s="387"/>
      <c r="AO3" s="387"/>
      <c r="AP3" s="387"/>
      <c r="AQ3" s="387"/>
      <c r="AR3" s="387"/>
      <c r="AS3" s="387"/>
      <c r="AT3" s="387"/>
      <c r="AU3" s="387"/>
      <c r="AV3" s="387"/>
      <c r="AW3" s="387"/>
      <c r="AX3" s="387"/>
      <c r="AY3" s="387"/>
      <c r="AZ3" s="387"/>
      <c r="BA3" s="387"/>
      <c r="BB3" s="387"/>
      <c r="BC3" s="387"/>
      <c r="BD3" s="387"/>
      <c r="BE3" s="387"/>
      <c r="BF3" s="387"/>
      <c r="BG3" s="387"/>
      <c r="BH3" s="387"/>
      <c r="BI3" s="387"/>
      <c r="BJ3" s="387"/>
      <c r="BK3" s="387"/>
      <c r="BL3" s="387"/>
      <c r="BM3" s="387"/>
      <c r="BN3" s="387"/>
      <c r="BO3" s="387"/>
      <c r="BP3" s="387"/>
      <c r="BQ3" s="387"/>
      <c r="BR3" s="387"/>
      <c r="BS3" s="387"/>
      <c r="BT3" s="387"/>
      <c r="BU3" s="387"/>
      <c r="BV3" s="387"/>
      <c r="BW3" s="387"/>
      <c r="BX3" s="387"/>
      <c r="BY3" s="387"/>
      <c r="BZ3" s="387"/>
      <c r="CA3" s="387"/>
      <c r="CB3" s="387"/>
      <c r="CC3" s="387"/>
      <c r="CD3" s="387"/>
      <c r="CE3" s="387"/>
      <c r="CF3" s="387"/>
      <c r="CG3" s="387"/>
      <c r="CH3" s="387"/>
      <c r="CI3" s="387"/>
      <c r="CJ3" s="387"/>
      <c r="CK3" s="387"/>
      <c r="CL3" s="387"/>
      <c r="CM3" s="387"/>
      <c r="CN3" s="387"/>
      <c r="CO3" s="387"/>
      <c r="CP3" s="387"/>
      <c r="CQ3" s="387"/>
      <c r="CR3" s="387"/>
      <c r="CS3" s="387"/>
      <c r="CT3" s="387"/>
      <c r="CU3" s="387"/>
      <c r="CV3" s="387"/>
      <c r="CW3" s="387"/>
      <c r="CX3" s="387"/>
      <c r="CY3" s="387"/>
      <c r="CZ3" s="387"/>
      <c r="DA3" s="387"/>
      <c r="DB3" s="387"/>
      <c r="DC3" s="387"/>
      <c r="DD3" s="387"/>
      <c r="DE3" s="387"/>
      <c r="DF3" s="387"/>
      <c r="DG3" s="387"/>
      <c r="DH3" s="387"/>
      <c r="DI3" s="387"/>
      <c r="DJ3" s="387"/>
      <c r="DK3" s="387"/>
      <c r="DL3" s="387"/>
      <c r="DM3" s="387"/>
      <c r="DN3" s="387"/>
      <c r="DO3" s="387"/>
      <c r="DP3" s="387"/>
      <c r="DQ3" s="387"/>
      <c r="DR3" s="387"/>
      <c r="DS3" s="387"/>
      <c r="DT3" s="387"/>
      <c r="DU3" s="387"/>
      <c r="DV3" s="387"/>
      <c r="DW3" s="387"/>
      <c r="DX3" s="387"/>
      <c r="DY3" s="387"/>
      <c r="DZ3" s="387"/>
      <c r="EA3" s="387"/>
      <c r="EB3" s="387"/>
      <c r="EC3" s="387"/>
      <c r="ED3" s="387"/>
      <c r="EE3" s="387"/>
      <c r="EF3" s="387"/>
      <c r="EG3" s="387"/>
      <c r="EH3" s="387"/>
      <c r="EI3" s="387"/>
      <c r="EJ3" s="387"/>
      <c r="EK3" s="387"/>
      <c r="EL3" s="387"/>
      <c r="EM3" s="387"/>
      <c r="EN3" s="387"/>
      <c r="EO3" s="387"/>
      <c r="EP3" s="387"/>
      <c r="EQ3" s="387"/>
      <c r="ER3" s="387"/>
      <c r="ES3" s="387"/>
      <c r="ET3" s="387"/>
      <c r="EU3" s="387"/>
      <c r="EV3" s="387"/>
      <c r="EW3" s="387"/>
      <c r="EX3" s="387"/>
      <c r="EY3" s="387"/>
      <c r="EZ3" s="387"/>
      <c r="FA3" s="387"/>
      <c r="FB3" s="387"/>
      <c r="FC3" s="387"/>
      <c r="FD3" s="387"/>
      <c r="FE3" s="387"/>
      <c r="FF3" s="387"/>
      <c r="FG3" s="387"/>
      <c r="FH3" s="387"/>
      <c r="FI3" s="387"/>
      <c r="FJ3" s="387"/>
      <c r="FK3" s="387"/>
      <c r="FL3" s="387"/>
      <c r="FM3" s="387"/>
      <c r="FN3" s="387"/>
      <c r="FO3" s="387"/>
      <c r="FP3" s="387"/>
      <c r="FQ3" s="387"/>
      <c r="FR3" s="387"/>
      <c r="FS3" s="387"/>
      <c r="FT3" s="387"/>
      <c r="FU3" s="387"/>
      <c r="FV3" s="387"/>
      <c r="FW3" s="387"/>
      <c r="FX3" s="387"/>
      <c r="FY3" s="387"/>
      <c r="FZ3" s="387"/>
      <c r="GA3" s="387"/>
      <c r="GB3" s="387"/>
      <c r="GC3" s="387"/>
      <c r="GD3" s="387"/>
      <c r="GE3" s="387"/>
      <c r="GF3" s="387"/>
      <c r="GG3" s="387"/>
      <c r="GH3" s="387"/>
      <c r="GI3" s="387"/>
      <c r="GJ3" s="387"/>
      <c r="GK3" s="387"/>
      <c r="GL3" s="387"/>
      <c r="GM3" s="387"/>
      <c r="GN3" s="387"/>
      <c r="GO3" s="387"/>
      <c r="GP3" s="387"/>
      <c r="GQ3" s="387"/>
      <c r="GR3" s="387"/>
      <c r="GS3" s="387"/>
      <c r="GT3" s="387"/>
      <c r="GU3" s="387"/>
      <c r="GV3" s="387"/>
      <c r="GW3" s="387"/>
      <c r="GX3" s="387"/>
      <c r="GY3" s="387"/>
      <c r="GZ3" s="387"/>
      <c r="HA3" s="387"/>
      <c r="HB3" s="387"/>
      <c r="HC3" s="387"/>
      <c r="HD3" s="387"/>
      <c r="HE3" s="387"/>
      <c r="HF3" s="387"/>
      <c r="HG3" s="387"/>
      <c r="HH3" s="387"/>
      <c r="HI3" s="387"/>
      <c r="HJ3" s="387"/>
      <c r="HK3" s="387"/>
      <c r="HL3" s="387"/>
      <c r="HM3" s="387"/>
      <c r="HN3" s="387"/>
      <c r="HO3" s="387"/>
      <c r="HP3" s="387"/>
      <c r="HQ3" s="387"/>
      <c r="HR3" s="387"/>
      <c r="HS3" s="387"/>
      <c r="HT3" s="387"/>
      <c r="HU3" s="387"/>
      <c r="HV3" s="387"/>
      <c r="HW3" s="387"/>
      <c r="HX3" s="387"/>
      <c r="HY3" s="387"/>
      <c r="HZ3" s="387"/>
      <c r="IA3" s="387"/>
      <c r="IB3" s="387"/>
      <c r="IC3" s="387"/>
      <c r="ID3" s="387"/>
      <c r="IE3" s="387"/>
      <c r="IF3" s="387"/>
      <c r="IG3" s="387"/>
      <c r="IH3" s="387"/>
      <c r="II3" s="387"/>
      <c r="IJ3" s="387"/>
      <c r="IK3" s="387"/>
      <c r="IL3" s="387"/>
      <c r="IM3" s="387"/>
      <c r="IN3" s="387"/>
      <c r="IO3" s="387"/>
      <c r="IP3" s="387"/>
      <c r="IQ3" s="387"/>
      <c r="IR3" s="387"/>
      <c r="IS3" s="387"/>
      <c r="IT3" s="387"/>
      <c r="IU3" s="387"/>
      <c r="IV3" s="387"/>
    </row>
    <row r="4" spans="1:256" ht="19">
      <c r="A4" s="388"/>
      <c r="B4" s="389"/>
      <c r="C4" s="389"/>
      <c r="D4" s="389"/>
      <c r="E4" s="389"/>
      <c r="F4" s="389"/>
      <c r="H4" s="390"/>
    </row>
    <row r="5" spans="1:256" ht="14" thickBot="1">
      <c r="A5" s="391"/>
      <c r="C5" s="392" t="s">
        <v>638</v>
      </c>
      <c r="H5" s="390"/>
    </row>
    <row r="6" spans="1:256" ht="15">
      <c r="A6" s="393" t="s">
        <v>639</v>
      </c>
      <c r="B6" s="394" t="s">
        <v>640</v>
      </c>
      <c r="C6" s="395">
        <f>'[5]FACTOR PRESTACIONAL'!K37</f>
        <v>71.102000000000004</v>
      </c>
      <c r="D6" s="396" t="s">
        <v>641</v>
      </c>
      <c r="H6" s="390"/>
    </row>
    <row r="7" spans="1:256" ht="15">
      <c r="A7" s="391">
        <v>2026</v>
      </c>
      <c r="B7" s="397">
        <v>1750905</v>
      </c>
      <c r="C7" s="397">
        <f>B7*C6%</f>
        <v>1244928.4731000001</v>
      </c>
      <c r="D7" s="398">
        <f>(+C7+B7)/30</f>
        <v>99861.115770000004</v>
      </c>
      <c r="H7" s="390"/>
    </row>
    <row r="8" spans="1:256" ht="14" thickBot="1">
      <c r="A8" s="399"/>
      <c r="B8" s="400"/>
      <c r="C8" s="400"/>
      <c r="D8" s="401"/>
      <c r="H8" s="390"/>
    </row>
    <row r="9" spans="1:256" ht="15">
      <c r="A9" s="393" t="s">
        <v>693</v>
      </c>
      <c r="B9" s="394" t="s">
        <v>642</v>
      </c>
      <c r="C9" s="402">
        <f>'[5]FACTOR PRESTACIONAL'!K37</f>
        <v>71.102000000000004</v>
      </c>
      <c r="D9" s="396" t="s">
        <v>641</v>
      </c>
      <c r="H9" s="390"/>
    </row>
    <row r="10" spans="1:256" ht="15">
      <c r="A10" s="391">
        <f>+A7</f>
        <v>2026</v>
      </c>
      <c r="B10" s="397">
        <v>249095</v>
      </c>
      <c r="C10" s="397">
        <f>B10*C9%</f>
        <v>177111.5269</v>
      </c>
      <c r="D10" s="398">
        <f>(+C10+B10)/30</f>
        <v>14206.88423</v>
      </c>
      <c r="H10" s="390"/>
    </row>
    <row r="11" spans="1:256" ht="14" thickBot="1">
      <c r="A11" s="399"/>
      <c r="B11" s="400"/>
      <c r="C11" s="400"/>
      <c r="D11" s="401"/>
      <c r="H11" s="390"/>
    </row>
    <row r="12" spans="1:256" ht="15">
      <c r="A12" s="393" t="s">
        <v>643</v>
      </c>
      <c r="B12" s="394" t="s">
        <v>642</v>
      </c>
      <c r="C12" s="402">
        <f>'[5]FACTOR PRESTACIONAL'!K37</f>
        <v>71.102000000000004</v>
      </c>
      <c r="D12" s="396" t="s">
        <v>641</v>
      </c>
      <c r="H12" s="390"/>
    </row>
    <row r="13" spans="1:256" ht="15">
      <c r="A13" s="391">
        <f>+A7</f>
        <v>2026</v>
      </c>
      <c r="B13" s="397">
        <f>(B7+B10)+80000</f>
        <v>2080000</v>
      </c>
      <c r="C13" s="397">
        <f>B13*C12%</f>
        <v>1478921.5999999999</v>
      </c>
      <c r="D13" s="398">
        <f>(+C13+B13)/30</f>
        <v>118630.71999999999</v>
      </c>
      <c r="H13" s="390"/>
    </row>
    <row r="14" spans="1:256" ht="14" thickBot="1">
      <c r="A14" s="399"/>
      <c r="B14" s="400"/>
      <c r="C14" s="400"/>
      <c r="D14" s="401"/>
      <c r="H14" s="390"/>
    </row>
    <row r="15" spans="1:256" ht="15">
      <c r="A15" s="393" t="s">
        <v>644</v>
      </c>
      <c r="B15" s="403"/>
      <c r="C15" s="402">
        <f>'[5]FACTOR PRESTACIONAL'!K37</f>
        <v>71.102000000000004</v>
      </c>
      <c r="D15" s="396" t="s">
        <v>641</v>
      </c>
      <c r="H15" s="390"/>
    </row>
    <row r="16" spans="1:256" ht="15">
      <c r="A16" s="391">
        <f>+A13</f>
        <v>2026</v>
      </c>
      <c r="B16" s="397">
        <f>B13+100000</f>
        <v>2180000</v>
      </c>
      <c r="C16" s="397">
        <f>B16*C15%</f>
        <v>1550023.5999999999</v>
      </c>
      <c r="D16" s="398">
        <f>(+C16+B16)/30</f>
        <v>124334.11999999998</v>
      </c>
      <c r="H16" s="390"/>
    </row>
    <row r="17" spans="1:256" ht="14" thickBot="1">
      <c r="A17" s="399"/>
      <c r="B17" s="400"/>
      <c r="C17" s="400"/>
      <c r="D17" s="401"/>
      <c r="H17" s="390"/>
    </row>
    <row r="18" spans="1:256" ht="14" thickBot="1">
      <c r="A18" s="391"/>
      <c r="H18" s="390"/>
    </row>
    <row r="19" spans="1:256" customFormat="1" ht="32">
      <c r="A19" s="404" t="s">
        <v>645</v>
      </c>
      <c r="B19" s="394" t="s">
        <v>642</v>
      </c>
      <c r="C19" s="402">
        <f>'[5]FACTOR PRESTACIONAL'!K37</f>
        <v>71.102000000000004</v>
      </c>
      <c r="D19" s="396" t="s">
        <v>641</v>
      </c>
      <c r="E19" s="346"/>
      <c r="F19" s="346"/>
      <c r="G19" s="346"/>
      <c r="H19" s="390"/>
      <c r="I19" s="346"/>
      <c r="J19" s="346"/>
      <c r="K19" s="346"/>
      <c r="L19" s="346"/>
      <c r="M19" s="346"/>
      <c r="N19" s="346"/>
      <c r="O19" s="346"/>
      <c r="P19" s="346"/>
      <c r="Q19" s="346"/>
      <c r="R19" s="346"/>
      <c r="S19" s="346"/>
      <c r="T19" s="346"/>
      <c r="U19" s="346"/>
      <c r="V19" s="346"/>
      <c r="W19" s="346"/>
      <c r="X19" s="346"/>
      <c r="Y19" s="346"/>
      <c r="Z19" s="346"/>
      <c r="AA19" s="346"/>
      <c r="AB19" s="346"/>
      <c r="AC19" s="346"/>
      <c r="AD19" s="346"/>
      <c r="AE19" s="346"/>
      <c r="AF19" s="346"/>
      <c r="AG19" s="346"/>
      <c r="AH19" s="346"/>
      <c r="AI19" s="346"/>
      <c r="AJ19" s="346"/>
      <c r="AK19" s="346"/>
      <c r="AL19" s="346"/>
      <c r="AM19" s="346"/>
      <c r="AN19" s="346"/>
      <c r="AO19" s="346"/>
      <c r="AP19" s="346"/>
      <c r="AQ19" s="346"/>
      <c r="AR19" s="346"/>
      <c r="AS19" s="346"/>
      <c r="AT19" s="346"/>
      <c r="AU19" s="346"/>
      <c r="AV19" s="346"/>
      <c r="AW19" s="346"/>
      <c r="AX19" s="346"/>
      <c r="AY19" s="346"/>
      <c r="AZ19" s="346"/>
      <c r="BA19" s="346"/>
      <c r="BB19" s="346"/>
      <c r="BC19" s="346"/>
      <c r="BD19" s="346"/>
      <c r="BE19" s="346"/>
      <c r="BF19" s="346"/>
      <c r="BG19" s="346"/>
      <c r="BH19" s="346"/>
      <c r="BI19" s="346"/>
      <c r="BJ19" s="346"/>
      <c r="BK19" s="346"/>
      <c r="BL19" s="346"/>
      <c r="BM19" s="346"/>
      <c r="BN19" s="346"/>
      <c r="BO19" s="346"/>
      <c r="BP19" s="346"/>
      <c r="BQ19" s="346"/>
      <c r="BR19" s="346"/>
      <c r="BS19" s="346"/>
      <c r="BT19" s="346"/>
      <c r="BU19" s="346"/>
      <c r="BV19" s="346"/>
      <c r="BW19" s="346"/>
      <c r="BX19" s="346"/>
      <c r="BY19" s="346"/>
      <c r="BZ19" s="346"/>
      <c r="CA19" s="346"/>
      <c r="CB19" s="346"/>
      <c r="CC19" s="346"/>
      <c r="CD19" s="346"/>
      <c r="CE19" s="346"/>
      <c r="CF19" s="346"/>
      <c r="CG19" s="346"/>
      <c r="CH19" s="346"/>
      <c r="CI19" s="346"/>
      <c r="CJ19" s="346"/>
      <c r="CK19" s="346"/>
      <c r="CL19" s="346"/>
      <c r="CM19" s="346"/>
      <c r="CN19" s="346"/>
      <c r="CO19" s="346"/>
      <c r="CP19" s="346"/>
      <c r="CQ19" s="346"/>
      <c r="CR19" s="346"/>
      <c r="CS19" s="346"/>
      <c r="CT19" s="346"/>
      <c r="CU19" s="346"/>
      <c r="CV19" s="346"/>
      <c r="CW19" s="346"/>
      <c r="CX19" s="346"/>
      <c r="CY19" s="346"/>
      <c r="CZ19" s="346"/>
      <c r="DA19" s="346"/>
      <c r="DB19" s="346"/>
      <c r="DC19" s="346"/>
      <c r="DD19" s="346"/>
      <c r="DE19" s="346"/>
      <c r="DF19" s="346"/>
      <c r="DG19" s="346"/>
      <c r="DH19" s="346"/>
      <c r="DI19" s="346"/>
      <c r="DJ19" s="346"/>
      <c r="DK19" s="346"/>
      <c r="DL19" s="346"/>
      <c r="DM19" s="346"/>
      <c r="DN19" s="346"/>
      <c r="DO19" s="346"/>
      <c r="DP19" s="346"/>
      <c r="DQ19" s="346"/>
      <c r="DR19" s="346"/>
      <c r="DS19" s="346"/>
      <c r="DT19" s="346"/>
      <c r="DU19" s="346"/>
      <c r="DV19" s="346"/>
      <c r="DW19" s="346"/>
      <c r="DX19" s="346"/>
      <c r="DY19" s="346"/>
      <c r="DZ19" s="346"/>
      <c r="EA19" s="346"/>
      <c r="EB19" s="346"/>
      <c r="EC19" s="346"/>
      <c r="ED19" s="346"/>
      <c r="EE19" s="346"/>
      <c r="EF19" s="346"/>
      <c r="EG19" s="346"/>
      <c r="EH19" s="346"/>
      <c r="EI19" s="346"/>
      <c r="EJ19" s="346"/>
      <c r="EK19" s="346"/>
      <c r="EL19" s="346"/>
      <c r="EM19" s="346"/>
      <c r="EN19" s="346"/>
      <c r="EO19" s="346"/>
      <c r="EP19" s="346"/>
      <c r="EQ19" s="346"/>
      <c r="ER19" s="346"/>
      <c r="ES19" s="346"/>
      <c r="ET19" s="346"/>
      <c r="EU19" s="346"/>
      <c r="EV19" s="346"/>
      <c r="EW19" s="346"/>
      <c r="EX19" s="346"/>
      <c r="EY19" s="346"/>
      <c r="EZ19" s="346"/>
      <c r="FA19" s="346"/>
      <c r="FB19" s="346"/>
      <c r="FC19" s="346"/>
      <c r="FD19" s="346"/>
      <c r="FE19" s="346"/>
      <c r="FF19" s="346"/>
      <c r="FG19" s="346"/>
      <c r="FH19" s="346"/>
      <c r="FI19" s="346"/>
      <c r="FJ19" s="346"/>
      <c r="FK19" s="346"/>
      <c r="FL19" s="346"/>
      <c r="FM19" s="346"/>
      <c r="FN19" s="346"/>
      <c r="FO19" s="346"/>
      <c r="FP19" s="346"/>
      <c r="FQ19" s="346"/>
      <c r="FR19" s="346"/>
      <c r="FS19" s="346"/>
      <c r="FT19" s="346"/>
      <c r="FU19" s="346"/>
      <c r="FV19" s="346"/>
      <c r="FW19" s="346"/>
      <c r="FX19" s="346"/>
      <c r="FY19" s="346"/>
      <c r="FZ19" s="346"/>
      <c r="GA19" s="346"/>
      <c r="GB19" s="346"/>
      <c r="GC19" s="346"/>
      <c r="GD19" s="346"/>
      <c r="GE19" s="346"/>
      <c r="GF19" s="346"/>
      <c r="GG19" s="346"/>
      <c r="GH19" s="346"/>
      <c r="GI19" s="346"/>
      <c r="GJ19" s="346"/>
      <c r="GK19" s="346"/>
      <c r="GL19" s="346"/>
      <c r="GM19" s="346"/>
      <c r="GN19" s="346"/>
      <c r="GO19" s="346"/>
      <c r="GP19" s="346"/>
      <c r="GQ19" s="346"/>
      <c r="GR19" s="346"/>
      <c r="GS19" s="346"/>
      <c r="GT19" s="346"/>
      <c r="GU19" s="346"/>
      <c r="GV19" s="346"/>
      <c r="GW19" s="346"/>
      <c r="GX19" s="346"/>
      <c r="GY19" s="346"/>
      <c r="GZ19" s="346"/>
      <c r="HA19" s="346"/>
      <c r="HB19" s="346"/>
      <c r="HC19" s="346"/>
      <c r="HD19" s="346"/>
      <c r="HE19" s="346"/>
      <c r="HF19" s="346"/>
      <c r="HG19" s="346"/>
      <c r="HH19" s="346"/>
      <c r="HI19" s="346"/>
      <c r="HJ19" s="346"/>
      <c r="HK19" s="346"/>
      <c r="HL19" s="346"/>
      <c r="HM19" s="346"/>
      <c r="HN19" s="346"/>
      <c r="HO19" s="346"/>
      <c r="HP19" s="346"/>
      <c r="HQ19" s="346"/>
      <c r="HR19" s="346"/>
      <c r="HS19" s="346"/>
      <c r="HT19" s="346"/>
      <c r="HU19" s="346"/>
      <c r="HV19" s="346"/>
      <c r="HW19" s="346"/>
      <c r="HX19" s="346"/>
      <c r="HY19" s="346"/>
      <c r="HZ19" s="346"/>
      <c r="IA19" s="346"/>
      <c r="IB19" s="346"/>
      <c r="IC19" s="346"/>
      <c r="ID19" s="346"/>
      <c r="IE19" s="346"/>
      <c r="IF19" s="346"/>
      <c r="IG19" s="346"/>
      <c r="IH19" s="346"/>
      <c r="II19" s="346"/>
      <c r="IJ19" s="346"/>
      <c r="IK19" s="346"/>
      <c r="IL19" s="346"/>
      <c r="IM19" s="346"/>
      <c r="IN19" s="346"/>
      <c r="IO19" s="346"/>
      <c r="IP19" s="346"/>
      <c r="IQ19" s="346"/>
      <c r="IR19" s="346"/>
      <c r="IS19" s="346"/>
      <c r="IT19" s="346"/>
      <c r="IU19" s="346"/>
      <c r="IV19" s="346"/>
    </row>
    <row r="20" spans="1:256" customFormat="1" ht="15">
      <c r="A20" s="391">
        <f>+A16</f>
        <v>2026</v>
      </c>
      <c r="B20" s="397">
        <v>2950000</v>
      </c>
      <c r="C20" s="397">
        <f>B20*C19%</f>
        <v>2097509</v>
      </c>
      <c r="D20" s="398">
        <f>(+C20+B20)/30</f>
        <v>168250.3</v>
      </c>
      <c r="E20" s="346"/>
      <c r="F20" s="346"/>
      <c r="G20" s="346"/>
      <c r="H20" s="390"/>
      <c r="I20" s="346"/>
      <c r="J20" s="346"/>
      <c r="K20" s="346"/>
      <c r="L20" s="346"/>
      <c r="M20" s="346"/>
      <c r="N20" s="346"/>
      <c r="O20" s="346"/>
      <c r="P20" s="346"/>
      <c r="Q20" s="346"/>
      <c r="R20" s="346"/>
      <c r="S20" s="346"/>
      <c r="T20" s="346"/>
      <c r="U20" s="346"/>
      <c r="V20" s="346"/>
      <c r="W20" s="346"/>
      <c r="X20" s="346"/>
      <c r="Y20" s="346"/>
      <c r="Z20" s="346"/>
      <c r="AA20" s="346"/>
      <c r="AB20" s="346"/>
      <c r="AC20" s="346"/>
      <c r="AD20" s="346"/>
      <c r="AE20" s="346"/>
      <c r="AF20" s="346"/>
      <c r="AG20" s="346"/>
      <c r="AH20" s="346"/>
      <c r="AI20" s="346"/>
      <c r="AJ20" s="346"/>
      <c r="AK20" s="346"/>
      <c r="AL20" s="346"/>
      <c r="AM20" s="346"/>
      <c r="AN20" s="346"/>
      <c r="AO20" s="346"/>
      <c r="AP20" s="346"/>
      <c r="AQ20" s="346"/>
      <c r="AR20" s="346"/>
      <c r="AS20" s="346"/>
      <c r="AT20" s="346"/>
      <c r="AU20" s="346"/>
      <c r="AV20" s="346"/>
      <c r="AW20" s="346"/>
      <c r="AX20" s="346"/>
      <c r="AY20" s="346"/>
      <c r="AZ20" s="346"/>
      <c r="BA20" s="346"/>
      <c r="BB20" s="346"/>
      <c r="BC20" s="346"/>
      <c r="BD20" s="346"/>
      <c r="BE20" s="346"/>
      <c r="BF20" s="346"/>
      <c r="BG20" s="346"/>
      <c r="BH20" s="346"/>
      <c r="BI20" s="346"/>
      <c r="BJ20" s="346"/>
      <c r="BK20" s="346"/>
      <c r="BL20" s="346"/>
      <c r="BM20" s="346"/>
      <c r="BN20" s="346"/>
      <c r="BO20" s="346"/>
      <c r="BP20" s="346"/>
      <c r="BQ20" s="346"/>
      <c r="BR20" s="346"/>
      <c r="BS20" s="346"/>
      <c r="BT20" s="346"/>
      <c r="BU20" s="346"/>
      <c r="BV20" s="346"/>
      <c r="BW20" s="346"/>
      <c r="BX20" s="346"/>
      <c r="BY20" s="346"/>
      <c r="BZ20" s="346"/>
      <c r="CA20" s="346"/>
      <c r="CB20" s="346"/>
      <c r="CC20" s="346"/>
      <c r="CD20" s="346"/>
      <c r="CE20" s="346"/>
      <c r="CF20" s="346"/>
      <c r="CG20" s="346"/>
      <c r="CH20" s="346"/>
      <c r="CI20" s="346"/>
      <c r="CJ20" s="346"/>
      <c r="CK20" s="346"/>
      <c r="CL20" s="346"/>
      <c r="CM20" s="346"/>
      <c r="CN20" s="346"/>
      <c r="CO20" s="346"/>
      <c r="CP20" s="346"/>
      <c r="CQ20" s="346"/>
      <c r="CR20" s="346"/>
      <c r="CS20" s="346"/>
      <c r="CT20" s="346"/>
      <c r="CU20" s="346"/>
      <c r="CV20" s="346"/>
      <c r="CW20" s="346"/>
      <c r="CX20" s="346"/>
      <c r="CY20" s="346"/>
      <c r="CZ20" s="346"/>
      <c r="DA20" s="346"/>
      <c r="DB20" s="346"/>
      <c r="DC20" s="346"/>
      <c r="DD20" s="346"/>
      <c r="DE20" s="346"/>
      <c r="DF20" s="346"/>
      <c r="DG20" s="346"/>
      <c r="DH20" s="346"/>
      <c r="DI20" s="346"/>
      <c r="DJ20" s="346"/>
      <c r="DK20" s="346"/>
      <c r="DL20" s="346"/>
      <c r="DM20" s="346"/>
      <c r="DN20" s="346"/>
      <c r="DO20" s="346"/>
      <c r="DP20" s="346"/>
      <c r="DQ20" s="346"/>
      <c r="DR20" s="346"/>
      <c r="DS20" s="346"/>
      <c r="DT20" s="346"/>
      <c r="DU20" s="346"/>
      <c r="DV20" s="346"/>
      <c r="DW20" s="346"/>
      <c r="DX20" s="346"/>
      <c r="DY20" s="346"/>
      <c r="DZ20" s="346"/>
      <c r="EA20" s="346"/>
      <c r="EB20" s="346"/>
      <c r="EC20" s="346"/>
      <c r="ED20" s="346"/>
      <c r="EE20" s="346"/>
      <c r="EF20" s="346"/>
      <c r="EG20" s="346"/>
      <c r="EH20" s="346"/>
      <c r="EI20" s="346"/>
      <c r="EJ20" s="346"/>
      <c r="EK20" s="346"/>
      <c r="EL20" s="346"/>
      <c r="EM20" s="346"/>
      <c r="EN20" s="346"/>
      <c r="EO20" s="346"/>
      <c r="EP20" s="346"/>
      <c r="EQ20" s="346"/>
      <c r="ER20" s="346"/>
      <c r="ES20" s="346"/>
      <c r="ET20" s="346"/>
      <c r="EU20" s="346"/>
      <c r="EV20" s="346"/>
      <c r="EW20" s="346"/>
      <c r="EX20" s="346"/>
      <c r="EY20" s="346"/>
      <c r="EZ20" s="346"/>
      <c r="FA20" s="346"/>
      <c r="FB20" s="346"/>
      <c r="FC20" s="346"/>
      <c r="FD20" s="346"/>
      <c r="FE20" s="346"/>
      <c r="FF20" s="346"/>
      <c r="FG20" s="346"/>
      <c r="FH20" s="346"/>
      <c r="FI20" s="346"/>
      <c r="FJ20" s="346"/>
      <c r="FK20" s="346"/>
      <c r="FL20" s="346"/>
      <c r="FM20" s="346"/>
      <c r="FN20" s="346"/>
      <c r="FO20" s="346"/>
      <c r="FP20" s="346"/>
      <c r="FQ20" s="346"/>
      <c r="FR20" s="346"/>
      <c r="FS20" s="346"/>
      <c r="FT20" s="346"/>
      <c r="FU20" s="346"/>
      <c r="FV20" s="346"/>
      <c r="FW20" s="346"/>
      <c r="FX20" s="346"/>
      <c r="FY20" s="346"/>
      <c r="FZ20" s="346"/>
      <c r="GA20" s="346"/>
      <c r="GB20" s="346"/>
      <c r="GC20" s="346"/>
      <c r="GD20" s="346"/>
      <c r="GE20" s="346"/>
      <c r="GF20" s="346"/>
      <c r="GG20" s="346"/>
      <c r="GH20" s="346"/>
      <c r="GI20" s="346"/>
      <c r="GJ20" s="346"/>
      <c r="GK20" s="346"/>
      <c r="GL20" s="346"/>
      <c r="GM20" s="346"/>
      <c r="GN20" s="346"/>
      <c r="GO20" s="346"/>
      <c r="GP20" s="346"/>
      <c r="GQ20" s="346"/>
      <c r="GR20" s="346"/>
      <c r="GS20" s="346"/>
      <c r="GT20" s="346"/>
      <c r="GU20" s="346"/>
      <c r="GV20" s="346"/>
      <c r="GW20" s="346"/>
      <c r="GX20" s="346"/>
      <c r="GY20" s="346"/>
      <c r="GZ20" s="346"/>
      <c r="HA20" s="346"/>
      <c r="HB20" s="346"/>
      <c r="HC20" s="346"/>
      <c r="HD20" s="346"/>
      <c r="HE20" s="346"/>
      <c r="HF20" s="346"/>
      <c r="HG20" s="346"/>
      <c r="HH20" s="346"/>
      <c r="HI20" s="346"/>
      <c r="HJ20" s="346"/>
      <c r="HK20" s="346"/>
      <c r="HL20" s="346"/>
      <c r="HM20" s="346"/>
      <c r="HN20" s="346"/>
      <c r="HO20" s="346"/>
      <c r="HP20" s="346"/>
      <c r="HQ20" s="346"/>
      <c r="HR20" s="346"/>
      <c r="HS20" s="346"/>
      <c r="HT20" s="346"/>
      <c r="HU20" s="346"/>
      <c r="HV20" s="346"/>
      <c r="HW20" s="346"/>
      <c r="HX20" s="346"/>
      <c r="HY20" s="346"/>
      <c r="HZ20" s="346"/>
      <c r="IA20" s="346"/>
      <c r="IB20" s="346"/>
      <c r="IC20" s="346"/>
      <c r="ID20" s="346"/>
      <c r="IE20" s="346"/>
      <c r="IF20" s="346"/>
      <c r="IG20" s="346"/>
      <c r="IH20" s="346"/>
      <c r="II20" s="346"/>
      <c r="IJ20" s="346"/>
      <c r="IK20" s="346"/>
      <c r="IL20" s="346"/>
      <c r="IM20" s="346"/>
      <c r="IN20" s="346"/>
      <c r="IO20" s="346"/>
      <c r="IP20" s="346"/>
      <c r="IQ20" s="346"/>
      <c r="IR20" s="346"/>
      <c r="IS20" s="346"/>
      <c r="IT20" s="346"/>
      <c r="IU20" s="346"/>
      <c r="IV20" s="346"/>
    </row>
    <row r="21" spans="1:256" customFormat="1" ht="14" thickBot="1">
      <c r="A21" s="399"/>
      <c r="B21" s="400"/>
      <c r="C21" s="400"/>
      <c r="D21" s="401"/>
      <c r="E21" s="346"/>
      <c r="F21" s="346"/>
      <c r="G21" s="346"/>
      <c r="H21" s="390"/>
      <c r="I21" s="346"/>
      <c r="J21" s="346"/>
      <c r="K21" s="346"/>
      <c r="L21" s="346"/>
      <c r="M21" s="346"/>
      <c r="N21" s="346"/>
      <c r="O21" s="346"/>
      <c r="P21" s="346"/>
      <c r="Q21" s="346"/>
      <c r="R21" s="346"/>
      <c r="S21" s="346"/>
      <c r="T21" s="346"/>
      <c r="U21" s="346"/>
      <c r="V21" s="346"/>
      <c r="W21" s="346"/>
      <c r="X21" s="346"/>
      <c r="Y21" s="346"/>
      <c r="Z21" s="346"/>
      <c r="AA21" s="346"/>
      <c r="AB21" s="346"/>
      <c r="AC21" s="346"/>
      <c r="AD21" s="346"/>
      <c r="AE21" s="346"/>
      <c r="AF21" s="346"/>
      <c r="AG21" s="346"/>
      <c r="AH21" s="346"/>
      <c r="AI21" s="346"/>
      <c r="AJ21" s="346"/>
      <c r="AK21" s="346"/>
      <c r="AL21" s="346"/>
      <c r="AM21" s="346"/>
      <c r="AN21" s="346"/>
      <c r="AO21" s="346"/>
      <c r="AP21" s="346"/>
      <c r="AQ21" s="346"/>
      <c r="AR21" s="346"/>
      <c r="AS21" s="346"/>
      <c r="AT21" s="346"/>
      <c r="AU21" s="346"/>
      <c r="AV21" s="346"/>
      <c r="AW21" s="346"/>
      <c r="AX21" s="346"/>
      <c r="AY21" s="346"/>
      <c r="AZ21" s="346"/>
      <c r="BA21" s="346"/>
      <c r="BB21" s="346"/>
      <c r="BC21" s="346"/>
      <c r="BD21" s="346"/>
      <c r="BE21" s="346"/>
      <c r="BF21" s="346"/>
      <c r="BG21" s="346"/>
      <c r="BH21" s="346"/>
      <c r="BI21" s="346"/>
      <c r="BJ21" s="346"/>
      <c r="BK21" s="346"/>
      <c r="BL21" s="346"/>
      <c r="BM21" s="346"/>
      <c r="BN21" s="346"/>
      <c r="BO21" s="346"/>
      <c r="BP21" s="346"/>
      <c r="BQ21" s="346"/>
      <c r="BR21" s="346"/>
      <c r="BS21" s="346"/>
      <c r="BT21" s="346"/>
      <c r="BU21" s="346"/>
      <c r="BV21" s="346"/>
      <c r="BW21" s="346"/>
      <c r="BX21" s="346"/>
      <c r="BY21" s="346"/>
      <c r="BZ21" s="346"/>
      <c r="CA21" s="346"/>
      <c r="CB21" s="346"/>
      <c r="CC21" s="346"/>
      <c r="CD21" s="346"/>
      <c r="CE21" s="346"/>
      <c r="CF21" s="346"/>
      <c r="CG21" s="346"/>
      <c r="CH21" s="346"/>
      <c r="CI21" s="346"/>
      <c r="CJ21" s="346"/>
      <c r="CK21" s="346"/>
      <c r="CL21" s="346"/>
      <c r="CM21" s="346"/>
      <c r="CN21" s="346"/>
      <c r="CO21" s="346"/>
      <c r="CP21" s="346"/>
      <c r="CQ21" s="346"/>
      <c r="CR21" s="346"/>
      <c r="CS21" s="346"/>
      <c r="CT21" s="346"/>
      <c r="CU21" s="346"/>
      <c r="CV21" s="346"/>
      <c r="CW21" s="346"/>
      <c r="CX21" s="346"/>
      <c r="CY21" s="346"/>
      <c r="CZ21" s="346"/>
      <c r="DA21" s="346"/>
      <c r="DB21" s="346"/>
      <c r="DC21" s="346"/>
      <c r="DD21" s="346"/>
      <c r="DE21" s="346"/>
      <c r="DF21" s="346"/>
      <c r="DG21" s="346"/>
      <c r="DH21" s="346"/>
      <c r="DI21" s="346"/>
      <c r="DJ21" s="346"/>
      <c r="DK21" s="346"/>
      <c r="DL21" s="346"/>
      <c r="DM21" s="346"/>
      <c r="DN21" s="346"/>
      <c r="DO21" s="346"/>
      <c r="DP21" s="346"/>
      <c r="DQ21" s="346"/>
      <c r="DR21" s="346"/>
      <c r="DS21" s="346"/>
      <c r="DT21" s="346"/>
      <c r="DU21" s="346"/>
      <c r="DV21" s="346"/>
      <c r="DW21" s="346"/>
      <c r="DX21" s="346"/>
      <c r="DY21" s="346"/>
      <c r="DZ21" s="346"/>
      <c r="EA21" s="346"/>
      <c r="EB21" s="346"/>
      <c r="EC21" s="346"/>
      <c r="ED21" s="346"/>
      <c r="EE21" s="346"/>
      <c r="EF21" s="346"/>
      <c r="EG21" s="346"/>
      <c r="EH21" s="346"/>
      <c r="EI21" s="346"/>
      <c r="EJ21" s="346"/>
      <c r="EK21" s="346"/>
      <c r="EL21" s="346"/>
      <c r="EM21" s="346"/>
      <c r="EN21" s="346"/>
      <c r="EO21" s="346"/>
      <c r="EP21" s="346"/>
      <c r="EQ21" s="346"/>
      <c r="ER21" s="346"/>
      <c r="ES21" s="346"/>
      <c r="ET21" s="346"/>
      <c r="EU21" s="346"/>
      <c r="EV21" s="346"/>
      <c r="EW21" s="346"/>
      <c r="EX21" s="346"/>
      <c r="EY21" s="346"/>
      <c r="EZ21" s="346"/>
      <c r="FA21" s="346"/>
      <c r="FB21" s="346"/>
      <c r="FC21" s="346"/>
      <c r="FD21" s="346"/>
      <c r="FE21" s="346"/>
      <c r="FF21" s="346"/>
      <c r="FG21" s="346"/>
      <c r="FH21" s="346"/>
      <c r="FI21" s="346"/>
      <c r="FJ21" s="346"/>
      <c r="FK21" s="346"/>
      <c r="FL21" s="346"/>
      <c r="FM21" s="346"/>
      <c r="FN21" s="346"/>
      <c r="FO21" s="346"/>
      <c r="FP21" s="346"/>
      <c r="FQ21" s="346"/>
      <c r="FR21" s="346"/>
      <c r="FS21" s="346"/>
      <c r="FT21" s="346"/>
      <c r="FU21" s="346"/>
      <c r="FV21" s="346"/>
      <c r="FW21" s="346"/>
      <c r="FX21" s="346"/>
      <c r="FY21" s="346"/>
      <c r="FZ21" s="346"/>
      <c r="GA21" s="346"/>
      <c r="GB21" s="346"/>
      <c r="GC21" s="346"/>
      <c r="GD21" s="346"/>
      <c r="GE21" s="346"/>
      <c r="GF21" s="346"/>
      <c r="GG21" s="346"/>
      <c r="GH21" s="346"/>
      <c r="GI21" s="346"/>
      <c r="GJ21" s="346"/>
      <c r="GK21" s="346"/>
      <c r="GL21" s="346"/>
      <c r="GM21" s="346"/>
      <c r="GN21" s="346"/>
      <c r="GO21" s="346"/>
      <c r="GP21" s="346"/>
      <c r="GQ21" s="346"/>
      <c r="GR21" s="346"/>
      <c r="GS21" s="346"/>
      <c r="GT21" s="346"/>
      <c r="GU21" s="346"/>
      <c r="GV21" s="346"/>
      <c r="GW21" s="346"/>
      <c r="GX21" s="346"/>
      <c r="GY21" s="346"/>
      <c r="GZ21" s="346"/>
      <c r="HA21" s="346"/>
      <c r="HB21" s="346"/>
      <c r="HC21" s="346"/>
      <c r="HD21" s="346"/>
      <c r="HE21" s="346"/>
      <c r="HF21" s="346"/>
      <c r="HG21" s="346"/>
      <c r="HH21" s="346"/>
      <c r="HI21" s="346"/>
      <c r="HJ21" s="346"/>
      <c r="HK21" s="346"/>
      <c r="HL21" s="346"/>
      <c r="HM21" s="346"/>
      <c r="HN21" s="346"/>
      <c r="HO21" s="346"/>
      <c r="HP21" s="346"/>
      <c r="HQ21" s="346"/>
      <c r="HR21" s="346"/>
      <c r="HS21" s="346"/>
      <c r="HT21" s="346"/>
      <c r="HU21" s="346"/>
      <c r="HV21" s="346"/>
      <c r="HW21" s="346"/>
      <c r="HX21" s="346"/>
      <c r="HY21" s="346"/>
      <c r="HZ21" s="346"/>
      <c r="IA21" s="346"/>
      <c r="IB21" s="346"/>
      <c r="IC21" s="346"/>
      <c r="ID21" s="346"/>
      <c r="IE21" s="346"/>
      <c r="IF21" s="346"/>
      <c r="IG21" s="346"/>
      <c r="IH21" s="346"/>
      <c r="II21" s="346"/>
      <c r="IJ21" s="346"/>
      <c r="IK21" s="346"/>
      <c r="IL21" s="346"/>
      <c r="IM21" s="346"/>
      <c r="IN21" s="346"/>
      <c r="IO21" s="346"/>
      <c r="IP21" s="346"/>
      <c r="IQ21" s="346"/>
      <c r="IR21" s="346"/>
      <c r="IS21" s="346"/>
      <c r="IT21" s="346"/>
      <c r="IU21" s="346"/>
      <c r="IV21" s="346"/>
    </row>
    <row r="22" spans="1:256" customFormat="1">
      <c r="A22" s="391"/>
      <c r="B22" s="346"/>
      <c r="C22" s="346"/>
      <c r="D22" s="346"/>
      <c r="E22" s="346"/>
      <c r="F22" s="346"/>
      <c r="G22" s="346"/>
      <c r="H22" s="390"/>
      <c r="I22" s="346"/>
      <c r="J22" s="346"/>
      <c r="K22" s="346"/>
      <c r="L22" s="346"/>
      <c r="M22" s="346"/>
      <c r="N22" s="346"/>
      <c r="O22" s="346"/>
      <c r="P22" s="346"/>
      <c r="Q22" s="346"/>
      <c r="R22" s="346"/>
      <c r="S22" s="346"/>
      <c r="T22" s="346"/>
      <c r="U22" s="346"/>
      <c r="V22" s="346"/>
      <c r="W22" s="346"/>
      <c r="X22" s="346"/>
      <c r="Y22" s="346"/>
      <c r="Z22" s="346"/>
      <c r="AA22" s="346"/>
      <c r="AB22" s="346"/>
      <c r="AC22" s="346"/>
      <c r="AD22" s="346"/>
      <c r="AE22" s="346"/>
      <c r="AF22" s="346"/>
      <c r="AG22" s="346"/>
      <c r="AH22" s="346"/>
      <c r="AI22" s="346"/>
      <c r="AJ22" s="346"/>
      <c r="AK22" s="346"/>
      <c r="AL22" s="346"/>
      <c r="AM22" s="346"/>
      <c r="AN22" s="346"/>
      <c r="AO22" s="346"/>
      <c r="AP22" s="346"/>
      <c r="AQ22" s="346"/>
      <c r="AR22" s="346"/>
      <c r="AS22" s="346"/>
      <c r="AT22" s="346"/>
      <c r="AU22" s="346"/>
      <c r="AV22" s="346"/>
      <c r="AW22" s="346"/>
      <c r="AX22" s="346"/>
      <c r="AY22" s="346"/>
      <c r="AZ22" s="346"/>
      <c r="BA22" s="346"/>
      <c r="BB22" s="346"/>
      <c r="BC22" s="346"/>
      <c r="BD22" s="346"/>
      <c r="BE22" s="346"/>
      <c r="BF22" s="346"/>
      <c r="BG22" s="346"/>
      <c r="BH22" s="346"/>
      <c r="BI22" s="346"/>
      <c r="BJ22" s="346"/>
      <c r="BK22" s="346"/>
      <c r="BL22" s="346"/>
      <c r="BM22" s="346"/>
      <c r="BN22" s="346"/>
      <c r="BO22" s="346"/>
      <c r="BP22" s="346"/>
      <c r="BQ22" s="346"/>
      <c r="BR22" s="346"/>
      <c r="BS22" s="346"/>
      <c r="BT22" s="346"/>
      <c r="BU22" s="346"/>
      <c r="BV22" s="346"/>
      <c r="BW22" s="346"/>
      <c r="BX22" s="346"/>
      <c r="BY22" s="346"/>
      <c r="BZ22" s="346"/>
      <c r="CA22" s="346"/>
      <c r="CB22" s="346"/>
      <c r="CC22" s="346"/>
      <c r="CD22" s="346"/>
      <c r="CE22" s="346"/>
      <c r="CF22" s="346"/>
      <c r="CG22" s="346"/>
      <c r="CH22" s="346"/>
      <c r="CI22" s="346"/>
      <c r="CJ22" s="346"/>
      <c r="CK22" s="346"/>
      <c r="CL22" s="346"/>
      <c r="CM22" s="346"/>
      <c r="CN22" s="346"/>
      <c r="CO22" s="346"/>
      <c r="CP22" s="346"/>
      <c r="CQ22" s="346"/>
      <c r="CR22" s="346"/>
      <c r="CS22" s="346"/>
      <c r="CT22" s="346"/>
      <c r="CU22" s="346"/>
      <c r="CV22" s="346"/>
      <c r="CW22" s="346"/>
      <c r="CX22" s="346"/>
      <c r="CY22" s="346"/>
      <c r="CZ22" s="346"/>
      <c r="DA22" s="346"/>
      <c r="DB22" s="346"/>
      <c r="DC22" s="346"/>
      <c r="DD22" s="346"/>
      <c r="DE22" s="346"/>
      <c r="DF22" s="346"/>
      <c r="DG22" s="346"/>
      <c r="DH22" s="346"/>
      <c r="DI22" s="346"/>
      <c r="DJ22" s="346"/>
      <c r="DK22" s="346"/>
      <c r="DL22" s="346"/>
      <c r="DM22" s="346"/>
      <c r="DN22" s="346"/>
      <c r="DO22" s="346"/>
      <c r="DP22" s="346"/>
      <c r="DQ22" s="346"/>
      <c r="DR22" s="346"/>
      <c r="DS22" s="346"/>
      <c r="DT22" s="346"/>
      <c r="DU22" s="346"/>
      <c r="DV22" s="346"/>
      <c r="DW22" s="346"/>
      <c r="DX22" s="346"/>
      <c r="DY22" s="346"/>
      <c r="DZ22" s="346"/>
      <c r="EA22" s="346"/>
      <c r="EB22" s="346"/>
      <c r="EC22" s="346"/>
      <c r="ED22" s="346"/>
      <c r="EE22" s="346"/>
      <c r="EF22" s="346"/>
      <c r="EG22" s="346"/>
      <c r="EH22" s="346"/>
      <c r="EI22" s="346"/>
      <c r="EJ22" s="346"/>
      <c r="EK22" s="346"/>
      <c r="EL22" s="346"/>
      <c r="EM22" s="346"/>
      <c r="EN22" s="346"/>
      <c r="EO22" s="346"/>
      <c r="EP22" s="346"/>
      <c r="EQ22" s="346"/>
      <c r="ER22" s="346"/>
      <c r="ES22" s="346"/>
      <c r="ET22" s="346"/>
      <c r="EU22" s="346"/>
      <c r="EV22" s="346"/>
      <c r="EW22" s="346"/>
      <c r="EX22" s="346"/>
      <c r="EY22" s="346"/>
      <c r="EZ22" s="346"/>
      <c r="FA22" s="346"/>
      <c r="FB22" s="346"/>
      <c r="FC22" s="346"/>
      <c r="FD22" s="346"/>
      <c r="FE22" s="346"/>
      <c r="FF22" s="346"/>
      <c r="FG22" s="346"/>
      <c r="FH22" s="346"/>
      <c r="FI22" s="346"/>
      <c r="FJ22" s="346"/>
      <c r="FK22" s="346"/>
      <c r="FL22" s="346"/>
      <c r="FM22" s="346"/>
      <c r="FN22" s="346"/>
      <c r="FO22" s="346"/>
      <c r="FP22" s="346"/>
      <c r="FQ22" s="346"/>
      <c r="FR22" s="346"/>
      <c r="FS22" s="346"/>
      <c r="FT22" s="346"/>
      <c r="FU22" s="346"/>
      <c r="FV22" s="346"/>
      <c r="FW22" s="346"/>
      <c r="FX22" s="346"/>
      <c r="FY22" s="346"/>
      <c r="FZ22" s="346"/>
      <c r="GA22" s="346"/>
      <c r="GB22" s="346"/>
      <c r="GC22" s="346"/>
      <c r="GD22" s="346"/>
      <c r="GE22" s="346"/>
      <c r="GF22" s="346"/>
      <c r="GG22" s="346"/>
      <c r="GH22" s="346"/>
      <c r="GI22" s="346"/>
      <c r="GJ22" s="346"/>
      <c r="GK22" s="346"/>
      <c r="GL22" s="346"/>
      <c r="GM22" s="346"/>
      <c r="GN22" s="346"/>
      <c r="GO22" s="346"/>
      <c r="GP22" s="346"/>
      <c r="GQ22" s="346"/>
      <c r="GR22" s="346"/>
      <c r="GS22" s="346"/>
      <c r="GT22" s="346"/>
      <c r="GU22" s="346"/>
      <c r="GV22" s="346"/>
      <c r="GW22" s="346"/>
      <c r="GX22" s="346"/>
      <c r="GY22" s="346"/>
      <c r="GZ22" s="346"/>
      <c r="HA22" s="346"/>
      <c r="HB22" s="346"/>
      <c r="HC22" s="346"/>
      <c r="HD22" s="346"/>
      <c r="HE22" s="346"/>
      <c r="HF22" s="346"/>
      <c r="HG22" s="346"/>
      <c r="HH22" s="346"/>
      <c r="HI22" s="346"/>
      <c r="HJ22" s="346"/>
      <c r="HK22" s="346"/>
      <c r="HL22" s="346"/>
      <c r="HM22" s="346"/>
      <c r="HN22" s="346"/>
      <c r="HO22" s="346"/>
      <c r="HP22" s="346"/>
      <c r="HQ22" s="346"/>
      <c r="HR22" s="346"/>
      <c r="HS22" s="346"/>
      <c r="HT22" s="346"/>
      <c r="HU22" s="346"/>
      <c r="HV22" s="346"/>
      <c r="HW22" s="346"/>
      <c r="HX22" s="346"/>
      <c r="HY22" s="346"/>
      <c r="HZ22" s="346"/>
      <c r="IA22" s="346"/>
      <c r="IB22" s="346"/>
      <c r="IC22" s="346"/>
      <c r="ID22" s="346"/>
      <c r="IE22" s="346"/>
      <c r="IF22" s="346"/>
      <c r="IG22" s="346"/>
      <c r="IH22" s="346"/>
      <c r="II22" s="346"/>
      <c r="IJ22" s="346"/>
      <c r="IK22" s="346"/>
      <c r="IL22" s="346"/>
      <c r="IM22" s="346"/>
      <c r="IN22" s="346"/>
      <c r="IO22" s="346"/>
      <c r="IP22" s="346"/>
      <c r="IQ22" s="346"/>
      <c r="IR22" s="346"/>
      <c r="IS22" s="346"/>
      <c r="IT22" s="346"/>
      <c r="IU22" s="346"/>
      <c r="IV22" s="346"/>
    </row>
    <row r="23" spans="1:256" ht="16">
      <c r="A23" s="405" t="s">
        <v>744</v>
      </c>
      <c r="D23" s="392"/>
      <c r="E23" s="406"/>
      <c r="F23" s="406"/>
      <c r="G23" s="406"/>
      <c r="H23" s="390"/>
    </row>
    <row r="24" spans="1:256" ht="16">
      <c r="A24" s="405"/>
      <c r="D24" s="392"/>
      <c r="E24" s="406"/>
      <c r="F24" s="407"/>
      <c r="G24" s="406"/>
      <c r="H24" s="390"/>
    </row>
    <row r="25" spans="1:256" ht="15">
      <c r="A25" s="408" t="s">
        <v>646</v>
      </c>
      <c r="B25" s="407"/>
      <c r="C25" s="407" t="s">
        <v>19</v>
      </c>
      <c r="D25" s="407" t="s">
        <v>28</v>
      </c>
      <c r="E25" s="407" t="s">
        <v>30</v>
      </c>
      <c r="F25" s="407" t="s">
        <v>647</v>
      </c>
      <c r="G25" s="407" t="s">
        <v>648</v>
      </c>
      <c r="H25" s="390"/>
    </row>
    <row r="26" spans="1:256" ht="15">
      <c r="A26" s="409"/>
      <c r="B26" s="410"/>
      <c r="C26" s="410"/>
      <c r="D26" s="410"/>
      <c r="E26" s="410"/>
      <c r="F26" s="407" t="s">
        <v>649</v>
      </c>
      <c r="G26" s="410"/>
      <c r="H26" s="390"/>
    </row>
    <row r="27" spans="1:256" ht="15">
      <c r="A27" s="409"/>
      <c r="B27" s="410"/>
      <c r="C27" s="410"/>
      <c r="D27" s="410"/>
      <c r="E27" s="410"/>
      <c r="F27" s="407"/>
      <c r="G27" s="410"/>
      <c r="H27" s="390"/>
    </row>
    <row r="28" spans="1:256" ht="15">
      <c r="A28" s="411" t="s">
        <v>650</v>
      </c>
      <c r="B28" s="412"/>
      <c r="C28" s="412" t="s">
        <v>651</v>
      </c>
      <c r="D28" s="413" t="s">
        <v>78</v>
      </c>
      <c r="E28" s="414"/>
      <c r="F28" s="414"/>
      <c r="G28" s="415"/>
      <c r="H28" s="390"/>
    </row>
    <row r="29" spans="1:256">
      <c r="A29" s="391" t="s">
        <v>652</v>
      </c>
      <c r="C29" s="346" t="s">
        <v>653</v>
      </c>
      <c r="D29" s="392" t="s">
        <v>654</v>
      </c>
      <c r="E29" s="416">
        <v>0.125</v>
      </c>
      <c r="F29" s="417">
        <f>+$D$7</f>
        <v>99861.115770000004</v>
      </c>
      <c r="G29" s="418">
        <f>+E29*F29</f>
        <v>12482.63947125</v>
      </c>
      <c r="H29" s="419"/>
    </row>
    <row r="30" spans="1:256">
      <c r="A30" s="391" t="s">
        <v>655</v>
      </c>
      <c r="C30" s="346" t="s">
        <v>656</v>
      </c>
      <c r="D30" s="392" t="s">
        <v>654</v>
      </c>
      <c r="E30" s="416">
        <v>0.125</v>
      </c>
      <c r="F30" s="417">
        <f>+$D$13</f>
        <v>118630.71999999999</v>
      </c>
      <c r="G30" s="418">
        <f>+E30*F30</f>
        <v>14828.839999999998</v>
      </c>
      <c r="H30" s="419"/>
    </row>
    <row r="31" spans="1:256">
      <c r="A31" s="391"/>
      <c r="C31" s="420" t="s">
        <v>26</v>
      </c>
      <c r="D31" s="392"/>
      <c r="E31" s="421"/>
      <c r="F31" s="422"/>
      <c r="G31" s="423">
        <f>SUM(G29:G30)</f>
        <v>27311.479471250001</v>
      </c>
      <c r="H31" s="390"/>
      <c r="I31" s="346">
        <f>G32/2</f>
        <v>9397.8800860571246</v>
      </c>
    </row>
    <row r="32" spans="1:256" ht="28">
      <c r="A32" s="391" t="s">
        <v>657</v>
      </c>
      <c r="C32" s="424" t="s">
        <v>658</v>
      </c>
      <c r="D32" s="392" t="s">
        <v>83</v>
      </c>
      <c r="E32" s="425">
        <f>+(0.7008+0.6756)/2</f>
        <v>0.68819999999999992</v>
      </c>
      <c r="F32" s="426"/>
      <c r="G32" s="418">
        <f>+G31*E32</f>
        <v>18795.760172114249</v>
      </c>
      <c r="H32" s="390"/>
    </row>
    <row r="33" spans="1:8" ht="15">
      <c r="A33" s="427"/>
      <c r="B33" s="428"/>
      <c r="C33" s="428" t="s">
        <v>648</v>
      </c>
      <c r="D33" s="429"/>
      <c r="E33" s="430"/>
      <c r="F33" s="430"/>
      <c r="G33" s="431">
        <f>+G31+G32</f>
        <v>46107.23964336425</v>
      </c>
      <c r="H33" s="419"/>
    </row>
    <row r="34" spans="1:8">
      <c r="A34" s="391"/>
      <c r="D34" s="392"/>
      <c r="E34" s="421"/>
      <c r="F34" s="426"/>
      <c r="G34" s="421"/>
      <c r="H34" s="390"/>
    </row>
    <row r="35" spans="1:8" ht="15">
      <c r="A35" s="411" t="s">
        <v>659</v>
      </c>
      <c r="B35" s="412"/>
      <c r="C35" s="412" t="s">
        <v>660</v>
      </c>
      <c r="D35" s="413" t="s">
        <v>78</v>
      </c>
      <c r="E35" s="432"/>
      <c r="F35" s="432"/>
      <c r="G35" s="433"/>
      <c r="H35" s="390"/>
    </row>
    <row r="36" spans="1:8">
      <c r="A36" s="391" t="s">
        <v>652</v>
      </c>
      <c r="C36" s="346" t="s">
        <v>653</v>
      </c>
      <c r="D36" s="392" t="s">
        <v>654</v>
      </c>
      <c r="E36" s="416">
        <v>0.25</v>
      </c>
      <c r="F36" s="417">
        <f>+$D$7</f>
        <v>99861.115770000004</v>
      </c>
      <c r="G36" s="418">
        <f>+E36*F36</f>
        <v>24965.278942500001</v>
      </c>
      <c r="H36" s="390"/>
    </row>
    <row r="37" spans="1:8">
      <c r="A37" s="391" t="s">
        <v>655</v>
      </c>
      <c r="C37" s="346" t="s">
        <v>656</v>
      </c>
      <c r="D37" s="392" t="s">
        <v>654</v>
      </c>
      <c r="E37" s="416">
        <v>0.125</v>
      </c>
      <c r="F37" s="417">
        <f>+$D$13</f>
        <v>118630.71999999999</v>
      </c>
      <c r="G37" s="418">
        <f>+E37*F37</f>
        <v>14828.839999999998</v>
      </c>
      <c r="H37" s="390"/>
    </row>
    <row r="38" spans="1:8">
      <c r="A38" s="391"/>
      <c r="C38" s="420" t="s">
        <v>26</v>
      </c>
      <c r="D38" s="392"/>
      <c r="E38" s="421"/>
      <c r="F38" s="426"/>
      <c r="G38" s="423">
        <f>SUM(G36:G37)</f>
        <v>39794.118942499998</v>
      </c>
      <c r="H38" s="390"/>
    </row>
    <row r="39" spans="1:8" ht="28">
      <c r="A39" s="391" t="s">
        <v>657</v>
      </c>
      <c r="C39" s="424" t="s">
        <v>658</v>
      </c>
      <c r="D39" s="392" t="s">
        <v>83</v>
      </c>
      <c r="E39" s="425">
        <f>+((0.7008*2)+0.6756)/3</f>
        <v>0.69240000000000002</v>
      </c>
      <c r="F39" s="426"/>
      <c r="G39" s="418">
        <f>+G38*E39</f>
        <v>27553.447955787</v>
      </c>
      <c r="H39" s="390"/>
    </row>
    <row r="40" spans="1:8" ht="15">
      <c r="A40" s="427"/>
      <c r="B40" s="428"/>
      <c r="C40" s="428" t="s">
        <v>648</v>
      </c>
      <c r="D40" s="429"/>
      <c r="E40" s="430"/>
      <c r="F40" s="430"/>
      <c r="G40" s="431">
        <f>SUM(G38:G39)</f>
        <v>67347.566898286997</v>
      </c>
      <c r="H40" s="390"/>
    </row>
    <row r="41" spans="1:8">
      <c r="A41" s="391"/>
      <c r="D41" s="392"/>
      <c r="E41" s="421"/>
      <c r="F41" s="426"/>
      <c r="G41" s="421"/>
      <c r="H41" s="390"/>
    </row>
    <row r="42" spans="1:8" ht="15">
      <c r="A42" s="411" t="s">
        <v>650</v>
      </c>
      <c r="B42" s="412"/>
      <c r="C42" s="412" t="s">
        <v>661</v>
      </c>
      <c r="D42" s="413" t="s">
        <v>78</v>
      </c>
      <c r="E42" s="414"/>
      <c r="F42" s="414"/>
      <c r="G42" s="415"/>
      <c r="H42" s="390"/>
    </row>
    <row r="43" spans="1:8">
      <c r="A43" s="391" t="s">
        <v>652</v>
      </c>
      <c r="C43" s="346" t="s">
        <v>653</v>
      </c>
      <c r="D43" s="392" t="s">
        <v>654</v>
      </c>
      <c r="E43" s="416">
        <v>0.125</v>
      </c>
      <c r="F43" s="417">
        <f>+$D$7</f>
        <v>99861.115770000004</v>
      </c>
      <c r="G43" s="418">
        <f>+E43*F43</f>
        <v>12482.63947125</v>
      </c>
      <c r="H43" s="390"/>
    </row>
    <row r="44" spans="1:8">
      <c r="A44" s="391" t="s">
        <v>655</v>
      </c>
      <c r="C44" s="346" t="s">
        <v>656</v>
      </c>
      <c r="D44" s="392" t="s">
        <v>654</v>
      </c>
      <c r="E44" s="416">
        <v>0</v>
      </c>
      <c r="F44" s="417">
        <f>+$D$13</f>
        <v>118630.71999999999</v>
      </c>
      <c r="G44" s="418">
        <f>+E44*F44</f>
        <v>0</v>
      </c>
      <c r="H44" s="390"/>
    </row>
    <row r="45" spans="1:8">
      <c r="A45" s="391"/>
      <c r="C45" s="420" t="s">
        <v>26</v>
      </c>
      <c r="D45" s="392"/>
      <c r="E45" s="421"/>
      <c r="F45" s="422"/>
      <c r="G45" s="423">
        <f>SUM(G43:G44)</f>
        <v>12482.63947125</v>
      </c>
      <c r="H45" s="390"/>
    </row>
    <row r="46" spans="1:8" ht="28">
      <c r="A46" s="391" t="s">
        <v>657</v>
      </c>
      <c r="C46" s="424" t="s">
        <v>658</v>
      </c>
      <c r="D46" s="392" t="s">
        <v>83</v>
      </c>
      <c r="E46" s="425">
        <f>0.7008</f>
        <v>0.70079999999999998</v>
      </c>
      <c r="F46" s="426"/>
      <c r="G46" s="418">
        <f>+G45*E46</f>
        <v>8747.8337414519992</v>
      </c>
      <c r="H46" s="390"/>
    </row>
    <row r="47" spans="1:8" ht="15">
      <c r="A47" s="427"/>
      <c r="B47" s="428"/>
      <c r="C47" s="428" t="s">
        <v>648</v>
      </c>
      <c r="D47" s="429"/>
      <c r="E47" s="430"/>
      <c r="F47" s="430"/>
      <c r="G47" s="431">
        <f>+G45+G46</f>
        <v>21230.473212702</v>
      </c>
      <c r="H47" s="390"/>
    </row>
    <row r="48" spans="1:8" ht="15">
      <c r="A48" s="434"/>
      <c r="B48" s="435"/>
      <c r="C48" s="435"/>
      <c r="D48" s="410"/>
      <c r="E48" s="436"/>
      <c r="F48" s="436"/>
      <c r="G48" s="436"/>
      <c r="H48" s="390"/>
    </row>
    <row r="49" spans="1:8" ht="15">
      <c r="A49" s="411" t="s">
        <v>650</v>
      </c>
      <c r="B49" s="412"/>
      <c r="C49" s="412" t="s">
        <v>662</v>
      </c>
      <c r="D49" s="413" t="s">
        <v>78</v>
      </c>
      <c r="E49" s="414"/>
      <c r="F49" s="414"/>
      <c r="G49" s="415"/>
      <c r="H49" s="390"/>
    </row>
    <row r="50" spans="1:8">
      <c r="A50" s="391" t="s">
        <v>652</v>
      </c>
      <c r="C50" s="346" t="s">
        <v>653</v>
      </c>
      <c r="D50" s="392" t="s">
        <v>654</v>
      </c>
      <c r="E50" s="416">
        <v>0</v>
      </c>
      <c r="F50" s="417">
        <f>+$D$7</f>
        <v>99861.115770000004</v>
      </c>
      <c r="G50" s="418">
        <f>+E50*F50</f>
        <v>0</v>
      </c>
      <c r="H50" s="390"/>
    </row>
    <row r="51" spans="1:8">
      <c r="A51" s="391" t="s">
        <v>655</v>
      </c>
      <c r="C51" s="346" t="s">
        <v>656</v>
      </c>
      <c r="D51" s="392" t="s">
        <v>654</v>
      </c>
      <c r="E51" s="416">
        <v>0.125</v>
      </c>
      <c r="F51" s="417">
        <f>+$D$13</f>
        <v>118630.71999999999</v>
      </c>
      <c r="G51" s="418">
        <f>+E51*F51</f>
        <v>14828.839999999998</v>
      </c>
      <c r="H51" s="390"/>
    </row>
    <row r="52" spans="1:8">
      <c r="A52" s="391"/>
      <c r="C52" s="420" t="s">
        <v>26</v>
      </c>
      <c r="D52" s="392"/>
      <c r="E52" s="421"/>
      <c r="F52" s="422"/>
      <c r="G52" s="423">
        <f>SUM(G50:G51)</f>
        <v>14828.839999999998</v>
      </c>
      <c r="H52" s="390"/>
    </row>
    <row r="53" spans="1:8" ht="28">
      <c r="A53" s="391" t="s">
        <v>657</v>
      </c>
      <c r="C53" s="424" t="s">
        <v>658</v>
      </c>
      <c r="D53" s="392" t="s">
        <v>83</v>
      </c>
      <c r="E53" s="425">
        <f>0.6756</f>
        <v>0.67559999999999998</v>
      </c>
      <c r="F53" s="426"/>
      <c r="G53" s="418">
        <f>+G52*E53</f>
        <v>10018.364303999999</v>
      </c>
      <c r="H53" s="390"/>
    </row>
    <row r="54" spans="1:8" ht="15">
      <c r="A54" s="427"/>
      <c r="B54" s="428"/>
      <c r="C54" s="428" t="s">
        <v>648</v>
      </c>
      <c r="D54" s="429"/>
      <c r="E54" s="430"/>
      <c r="F54" s="430"/>
      <c r="G54" s="431">
        <f>+G52+G53</f>
        <v>24847.204303999999</v>
      </c>
      <c r="H54" s="390"/>
    </row>
    <row r="55" spans="1:8">
      <c r="A55" s="391"/>
      <c r="D55" s="392"/>
      <c r="E55" s="421"/>
      <c r="F55" s="426"/>
      <c r="G55" s="421"/>
      <c r="H55" s="390"/>
    </row>
    <row r="56" spans="1:8" ht="15">
      <c r="A56" s="411" t="s">
        <v>663</v>
      </c>
      <c r="B56" s="412"/>
      <c r="C56" s="412" t="s">
        <v>664</v>
      </c>
      <c r="D56" s="413" t="s">
        <v>78</v>
      </c>
      <c r="E56" s="437">
        <v>0.1</v>
      </c>
      <c r="F56" s="432"/>
      <c r="G56" s="433"/>
      <c r="H56" s="390"/>
    </row>
    <row r="57" spans="1:8">
      <c r="A57" s="391" t="s">
        <v>665</v>
      </c>
      <c r="C57" s="346" t="s">
        <v>666</v>
      </c>
      <c r="D57" s="392" t="s">
        <v>654</v>
      </c>
      <c r="E57" s="416">
        <v>0.125</v>
      </c>
      <c r="F57" s="417">
        <f>+($D$7*E56)+$D$7</f>
        <v>109847.22734700001</v>
      </c>
      <c r="G57" s="418">
        <f>+E57*F57</f>
        <v>13730.903418375001</v>
      </c>
      <c r="H57" s="390"/>
    </row>
    <row r="58" spans="1:8">
      <c r="A58" s="391" t="s">
        <v>667</v>
      </c>
      <c r="C58" s="346" t="s">
        <v>668</v>
      </c>
      <c r="D58" s="392" t="s">
        <v>654</v>
      </c>
      <c r="E58" s="416">
        <v>0.125</v>
      </c>
      <c r="F58" s="417">
        <f>+($D$13*E56)+$D$13</f>
        <v>130493.79199999999</v>
      </c>
      <c r="G58" s="418">
        <f>+E58*F58</f>
        <v>16311.723999999998</v>
      </c>
      <c r="H58" s="390"/>
    </row>
    <row r="59" spans="1:8">
      <c r="A59" s="391"/>
      <c r="C59" s="420" t="s">
        <v>669</v>
      </c>
      <c r="D59" s="392"/>
      <c r="E59" s="421"/>
      <c r="F59" s="426"/>
      <c r="G59" s="423">
        <f>SUM(G57:G58)</f>
        <v>30042.627418374999</v>
      </c>
      <c r="H59" s="390"/>
    </row>
    <row r="60" spans="1:8" ht="28">
      <c r="A60" s="391" t="s">
        <v>657</v>
      </c>
      <c r="C60" s="424" t="s">
        <v>658</v>
      </c>
      <c r="D60" s="392" t="s">
        <v>83</v>
      </c>
      <c r="E60" s="425">
        <f>+(0.7008+0.6756)/2</f>
        <v>0.68819999999999992</v>
      </c>
      <c r="F60" s="426"/>
      <c r="G60" s="418">
        <f>+G59*E60</f>
        <v>20675.336189325673</v>
      </c>
      <c r="H60" s="390"/>
    </row>
    <row r="61" spans="1:8" ht="15">
      <c r="A61" s="427"/>
      <c r="B61" s="428"/>
      <c r="C61" s="428" t="s">
        <v>648</v>
      </c>
      <c r="D61" s="429"/>
      <c r="E61" s="430"/>
      <c r="F61" s="430"/>
      <c r="G61" s="431">
        <f>+G59+G60</f>
        <v>50717.963607700673</v>
      </c>
      <c r="H61" s="390"/>
    </row>
    <row r="62" spans="1:8">
      <c r="A62" s="391"/>
      <c r="D62" s="392"/>
      <c r="E62" s="421"/>
      <c r="F62" s="426"/>
      <c r="G62" s="421"/>
      <c r="H62" s="390"/>
    </row>
    <row r="63" spans="1:8" ht="15">
      <c r="A63" s="411" t="s">
        <v>670</v>
      </c>
      <c r="B63" s="412"/>
      <c r="C63" s="412" t="s">
        <v>671</v>
      </c>
      <c r="D63" s="413" t="s">
        <v>78</v>
      </c>
      <c r="E63" s="437">
        <v>0.15</v>
      </c>
      <c r="F63" s="432"/>
      <c r="G63" s="433"/>
      <c r="H63" s="390"/>
    </row>
    <row r="64" spans="1:8">
      <c r="A64" s="391" t="s">
        <v>672</v>
      </c>
      <c r="C64" s="346" t="s">
        <v>673</v>
      </c>
      <c r="D64" s="392" t="s">
        <v>654</v>
      </c>
      <c r="E64" s="416">
        <f>0.125*3</f>
        <v>0.375</v>
      </c>
      <c r="F64" s="417">
        <f>+($D$7*E63)+$D$7</f>
        <v>114840.28313550001</v>
      </c>
      <c r="G64" s="418">
        <f>+E64*F64</f>
        <v>43065.1061758125</v>
      </c>
      <c r="H64" s="390"/>
    </row>
    <row r="65" spans="1:8">
      <c r="A65" s="391" t="s">
        <v>674</v>
      </c>
      <c r="C65" s="346" t="s">
        <v>675</v>
      </c>
      <c r="D65" s="392" t="s">
        <v>654</v>
      </c>
      <c r="E65" s="416">
        <v>0.125</v>
      </c>
      <c r="F65" s="417">
        <f>+($D$13*E63)+$D$13</f>
        <v>136425.32799999998</v>
      </c>
      <c r="G65" s="418">
        <f>+E65*F65</f>
        <v>17053.165999999997</v>
      </c>
      <c r="H65" s="390"/>
    </row>
    <row r="66" spans="1:8">
      <c r="A66" s="391"/>
      <c r="C66" s="420" t="s">
        <v>676</v>
      </c>
      <c r="D66" s="392"/>
      <c r="E66" s="421"/>
      <c r="F66" s="426"/>
      <c r="G66" s="423">
        <f>SUM(G64:G65)</f>
        <v>60118.272175812497</v>
      </c>
      <c r="H66" s="390"/>
    </row>
    <row r="67" spans="1:8" ht="15">
      <c r="A67" s="391"/>
      <c r="C67" s="346" t="s">
        <v>677</v>
      </c>
      <c r="D67" s="392" t="s">
        <v>83</v>
      </c>
      <c r="E67" s="438">
        <v>0.15</v>
      </c>
      <c r="F67" s="426"/>
      <c r="G67" s="418">
        <f>+G66*E67</f>
        <v>9017.7408263718735</v>
      </c>
      <c r="H67" s="390"/>
    </row>
    <row r="68" spans="1:8">
      <c r="A68" s="391"/>
      <c r="C68" s="420" t="s">
        <v>678</v>
      </c>
      <c r="D68" s="392"/>
      <c r="E68" s="421"/>
      <c r="F68" s="426"/>
      <c r="G68" s="423">
        <f>+G66+G67</f>
        <v>69136.013002184365</v>
      </c>
      <c r="H68" s="390"/>
    </row>
    <row r="69" spans="1:8" ht="28">
      <c r="A69" s="391" t="s">
        <v>657</v>
      </c>
      <c r="C69" s="424" t="s">
        <v>658</v>
      </c>
      <c r="D69" s="392" t="s">
        <v>83</v>
      </c>
      <c r="E69" s="425">
        <f>+((0.7008*3)+0.6756)/4</f>
        <v>0.6944999999999999</v>
      </c>
      <c r="F69" s="426"/>
      <c r="G69" s="418">
        <f>+G68*E69</f>
        <v>48014.961030017032</v>
      </c>
      <c r="H69" s="390"/>
    </row>
    <row r="70" spans="1:8" ht="15">
      <c r="A70" s="427"/>
      <c r="B70" s="428"/>
      <c r="C70" s="428" t="s">
        <v>648</v>
      </c>
      <c r="D70" s="429"/>
      <c r="E70" s="430"/>
      <c r="F70" s="430"/>
      <c r="G70" s="431">
        <f>+G68+G69</f>
        <v>117150.9740322014</v>
      </c>
      <c r="H70" s="390"/>
    </row>
    <row r="71" spans="1:8">
      <c r="A71" s="391"/>
      <c r="D71" s="392"/>
      <c r="E71" s="421"/>
      <c r="F71" s="426"/>
      <c r="G71" s="421"/>
      <c r="H71" s="390"/>
    </row>
    <row r="72" spans="1:8" ht="15">
      <c r="A72" s="411" t="s">
        <v>679</v>
      </c>
      <c r="B72" s="412"/>
      <c r="C72" s="412" t="s">
        <v>680</v>
      </c>
      <c r="D72" s="413" t="s">
        <v>78</v>
      </c>
      <c r="E72" s="437">
        <v>0.2</v>
      </c>
      <c r="F72" s="432"/>
      <c r="G72" s="433"/>
      <c r="H72" s="390"/>
    </row>
    <row r="73" spans="1:8">
      <c r="A73" s="391" t="s">
        <v>672</v>
      </c>
      <c r="C73" s="346" t="s">
        <v>681</v>
      </c>
      <c r="D73" s="392" t="s">
        <v>654</v>
      </c>
      <c r="E73" s="416">
        <v>0.125</v>
      </c>
      <c r="F73" s="417">
        <f>+($D$7*E72)+$D$7</f>
        <v>119833.33892400001</v>
      </c>
      <c r="G73" s="418">
        <f>+E73*F73</f>
        <v>14979.167365500001</v>
      </c>
      <c r="H73" s="390"/>
    </row>
    <row r="74" spans="1:8">
      <c r="A74" s="391" t="s">
        <v>674</v>
      </c>
      <c r="C74" s="346" t="s">
        <v>682</v>
      </c>
      <c r="D74" s="392" t="s">
        <v>654</v>
      </c>
      <c r="E74" s="416">
        <v>0.125</v>
      </c>
      <c r="F74" s="417">
        <f>+($D$13*E72)+$D$13</f>
        <v>142356.864</v>
      </c>
      <c r="G74" s="418">
        <f>+E74*F74</f>
        <v>17794.608</v>
      </c>
      <c r="H74" s="390"/>
    </row>
    <row r="75" spans="1:8">
      <c r="A75" s="391"/>
      <c r="C75" s="346" t="s">
        <v>683</v>
      </c>
      <c r="D75" s="392" t="s">
        <v>654</v>
      </c>
      <c r="E75" s="416">
        <v>0.125</v>
      </c>
      <c r="F75" s="417">
        <f>+($D$16*E72)+$D$16</f>
        <v>149200.94399999999</v>
      </c>
      <c r="G75" s="418">
        <f>+E75*F75</f>
        <v>18650.117999999999</v>
      </c>
      <c r="H75" s="390"/>
    </row>
    <row r="76" spans="1:8">
      <c r="A76" s="391"/>
      <c r="C76" s="420" t="s">
        <v>669</v>
      </c>
      <c r="D76" s="392"/>
      <c r="E76" s="421"/>
      <c r="F76" s="426"/>
      <c r="G76" s="423">
        <f>SUM(G73:G75)</f>
        <v>51423.8933655</v>
      </c>
      <c r="H76" s="390"/>
    </row>
    <row r="77" spans="1:8" ht="28">
      <c r="A77" s="391" t="s">
        <v>657</v>
      </c>
      <c r="C77" s="424" t="s">
        <v>658</v>
      </c>
      <c r="D77" s="392" t="s">
        <v>83</v>
      </c>
      <c r="E77" s="425">
        <f>(0.7008+0.6756+0.6586)/3</f>
        <v>0.67833333333333323</v>
      </c>
      <c r="F77" s="426"/>
      <c r="G77" s="418">
        <f>+G76*E77</f>
        <v>34882.540999597491</v>
      </c>
      <c r="H77" s="390"/>
    </row>
    <row r="78" spans="1:8" ht="15">
      <c r="A78" s="427"/>
      <c r="B78" s="428"/>
      <c r="C78" s="428" t="s">
        <v>648</v>
      </c>
      <c r="D78" s="429"/>
      <c r="E78" s="430"/>
      <c r="F78" s="430"/>
      <c r="G78" s="431">
        <f>+G76+G77</f>
        <v>86306.434365097492</v>
      </c>
      <c r="H78" s="390"/>
    </row>
    <row r="79" spans="1:8">
      <c r="A79" s="391"/>
      <c r="D79" s="392"/>
      <c r="E79" s="421"/>
      <c r="F79" s="426"/>
      <c r="G79" s="421"/>
      <c r="H79" s="390"/>
    </row>
    <row r="80" spans="1:8" ht="15">
      <c r="A80" s="411" t="s">
        <v>684</v>
      </c>
      <c r="B80" s="412"/>
      <c r="C80" s="412" t="s">
        <v>685</v>
      </c>
      <c r="D80" s="413" t="s">
        <v>78</v>
      </c>
      <c r="E80" s="437">
        <v>0.3</v>
      </c>
      <c r="F80" s="432"/>
      <c r="G80" s="433"/>
      <c r="H80" s="390"/>
    </row>
    <row r="81" spans="1:8">
      <c r="A81" s="391" t="s">
        <v>672</v>
      </c>
      <c r="C81" s="346" t="s">
        <v>686</v>
      </c>
      <c r="D81" s="392" t="s">
        <v>654</v>
      </c>
      <c r="E81" s="416">
        <v>0.125</v>
      </c>
      <c r="F81" s="417">
        <f>+(D10*E80)+D10</f>
        <v>18468.949498999998</v>
      </c>
      <c r="G81" s="418">
        <f>+E81*F81</f>
        <v>2308.6186873749998</v>
      </c>
      <c r="H81" s="390"/>
    </row>
    <row r="82" spans="1:8">
      <c r="A82" s="391" t="s">
        <v>674</v>
      </c>
      <c r="C82" s="346" t="s">
        <v>687</v>
      </c>
      <c r="D82" s="392" t="s">
        <v>654</v>
      </c>
      <c r="E82" s="416">
        <v>0.125</v>
      </c>
      <c r="F82" s="417">
        <f>+(D16*E80)+D16</f>
        <v>161634.35599999997</v>
      </c>
      <c r="G82" s="418">
        <f>+E82*F82</f>
        <v>20204.294499999996</v>
      </c>
      <c r="H82" s="390"/>
    </row>
    <row r="83" spans="1:8">
      <c r="A83" s="391"/>
      <c r="C83" s="420" t="s">
        <v>669</v>
      </c>
      <c r="D83" s="392"/>
      <c r="E83" s="421"/>
      <c r="F83" s="426"/>
      <c r="G83" s="423">
        <f>SUM(G81:G82)</f>
        <v>22512.913187374998</v>
      </c>
      <c r="H83" s="390"/>
    </row>
    <row r="84" spans="1:8" ht="28">
      <c r="A84" s="391" t="s">
        <v>657</v>
      </c>
      <c r="C84" s="424" t="s">
        <v>658</v>
      </c>
      <c r="D84" s="392" t="s">
        <v>83</v>
      </c>
      <c r="E84" s="425">
        <f>+(0.6885+0.6586)/2</f>
        <v>0.67354999999999998</v>
      </c>
      <c r="F84" s="426"/>
      <c r="G84" s="418">
        <f>+G83*E84</f>
        <v>15163.572677356429</v>
      </c>
      <c r="H84" s="390"/>
    </row>
    <row r="85" spans="1:8" ht="15">
      <c r="A85" s="427"/>
      <c r="B85" s="428"/>
      <c r="C85" s="428" t="s">
        <v>648</v>
      </c>
      <c r="D85" s="429"/>
      <c r="E85" s="430"/>
      <c r="F85" s="430"/>
      <c r="G85" s="431">
        <f>+G83+G84</f>
        <v>37676.485864731425</v>
      </c>
      <c r="H85" s="390"/>
    </row>
    <row r="86" spans="1:8">
      <c r="A86" s="391"/>
      <c r="D86" s="392"/>
      <c r="E86" s="421"/>
      <c r="F86" s="426"/>
      <c r="G86" s="421"/>
      <c r="H86" s="390"/>
    </row>
    <row r="87" spans="1:8" ht="15">
      <c r="A87" s="411" t="s">
        <v>650</v>
      </c>
      <c r="B87" s="412"/>
      <c r="C87" s="412" t="s">
        <v>688</v>
      </c>
      <c r="D87" s="413" t="s">
        <v>78</v>
      </c>
      <c r="E87" s="414"/>
      <c r="F87" s="414"/>
      <c r="G87" s="415"/>
      <c r="H87" s="390"/>
    </row>
    <row r="88" spans="1:8">
      <c r="A88" s="391" t="s">
        <v>652</v>
      </c>
      <c r="C88" s="346" t="s">
        <v>689</v>
      </c>
      <c r="D88" s="392" t="s">
        <v>654</v>
      </c>
      <c r="E88" s="416">
        <v>0.18199899999999999</v>
      </c>
      <c r="F88" s="417">
        <v>63964.39</v>
      </c>
      <c r="G88" s="418">
        <f>+E88*F88</f>
        <v>11641.455015609999</v>
      </c>
      <c r="H88" s="390"/>
    </row>
    <row r="89" spans="1:8">
      <c r="A89" s="391" t="s">
        <v>655</v>
      </c>
      <c r="C89" s="346" t="s">
        <v>690</v>
      </c>
      <c r="D89" s="392" t="s">
        <v>654</v>
      </c>
      <c r="E89" s="416">
        <v>0.125</v>
      </c>
      <c r="F89" s="417">
        <v>59442.38</v>
      </c>
      <c r="G89" s="418">
        <f>+E89*F89</f>
        <v>7430.2974999999997</v>
      </c>
      <c r="H89" s="390"/>
    </row>
    <row r="90" spans="1:8">
      <c r="A90" s="391"/>
      <c r="C90" s="420" t="s">
        <v>26</v>
      </c>
      <c r="D90" s="392"/>
      <c r="E90" s="421"/>
      <c r="F90" s="422"/>
      <c r="G90" s="423">
        <f>SUM(G88:G89)</f>
        <v>19071.752515609998</v>
      </c>
      <c r="H90" s="390"/>
    </row>
    <row r="91" spans="1:8" ht="28">
      <c r="A91" s="391" t="s">
        <v>657</v>
      </c>
      <c r="C91" s="424" t="s">
        <v>658</v>
      </c>
      <c r="D91" s="392" t="s">
        <v>83</v>
      </c>
      <c r="E91" s="425">
        <v>0.4</v>
      </c>
      <c r="F91" s="426"/>
      <c r="G91" s="418">
        <f>+G90*E91</f>
        <v>7628.7010062439995</v>
      </c>
      <c r="H91" s="390"/>
    </row>
    <row r="92" spans="1:8" ht="15">
      <c r="A92" s="427"/>
      <c r="B92" s="428"/>
      <c r="C92" s="428" t="s">
        <v>648</v>
      </c>
      <c r="D92" s="429"/>
      <c r="E92" s="430"/>
      <c r="F92" s="430"/>
      <c r="G92" s="431">
        <f>+ROUND(G90+G91,0)</f>
        <v>26700</v>
      </c>
      <c r="H92" s="390"/>
    </row>
    <row r="93" spans="1:8">
      <c r="A93" s="391"/>
      <c r="H93" s="390"/>
    </row>
    <row r="94" spans="1:8" ht="15">
      <c r="A94" s="411" t="s">
        <v>650</v>
      </c>
      <c r="B94" s="412"/>
      <c r="C94" s="412" t="s">
        <v>691</v>
      </c>
      <c r="D94" s="413" t="s">
        <v>78</v>
      </c>
      <c r="E94" s="414"/>
      <c r="F94" s="414"/>
      <c r="G94" s="415"/>
      <c r="H94" s="390"/>
    </row>
    <row r="95" spans="1:8">
      <c r="A95" s="391" t="s">
        <v>652</v>
      </c>
      <c r="C95" s="346" t="s">
        <v>653</v>
      </c>
      <c r="D95" s="392" t="s">
        <v>654</v>
      </c>
      <c r="E95" s="416">
        <v>0.15</v>
      </c>
      <c r="F95" s="417">
        <f>+$D$7*4</f>
        <v>399444.46308000002</v>
      </c>
      <c r="G95" s="418">
        <f>+E95*F95</f>
        <v>59916.669461999998</v>
      </c>
      <c r="H95" s="390"/>
    </row>
    <row r="96" spans="1:8">
      <c r="A96" s="391" t="s">
        <v>655</v>
      </c>
      <c r="C96" s="346" t="s">
        <v>656</v>
      </c>
      <c r="D96" s="392" t="s">
        <v>654</v>
      </c>
      <c r="E96" s="416">
        <v>0.15</v>
      </c>
      <c r="F96" s="417">
        <f>+$D$13*2</f>
        <v>237261.43999999997</v>
      </c>
      <c r="G96" s="418">
        <f>+E96*F96</f>
        <v>35589.215999999993</v>
      </c>
      <c r="H96" s="390"/>
    </row>
    <row r="97" spans="1:8">
      <c r="A97" s="391"/>
      <c r="C97" s="420" t="s">
        <v>26</v>
      </c>
      <c r="D97" s="392"/>
      <c r="E97" s="421"/>
      <c r="F97" s="422"/>
      <c r="G97" s="423">
        <f>SUM(G95:G96)</f>
        <v>95505.885461999991</v>
      </c>
      <c r="H97" s="390"/>
    </row>
    <row r="98" spans="1:8" ht="28">
      <c r="A98" s="391" t="s">
        <v>657</v>
      </c>
      <c r="C98" s="424" t="s">
        <v>658</v>
      </c>
      <c r="D98" s="392" t="s">
        <v>83</v>
      </c>
      <c r="E98" s="425">
        <f>+(0.7008+0.6756)/2</f>
        <v>0.68819999999999992</v>
      </c>
      <c r="F98" s="426"/>
      <c r="G98" s="418">
        <f>+G97*E98</f>
        <v>65727.150374948382</v>
      </c>
      <c r="H98" s="390"/>
    </row>
    <row r="99" spans="1:8" ht="15">
      <c r="A99" s="427"/>
      <c r="B99" s="428"/>
      <c r="C99" s="428" t="s">
        <v>648</v>
      </c>
      <c r="D99" s="429"/>
      <c r="E99" s="430"/>
      <c r="F99" s="430"/>
      <c r="G99" s="431">
        <f>+G97+G98</f>
        <v>161233.03583694837</v>
      </c>
      <c r="H99" s="390"/>
    </row>
    <row r="100" spans="1:8">
      <c r="A100" s="391"/>
      <c r="H100" s="390"/>
    </row>
    <row r="101" spans="1:8" ht="15">
      <c r="A101" s="411" t="s">
        <v>650</v>
      </c>
      <c r="B101" s="412"/>
      <c r="C101" s="412" t="s">
        <v>692</v>
      </c>
      <c r="D101" s="413" t="s">
        <v>78</v>
      </c>
      <c r="E101" s="414"/>
      <c r="F101" s="414"/>
      <c r="G101" s="415"/>
      <c r="H101" s="390"/>
    </row>
    <row r="102" spans="1:8">
      <c r="A102" s="391" t="s">
        <v>652</v>
      </c>
      <c r="C102" s="346" t="s">
        <v>653</v>
      </c>
      <c r="D102" s="392" t="s">
        <v>654</v>
      </c>
      <c r="E102" s="416">
        <v>0.125</v>
      </c>
      <c r="F102" s="417">
        <f>+$D$7*2</f>
        <v>199722.23154000001</v>
      </c>
      <c r="G102" s="418">
        <f>+E102*F102</f>
        <v>24965.278942500001</v>
      </c>
      <c r="H102" s="390"/>
    </row>
    <row r="103" spans="1:8">
      <c r="A103" s="391"/>
      <c r="C103" s="420" t="s">
        <v>26</v>
      </c>
      <c r="D103" s="392"/>
      <c r="E103" s="421"/>
      <c r="F103" s="422"/>
      <c r="G103" s="423">
        <f>SUM(G102:G102)</f>
        <v>24965.278942500001</v>
      </c>
      <c r="H103" s="390"/>
    </row>
    <row r="104" spans="1:8" ht="28">
      <c r="A104" s="391" t="s">
        <v>657</v>
      </c>
      <c r="C104" s="424" t="s">
        <v>658</v>
      </c>
      <c r="D104" s="392" t="s">
        <v>83</v>
      </c>
      <c r="E104" s="425">
        <f>+(0.7008+0.6756)/2</f>
        <v>0.68819999999999992</v>
      </c>
      <c r="F104" s="426"/>
      <c r="G104" s="418">
        <f>+G103*E104</f>
        <v>17181.104968228497</v>
      </c>
      <c r="H104" s="390"/>
    </row>
    <row r="105" spans="1:8" ht="16" thickBot="1">
      <c r="A105" s="439"/>
      <c r="B105" s="440"/>
      <c r="C105" s="440" t="s">
        <v>648</v>
      </c>
      <c r="D105" s="441"/>
      <c r="E105" s="442"/>
      <c r="F105" s="442"/>
      <c r="G105" s="443">
        <f>+G103+G104</f>
        <v>42146.383910728502</v>
      </c>
      <c r="H105" s="401"/>
    </row>
    <row r="108" spans="1:8" customFormat="1" ht="14">
      <c r="A108" s="373"/>
      <c r="B108" s="371"/>
      <c r="C108" s="372"/>
      <c r="F108" s="337"/>
    </row>
    <row r="109" spans="1:8" customFormat="1" ht="14">
      <c r="A109" s="370" t="s">
        <v>629</v>
      </c>
      <c r="B109" s="371"/>
      <c r="C109" s="372"/>
      <c r="F109" s="336"/>
    </row>
    <row r="110" spans="1:8" customFormat="1" ht="14">
      <c r="A110" s="370"/>
      <c r="B110" s="371"/>
      <c r="C110" s="372"/>
    </row>
    <row r="111" spans="1:8" customFormat="1" ht="14">
      <c r="A111" s="370"/>
      <c r="B111" s="375"/>
      <c r="C111" s="375"/>
    </row>
    <row r="112" spans="1:8" customFormat="1" ht="14">
      <c r="A112" s="370"/>
      <c r="B112" s="375"/>
      <c r="C112" s="375"/>
    </row>
    <row r="113" spans="1:5" customFormat="1" ht="14">
      <c r="A113" s="350"/>
      <c r="B113" s="375"/>
      <c r="C113" s="375"/>
    </row>
    <row r="114" spans="1:5" customFormat="1" ht="16">
      <c r="A114" s="535" t="s">
        <v>733</v>
      </c>
      <c r="B114" s="375"/>
      <c r="C114" s="375"/>
      <c r="D114" s="6"/>
      <c r="E114" s="6"/>
    </row>
    <row r="115" spans="1:5" customFormat="1" ht="16">
      <c r="A115" s="535" t="s">
        <v>630</v>
      </c>
      <c r="B115" s="375"/>
      <c r="C115" s="375"/>
    </row>
    <row r="116" spans="1:5" customFormat="1" ht="16">
      <c r="A116" s="535" t="s">
        <v>631</v>
      </c>
      <c r="B116" s="375"/>
      <c r="C116" s="375"/>
    </row>
    <row r="117" spans="1:5" customFormat="1" ht="16">
      <c r="A117" s="535" t="s">
        <v>632</v>
      </c>
      <c r="B117" s="375"/>
      <c r="C117" s="375"/>
    </row>
    <row r="118" spans="1:5" customFormat="1" ht="15">
      <c r="A118" s="536"/>
      <c r="B118" s="538"/>
      <c r="C118" s="538"/>
    </row>
    <row r="119" spans="1:5" customFormat="1" ht="15">
      <c r="A119" s="536"/>
      <c r="B119" s="374"/>
      <c r="C119" s="375"/>
    </row>
    <row r="120" spans="1:5" ht="15">
      <c r="A120" s="537"/>
      <c r="B120"/>
    </row>
    <row r="121" spans="1:5" ht="15">
      <c r="A121" s="536"/>
      <c r="B121"/>
    </row>
  </sheetData>
  <mergeCells count="5">
    <mergeCell ref="A1:A3"/>
    <mergeCell ref="B1:G1"/>
    <mergeCell ref="H1:H3"/>
    <mergeCell ref="B2:G2"/>
    <mergeCell ref="B3:G3"/>
  </mergeCells>
  <pageMargins left="0.7" right="0.7" top="0.75" bottom="0.75" header="0.3" footer="0.3"/>
  <pageSetup scale="53" orientation="portrait" r:id="rId1"/>
  <colBreaks count="1" manualBreakCount="1">
    <brk id="8" max="113" man="1"/>
  </col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0070C0"/>
  </sheetPr>
  <dimension ref="A1:G27"/>
  <sheetViews>
    <sheetView view="pageBreakPreview" zoomScaleNormal="100" zoomScaleSheetLayoutView="100" workbookViewId="0">
      <selection activeCell="F18" sqref="F18"/>
    </sheetView>
  </sheetViews>
  <sheetFormatPr baseColWidth="10" defaultRowHeight="13"/>
  <cols>
    <col min="2" max="2" width="34.19921875" customWidth="1"/>
    <col min="3" max="3" width="11" customWidth="1"/>
    <col min="5" max="5" width="14.19921875" customWidth="1"/>
    <col min="6" max="6" width="25.19921875" customWidth="1"/>
    <col min="7" max="7" width="15.19921875" customWidth="1"/>
  </cols>
  <sheetData>
    <row r="1" spans="1:6" ht="55.5" customHeight="1" thickBot="1">
      <c r="A1" s="801" t="s">
        <v>604</v>
      </c>
      <c r="B1" s="802"/>
      <c r="C1" s="802"/>
      <c r="D1" s="802"/>
      <c r="E1" s="802"/>
      <c r="F1" s="803"/>
    </row>
    <row r="2" spans="1:6" ht="9" customHeight="1">
      <c r="A2" s="804"/>
      <c r="B2" s="804"/>
      <c r="C2" s="804"/>
      <c r="D2" s="804"/>
      <c r="E2" s="804"/>
      <c r="F2" s="804"/>
    </row>
    <row r="3" spans="1:6" ht="8.25" customHeight="1" thickBot="1">
      <c r="A3" s="73"/>
      <c r="B3" s="73"/>
      <c r="C3" s="74"/>
      <c r="D3" s="73"/>
      <c r="E3" s="73"/>
      <c r="F3" s="72"/>
    </row>
    <row r="4" spans="1:6" ht="14" thickBot="1">
      <c r="A4" s="71" t="s">
        <v>77</v>
      </c>
      <c r="B4" s="70" t="s">
        <v>1</v>
      </c>
      <c r="C4" s="69" t="s">
        <v>2</v>
      </c>
      <c r="D4" s="68" t="s">
        <v>3</v>
      </c>
      <c r="E4" s="68" t="s">
        <v>76</v>
      </c>
      <c r="F4" s="67" t="s">
        <v>75</v>
      </c>
    </row>
    <row r="5" spans="1:6" ht="26.5" customHeight="1" thickBot="1">
      <c r="A5" s="62">
        <v>1</v>
      </c>
      <c r="B5" s="805" t="s">
        <v>592</v>
      </c>
      <c r="C5" s="805"/>
      <c r="D5" s="805"/>
      <c r="E5" s="806"/>
      <c r="F5" s="60">
        <f>SUM(F6:F7)</f>
        <v>8293924</v>
      </c>
    </row>
    <row r="6" spans="1:6" ht="30" customHeight="1">
      <c r="A6" s="66">
        <v>1.1000000000000001</v>
      </c>
      <c r="B6" s="59" t="s">
        <v>5</v>
      </c>
      <c r="C6" s="58" t="s">
        <v>6</v>
      </c>
      <c r="D6" s="300">
        <f>'Cantidad 2'!G6</f>
        <v>113.25</v>
      </c>
      <c r="E6" s="65">
        <f>+'APU 2'!F31</f>
        <v>48155.270267917811</v>
      </c>
      <c r="F6" s="57">
        <f>+ROUND(D6*E6,0)</f>
        <v>5453584</v>
      </c>
    </row>
    <row r="7" spans="1:6" ht="36.75" customHeight="1" thickBot="1">
      <c r="A7" s="64">
        <v>1.2</v>
      </c>
      <c r="B7" s="56" t="s">
        <v>7</v>
      </c>
      <c r="C7" s="55" t="s">
        <v>6</v>
      </c>
      <c r="D7" s="301">
        <f>'Cantidad 2'!G7</f>
        <v>79.275000000000006</v>
      </c>
      <c r="E7" s="63">
        <f>+'APU 2'!F58</f>
        <v>35828.953730547946</v>
      </c>
      <c r="F7" s="53">
        <f>+ROUND(D7*E7,0)</f>
        <v>2840340</v>
      </c>
    </row>
    <row r="8" spans="1:6" ht="30" customHeight="1" thickBot="1">
      <c r="A8" s="62">
        <v>2</v>
      </c>
      <c r="B8" s="807" t="s">
        <v>593</v>
      </c>
      <c r="C8" s="807"/>
      <c r="D8" s="807"/>
      <c r="E8" s="807"/>
      <c r="F8" s="60">
        <f>SUM(F9:F16)</f>
        <v>12404275</v>
      </c>
    </row>
    <row r="9" spans="1:6" ht="42">
      <c r="A9" s="61">
        <v>2.1</v>
      </c>
      <c r="B9" s="302" t="s">
        <v>598</v>
      </c>
      <c r="C9" s="303" t="s">
        <v>9</v>
      </c>
      <c r="D9" s="304">
        <f>+'Cantidad 2'!G9</f>
        <v>96</v>
      </c>
      <c r="E9" s="54">
        <f>+'APU 2'!F88</f>
        <v>78259.708229178083</v>
      </c>
      <c r="F9" s="53">
        <f t="shared" ref="F9:F15" si="0">+ROUND(D9*E9,0)</f>
        <v>7512932</v>
      </c>
    </row>
    <row r="10" spans="1:6" ht="42">
      <c r="A10" s="61">
        <v>2.2000000000000002</v>
      </c>
      <c r="B10" s="305" t="s">
        <v>584</v>
      </c>
      <c r="C10" s="306" t="s">
        <v>10</v>
      </c>
      <c r="D10" s="304">
        <f>+'Cantidad 2'!G10</f>
        <v>18</v>
      </c>
      <c r="E10" s="54">
        <f>+'APU 2'!F119</f>
        <v>77853.737814041087</v>
      </c>
      <c r="F10" s="53">
        <f t="shared" si="0"/>
        <v>1401367</v>
      </c>
    </row>
    <row r="11" spans="1:6" ht="42">
      <c r="A11" s="61">
        <v>2.2999999999999998</v>
      </c>
      <c r="B11" s="302" t="s">
        <v>599</v>
      </c>
      <c r="C11" s="303" t="s">
        <v>9</v>
      </c>
      <c r="D11" s="304">
        <f>+'Cantidad 2'!G11</f>
        <v>24</v>
      </c>
      <c r="E11" s="54">
        <f>+'APU 2'!F150</f>
        <v>54060.04219180761</v>
      </c>
      <c r="F11" s="53">
        <f t="shared" si="0"/>
        <v>1297441</v>
      </c>
    </row>
    <row r="12" spans="1:6" ht="42">
      <c r="A12" s="61">
        <v>2.4</v>
      </c>
      <c r="B12" s="305" t="s">
        <v>588</v>
      </c>
      <c r="C12" s="306" t="s">
        <v>10</v>
      </c>
      <c r="D12" s="304">
        <f>+'Cantidad 2'!G12</f>
        <v>6</v>
      </c>
      <c r="E12" s="54">
        <f>+'APU 2'!F181</f>
        <v>50301.1918140411</v>
      </c>
      <c r="F12" s="53">
        <f t="shared" si="0"/>
        <v>301807</v>
      </c>
    </row>
    <row r="13" spans="1:6" ht="42">
      <c r="A13" s="61">
        <v>2.5</v>
      </c>
      <c r="B13" s="302" t="s">
        <v>600</v>
      </c>
      <c r="C13" s="303" t="s">
        <v>9</v>
      </c>
      <c r="D13" s="304">
        <f>+'Cantidad 2'!G13</f>
        <v>30</v>
      </c>
      <c r="E13" s="54">
        <f>+'APU 2'!F212</f>
        <v>38739.36041680762</v>
      </c>
      <c r="F13" s="53">
        <f t="shared" si="0"/>
        <v>1162181</v>
      </c>
    </row>
    <row r="14" spans="1:6" ht="42">
      <c r="A14" s="61">
        <v>2.6</v>
      </c>
      <c r="B14" s="305" t="s">
        <v>589</v>
      </c>
      <c r="C14" s="306" t="s">
        <v>10</v>
      </c>
      <c r="D14" s="304">
        <f>+'Cantidad 2'!G14</f>
        <v>7</v>
      </c>
      <c r="E14" s="54">
        <f>+'APU 2'!F243</f>
        <v>32002.085814041096</v>
      </c>
      <c r="F14" s="53">
        <f t="shared" si="0"/>
        <v>224015</v>
      </c>
    </row>
    <row r="15" spans="1:6" ht="74" customHeight="1">
      <c r="A15" s="61">
        <v>2.7</v>
      </c>
      <c r="B15" s="305" t="s">
        <v>591</v>
      </c>
      <c r="C15" s="306" t="s">
        <v>590</v>
      </c>
      <c r="D15" s="304">
        <f>+'Cantidad 2'!G15</f>
        <v>1</v>
      </c>
      <c r="E15" s="54">
        <f>+'APU 2'!F274</f>
        <v>504532.30512328766</v>
      </c>
      <c r="F15" s="53">
        <f t="shared" si="0"/>
        <v>504532</v>
      </c>
    </row>
    <row r="16" spans="1:6" ht="14" thickBot="1">
      <c r="A16" s="52"/>
      <c r="B16" s="51"/>
      <c r="C16" s="50"/>
      <c r="D16" s="49"/>
      <c r="E16" s="48"/>
      <c r="F16" s="47"/>
    </row>
    <row r="17" spans="1:7" ht="15" thickBot="1">
      <c r="A17" s="46"/>
      <c r="B17" s="45"/>
      <c r="C17" s="808" t="s">
        <v>11</v>
      </c>
      <c r="D17" s="809"/>
      <c r="E17" s="810"/>
      <c r="F17" s="42">
        <f>F5+F8</f>
        <v>20698199</v>
      </c>
      <c r="G17" s="319"/>
    </row>
    <row r="18" spans="1:7" ht="14" thickBot="1">
      <c r="A18" s="44"/>
      <c r="B18" s="43"/>
      <c r="C18" s="798" t="s">
        <v>12</v>
      </c>
      <c r="D18" s="799"/>
      <c r="E18" s="799"/>
      <c r="F18" s="42">
        <f>SUM(F17:F17)</f>
        <v>20698199</v>
      </c>
      <c r="G18" s="319"/>
    </row>
    <row r="24" spans="1:7" ht="14" thickBot="1">
      <c r="B24" s="307"/>
      <c r="C24" s="307"/>
      <c r="D24" s="307"/>
      <c r="E24" s="307"/>
    </row>
    <row r="25" spans="1:7" ht="16">
      <c r="B25" s="6" t="e">
        <f>+#REF!</f>
        <v>#REF!</v>
      </c>
      <c r="C25" s="6"/>
      <c r="D25" s="6"/>
      <c r="E25" s="6"/>
    </row>
    <row r="26" spans="1:7" ht="16">
      <c r="B26" s="6" t="e">
        <f>+#REF!</f>
        <v>#REF!</v>
      </c>
      <c r="C26" s="6"/>
      <c r="D26" s="6"/>
      <c r="E26" s="6"/>
    </row>
    <row r="27" spans="1:7" ht="16">
      <c r="B27" s="800"/>
      <c r="C27" s="800"/>
      <c r="D27" s="6"/>
      <c r="E27" s="6"/>
    </row>
  </sheetData>
  <mergeCells count="7">
    <mergeCell ref="C18:E18"/>
    <mergeCell ref="B27:C27"/>
    <mergeCell ref="A1:F1"/>
    <mergeCell ref="A2:F2"/>
    <mergeCell ref="B5:E5"/>
    <mergeCell ref="B8:E8"/>
    <mergeCell ref="C17:E17"/>
  </mergeCells>
  <conditionalFormatting sqref="A5:B5">
    <cfRule type="cellIs" dxfId="5" priority="3" stopIfTrue="1" operator="equal">
      <formula>"ESCRIBA AQUÍ EL NOMBRE DEL CAPITULO"</formula>
    </cfRule>
  </conditionalFormatting>
  <conditionalFormatting sqref="A8:B8">
    <cfRule type="cellIs" dxfId="4" priority="2" stopIfTrue="1" operator="equal">
      <formula>"ESCRIBA AQUÍ EL NOMBRE DEL CAPITULO"</formula>
    </cfRule>
  </conditionalFormatting>
  <pageMargins left="0.70866141732283472" right="0.70866141732283472" top="2.5196850393700787" bottom="0.74803149606299213" header="0.31496062992125984" footer="0.31496062992125984"/>
  <pageSetup scale="54" orientation="landscape" horizontalDpi="300" verticalDpi="300" r:id="rId1"/>
  <headerFooter>
    <oddHeader>&amp;L&amp;"-,Normal"&amp;12&amp;G
Corregimiento de San José de Oriente - Municipio de La Paz - Cesar
&amp;"MS Sans Serif,Normal"&amp;10
&amp;R&amp;"-,Normal"&amp;12&amp;G
email: gestiproltda@gmail.com
celular: 3116625686</oddHeader>
  </headerFooter>
  <legacyDrawingHF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rgb="FF0070C0"/>
  </sheetPr>
  <dimension ref="A1:H284"/>
  <sheetViews>
    <sheetView view="pageBreakPreview" topLeftCell="A238" zoomScaleNormal="100" zoomScaleSheetLayoutView="100" workbookViewId="0">
      <selection activeCell="F274" sqref="F274"/>
    </sheetView>
  </sheetViews>
  <sheetFormatPr baseColWidth="10" defaultRowHeight="13"/>
  <cols>
    <col min="1" max="1" width="23.59765625" customWidth="1"/>
    <col min="2" max="2" width="11.3984375" customWidth="1"/>
    <col min="3" max="3" width="8.59765625" customWidth="1"/>
    <col min="4" max="4" width="14.796875" customWidth="1"/>
    <col min="6" max="6" width="17" customWidth="1"/>
  </cols>
  <sheetData>
    <row r="1" spans="1:8" ht="14" thickBot="1"/>
    <row r="2" spans="1:8" ht="16" thickTop="1">
      <c r="A2" s="830" t="s">
        <v>594</v>
      </c>
      <c r="B2" s="833" t="str">
        <f>+'PPTO 2'!B6</f>
        <v>EXCAVACION MANUAL EN MATERIAL CONGLOMERADO</v>
      </c>
      <c r="C2" s="833"/>
      <c r="D2" s="833"/>
      <c r="E2" s="100" t="s">
        <v>17</v>
      </c>
      <c r="F2" s="116" t="s">
        <v>101</v>
      </c>
      <c r="H2" s="311" t="s">
        <v>563</v>
      </c>
    </row>
    <row r="3" spans="1:8" ht="36.75" customHeight="1" thickBot="1">
      <c r="A3" s="832"/>
      <c r="B3" s="833"/>
      <c r="C3" s="833"/>
      <c r="D3" s="833"/>
      <c r="E3" s="99"/>
      <c r="F3" s="98"/>
      <c r="H3" s="311"/>
    </row>
    <row r="4" spans="1:8" ht="14" thickTop="1">
      <c r="A4" s="82"/>
      <c r="B4" s="81"/>
      <c r="C4" s="81"/>
      <c r="D4" s="81"/>
      <c r="E4" s="80"/>
      <c r="F4" s="89"/>
      <c r="H4" s="311"/>
    </row>
    <row r="5" spans="1:8">
      <c r="A5" s="78" t="s">
        <v>93</v>
      </c>
      <c r="B5" s="77"/>
      <c r="C5" s="77"/>
      <c r="D5" s="77"/>
      <c r="E5" s="97"/>
      <c r="F5" s="96"/>
      <c r="H5" s="311"/>
    </row>
    <row r="6" spans="1:8">
      <c r="A6" s="813" t="s">
        <v>81</v>
      </c>
      <c r="B6" s="814"/>
      <c r="C6" s="88" t="s">
        <v>10</v>
      </c>
      <c r="D6" s="88" t="s">
        <v>80</v>
      </c>
      <c r="E6" s="87" t="s">
        <v>3</v>
      </c>
      <c r="F6" s="86" t="s">
        <v>79</v>
      </c>
      <c r="H6" s="311"/>
    </row>
    <row r="7" spans="1:8">
      <c r="A7" s="95" t="s">
        <v>24</v>
      </c>
      <c r="B7" s="94"/>
      <c r="C7" s="88" t="s">
        <v>83</v>
      </c>
      <c r="D7" s="79">
        <f>F28</f>
        <v>45648.160939726033</v>
      </c>
      <c r="E7" s="84">
        <v>0.03</v>
      </c>
      <c r="F7" s="83">
        <f>D7*E7</f>
        <v>1369.444828191781</v>
      </c>
      <c r="H7" s="311"/>
    </row>
    <row r="8" spans="1:8">
      <c r="A8" s="95"/>
      <c r="B8" s="94"/>
      <c r="C8" s="88"/>
      <c r="D8" s="79"/>
      <c r="E8" s="84"/>
      <c r="F8" s="83"/>
      <c r="H8" s="311"/>
    </row>
    <row r="9" spans="1:8">
      <c r="A9" s="95"/>
      <c r="B9" s="94"/>
      <c r="C9" s="88"/>
      <c r="D9" s="79"/>
      <c r="E9" s="84"/>
      <c r="F9" s="83"/>
      <c r="H9" s="311"/>
    </row>
    <row r="10" spans="1:8">
      <c r="A10" s="82"/>
      <c r="B10" s="81"/>
      <c r="C10" s="81"/>
      <c r="D10" s="81" t="s">
        <v>26</v>
      </c>
      <c r="E10" s="80"/>
      <c r="F10" s="83">
        <f>SUM(F7:F9)</f>
        <v>1369.444828191781</v>
      </c>
      <c r="H10" s="311"/>
    </row>
    <row r="11" spans="1:8">
      <c r="A11" s="82"/>
      <c r="B11" s="81"/>
      <c r="C11" s="81"/>
      <c r="D11" s="81"/>
      <c r="E11" s="80"/>
      <c r="F11" s="89"/>
      <c r="H11" s="311"/>
    </row>
    <row r="12" spans="1:8">
      <c r="A12" s="82" t="s">
        <v>89</v>
      </c>
      <c r="B12" s="81"/>
      <c r="C12" s="93"/>
      <c r="D12" s="93"/>
      <c r="E12" s="92"/>
      <c r="F12" s="91"/>
      <c r="H12" s="311"/>
    </row>
    <row r="13" spans="1:8">
      <c r="A13" s="813" t="s">
        <v>81</v>
      </c>
      <c r="B13" s="814"/>
      <c r="C13" s="88" t="s">
        <v>10</v>
      </c>
      <c r="D13" s="88" t="s">
        <v>80</v>
      </c>
      <c r="E13" s="87" t="s">
        <v>3</v>
      </c>
      <c r="F13" s="86" t="s">
        <v>79</v>
      </c>
    </row>
    <row r="14" spans="1:8">
      <c r="A14" s="813" t="s">
        <v>108</v>
      </c>
      <c r="B14" s="814"/>
      <c r="C14" s="79" t="s">
        <v>10</v>
      </c>
      <c r="D14" s="101">
        <f>'ANALISIS BASICOS E INSUMOS'!D53</f>
        <v>500</v>
      </c>
      <c r="E14" s="84">
        <v>2</v>
      </c>
      <c r="F14" s="83">
        <f>D14*E14</f>
        <v>1000</v>
      </c>
    </row>
    <row r="15" spans="1:8">
      <c r="A15" s="813" t="s">
        <v>104</v>
      </c>
      <c r="B15" s="814"/>
      <c r="C15" s="79" t="s">
        <v>102</v>
      </c>
      <c r="D15" s="101">
        <f>'ANALISIS BASICOS E INSUMOS'!D147</f>
        <v>83490</v>
      </c>
      <c r="E15" s="115">
        <v>1E-3</v>
      </c>
      <c r="F15" s="83">
        <f>D15*E15</f>
        <v>83.49</v>
      </c>
    </row>
    <row r="16" spans="1:8">
      <c r="A16" s="813" t="s">
        <v>84</v>
      </c>
      <c r="B16" s="814"/>
      <c r="C16" s="88" t="s">
        <v>83</v>
      </c>
      <c r="D16" s="79">
        <f>F14+F15</f>
        <v>1083.49</v>
      </c>
      <c r="E16" s="84">
        <v>0.05</v>
      </c>
      <c r="F16" s="83">
        <f>D16*E16</f>
        <v>54.174500000000002</v>
      </c>
    </row>
    <row r="17" spans="1:6">
      <c r="A17" s="95"/>
      <c r="B17" s="94"/>
      <c r="C17" s="79"/>
      <c r="D17" s="79"/>
      <c r="E17" s="84"/>
      <c r="F17" s="83"/>
    </row>
    <row r="18" spans="1:6">
      <c r="A18" s="95"/>
      <c r="B18" s="94"/>
      <c r="C18" s="79"/>
      <c r="D18" s="79"/>
      <c r="E18" s="84"/>
      <c r="F18" s="83"/>
    </row>
    <row r="19" spans="1:6">
      <c r="A19" s="95"/>
      <c r="B19" s="94"/>
      <c r="C19" s="79"/>
      <c r="D19" s="79"/>
      <c r="E19" s="84"/>
      <c r="F19" s="83"/>
    </row>
    <row r="20" spans="1:6">
      <c r="A20" s="82"/>
      <c r="B20" s="81"/>
      <c r="C20" s="81"/>
      <c r="D20" s="81" t="s">
        <v>26</v>
      </c>
      <c r="E20" s="80"/>
      <c r="F20" s="83">
        <f>SUM(F14:F19)</f>
        <v>1137.6645000000001</v>
      </c>
    </row>
    <row r="21" spans="1:6">
      <c r="A21" s="82"/>
      <c r="B21" s="81"/>
      <c r="C21" s="81"/>
      <c r="D21" s="81"/>
      <c r="E21" s="80"/>
      <c r="F21" s="89"/>
    </row>
    <row r="22" spans="1:6">
      <c r="A22" s="78" t="s">
        <v>82</v>
      </c>
      <c r="B22" s="77"/>
      <c r="C22" s="81"/>
      <c r="D22" s="81"/>
      <c r="E22" s="80"/>
      <c r="F22" s="89"/>
    </row>
    <row r="23" spans="1:6">
      <c r="A23" s="813" t="s">
        <v>81</v>
      </c>
      <c r="B23" s="814"/>
      <c r="C23" s="88" t="s">
        <v>10</v>
      </c>
      <c r="D23" s="88" t="s">
        <v>80</v>
      </c>
      <c r="E23" s="87" t="s">
        <v>3</v>
      </c>
      <c r="F23" s="86" t="s">
        <v>79</v>
      </c>
    </row>
    <row r="24" spans="1:6">
      <c r="A24" s="828" t="s">
        <v>107</v>
      </c>
      <c r="B24" s="829"/>
      <c r="C24" s="79" t="s">
        <v>90</v>
      </c>
      <c r="D24" s="79">
        <v>304321.0729315069</v>
      </c>
      <c r="E24" s="84">
        <v>0.15</v>
      </c>
      <c r="F24" s="83">
        <f>D24*E24</f>
        <v>45648.160939726033</v>
      </c>
    </row>
    <row r="25" spans="1:6">
      <c r="A25" s="125"/>
      <c r="B25" s="79"/>
      <c r="C25" s="79"/>
      <c r="D25" s="79"/>
      <c r="E25" s="84"/>
      <c r="F25" s="83"/>
    </row>
    <row r="26" spans="1:6">
      <c r="A26" s="125"/>
      <c r="B26" s="79"/>
      <c r="C26" s="79"/>
      <c r="D26" s="79"/>
      <c r="E26" s="84"/>
      <c r="F26" s="83"/>
    </row>
    <row r="27" spans="1:6">
      <c r="A27" s="85"/>
      <c r="B27" s="79"/>
      <c r="C27" s="79"/>
      <c r="D27" s="79"/>
      <c r="E27" s="84"/>
      <c r="F27" s="83"/>
    </row>
    <row r="28" spans="1:6">
      <c r="A28" s="124"/>
      <c r="B28" s="123"/>
      <c r="C28" s="123"/>
      <c r="D28" s="123" t="s">
        <v>26</v>
      </c>
      <c r="E28" s="122"/>
      <c r="F28" s="83">
        <f>SUM(F24:F27)</f>
        <v>45648.160939726033</v>
      </c>
    </row>
    <row r="29" spans="1:6">
      <c r="A29" s="82"/>
      <c r="B29" s="81"/>
      <c r="C29" s="81"/>
      <c r="D29" s="81"/>
      <c r="E29" s="80"/>
      <c r="F29" s="89"/>
    </row>
    <row r="30" spans="1:6">
      <c r="A30" s="82"/>
      <c r="B30" s="81"/>
      <c r="C30" s="81"/>
      <c r="D30" s="81"/>
      <c r="E30" s="80"/>
      <c r="F30" s="89"/>
    </row>
    <row r="31" spans="1:6" ht="18">
      <c r="A31" s="82"/>
      <c r="B31" s="81"/>
      <c r="C31" s="104" t="s">
        <v>36</v>
      </c>
      <c r="D31" s="104"/>
      <c r="E31" s="103"/>
      <c r="F31" s="121">
        <f>+F28+F20+F10</f>
        <v>48155.270267917811</v>
      </c>
    </row>
    <row r="32" spans="1:6">
      <c r="A32" s="78"/>
      <c r="B32" s="77"/>
      <c r="C32" s="76"/>
      <c r="D32" s="106"/>
      <c r="E32" s="75"/>
      <c r="F32" s="105"/>
    </row>
    <row r="34" spans="1:8" ht="14" thickBot="1"/>
    <row r="35" spans="1:8" ht="16" thickTop="1">
      <c r="A35" s="830" t="s">
        <v>595</v>
      </c>
      <c r="B35" s="833" t="str">
        <f>+'PPTO 2'!B7</f>
        <v>RELLENO SELECCIONADO CON MATERIAL DE LA MISMA EXCAVACION</v>
      </c>
      <c r="C35" s="833"/>
      <c r="D35" s="833"/>
      <c r="E35" s="118" t="s">
        <v>17</v>
      </c>
      <c r="F35" s="117" t="s">
        <v>101</v>
      </c>
      <c r="H35" s="311" t="s">
        <v>563</v>
      </c>
    </row>
    <row r="36" spans="1:8">
      <c r="A36" s="831"/>
      <c r="B36" s="833"/>
      <c r="C36" s="833"/>
      <c r="D36" s="833"/>
      <c r="E36" s="80"/>
      <c r="F36" s="89"/>
      <c r="H36" s="311"/>
    </row>
    <row r="37" spans="1:8" ht="16.5" customHeight="1" thickBot="1">
      <c r="A37" s="832"/>
      <c r="B37" s="833"/>
      <c r="C37" s="833"/>
      <c r="D37" s="833"/>
      <c r="E37" s="99"/>
      <c r="F37" s="98"/>
      <c r="H37" s="311"/>
    </row>
    <row r="38" spans="1:8" ht="14" thickTop="1">
      <c r="A38" s="82"/>
      <c r="B38" s="81"/>
      <c r="C38" s="81"/>
      <c r="D38" s="81"/>
      <c r="E38" s="80"/>
      <c r="F38" s="89"/>
      <c r="H38" s="311"/>
    </row>
    <row r="39" spans="1:8">
      <c r="A39" s="78" t="s">
        <v>93</v>
      </c>
      <c r="B39" s="77"/>
      <c r="C39" s="77"/>
      <c r="D39" s="77"/>
      <c r="E39" s="97"/>
      <c r="F39" s="96"/>
      <c r="H39" s="311"/>
    </row>
    <row r="40" spans="1:8">
      <c r="A40" s="813" t="s">
        <v>81</v>
      </c>
      <c r="B40" s="814"/>
      <c r="C40" s="88" t="s">
        <v>10</v>
      </c>
      <c r="D40" s="88" t="s">
        <v>80</v>
      </c>
      <c r="E40" s="87" t="s">
        <v>3</v>
      </c>
      <c r="F40" s="86" t="s">
        <v>79</v>
      </c>
      <c r="H40" s="311"/>
    </row>
    <row r="41" spans="1:8">
      <c r="A41" s="95" t="s">
        <v>24</v>
      </c>
      <c r="B41" s="94"/>
      <c r="C41" s="88" t="s">
        <v>83</v>
      </c>
      <c r="D41" s="79">
        <f>F55</f>
        <v>21622.813076712329</v>
      </c>
      <c r="E41" s="84">
        <v>0.05</v>
      </c>
      <c r="F41" s="83">
        <f>D41*E41</f>
        <v>1081.1406538356166</v>
      </c>
      <c r="H41" s="311"/>
    </row>
    <row r="42" spans="1:8">
      <c r="A42" s="95"/>
      <c r="B42" s="94"/>
      <c r="C42" s="88"/>
      <c r="D42" s="101"/>
      <c r="E42" s="84"/>
      <c r="F42" s="83"/>
      <c r="H42" s="311"/>
    </row>
    <row r="43" spans="1:8">
      <c r="A43" s="95"/>
      <c r="B43" s="94"/>
      <c r="C43" s="88"/>
      <c r="D43" s="79"/>
      <c r="E43" s="84"/>
      <c r="F43" s="83"/>
      <c r="H43" s="311"/>
    </row>
    <row r="44" spans="1:8">
      <c r="A44" s="82"/>
      <c r="B44" s="81"/>
      <c r="C44" s="81"/>
      <c r="D44" s="81" t="s">
        <v>26</v>
      </c>
      <c r="E44" s="80"/>
      <c r="F44" s="83">
        <f>SUM(F41:F43)</f>
        <v>1081.1406538356166</v>
      </c>
      <c r="H44" s="311"/>
    </row>
    <row r="45" spans="1:8">
      <c r="A45" s="82"/>
      <c r="B45" s="81"/>
      <c r="C45" s="81"/>
      <c r="D45" s="81"/>
      <c r="E45" s="80"/>
      <c r="F45" s="89"/>
    </row>
    <row r="46" spans="1:8">
      <c r="A46" s="82" t="s">
        <v>89</v>
      </c>
      <c r="B46" s="81"/>
      <c r="C46" s="93"/>
      <c r="D46" s="93"/>
      <c r="E46" s="92"/>
      <c r="F46" s="91"/>
    </row>
    <row r="47" spans="1:8">
      <c r="A47" s="813" t="s">
        <v>81</v>
      </c>
      <c r="B47" s="814"/>
      <c r="C47" s="88" t="s">
        <v>10</v>
      </c>
      <c r="D47" s="88" t="s">
        <v>80</v>
      </c>
      <c r="E47" s="87" t="s">
        <v>3</v>
      </c>
      <c r="F47" s="86" t="s">
        <v>79</v>
      </c>
    </row>
    <row r="48" spans="1:8">
      <c r="A48" s="95" t="s">
        <v>105</v>
      </c>
      <c r="B48" s="94"/>
      <c r="C48" s="88" t="s">
        <v>6</v>
      </c>
      <c r="D48" s="101">
        <f>'ANALISIS BASICOS E INSUMOS'!D30</f>
        <v>12500</v>
      </c>
      <c r="E48" s="84">
        <v>1</v>
      </c>
      <c r="F48" s="83">
        <f>+D48*E48</f>
        <v>12500</v>
      </c>
    </row>
    <row r="49" spans="1:6">
      <c r="A49" s="834" t="s">
        <v>84</v>
      </c>
      <c r="B49" s="834"/>
      <c r="C49" s="88" t="s">
        <v>83</v>
      </c>
      <c r="D49" s="101">
        <f>F48</f>
        <v>12500</v>
      </c>
      <c r="E49" s="84">
        <v>0.05</v>
      </c>
      <c r="F49" s="83">
        <f>+D49*E49</f>
        <v>625</v>
      </c>
    </row>
    <row r="50" spans="1:6">
      <c r="A50" s="82"/>
      <c r="B50" s="81"/>
      <c r="C50" s="81"/>
      <c r="D50" s="81" t="s">
        <v>26</v>
      </c>
      <c r="E50" s="80"/>
      <c r="F50" s="83">
        <f>SUM(F48:F49)</f>
        <v>13125</v>
      </c>
    </row>
    <row r="51" spans="1:6">
      <c r="A51" s="82"/>
      <c r="B51" s="81"/>
      <c r="C51" s="81"/>
      <c r="D51" s="81"/>
      <c r="E51" s="80"/>
      <c r="F51" s="89"/>
    </row>
    <row r="52" spans="1:6">
      <c r="A52" s="78" t="s">
        <v>82</v>
      </c>
      <c r="B52" s="77"/>
      <c r="C52" s="81"/>
      <c r="D52" s="81"/>
      <c r="E52" s="80"/>
      <c r="F52" s="89"/>
    </row>
    <row r="53" spans="1:6">
      <c r="A53" s="813" t="s">
        <v>81</v>
      </c>
      <c r="B53" s="814"/>
      <c r="C53" s="88" t="s">
        <v>10</v>
      </c>
      <c r="D53" s="88" t="s">
        <v>80</v>
      </c>
      <c r="E53" s="87" t="s">
        <v>3</v>
      </c>
      <c r="F53" s="86" t="s">
        <v>79</v>
      </c>
    </row>
    <row r="54" spans="1:6">
      <c r="A54" s="828" t="s">
        <v>94</v>
      </c>
      <c r="B54" s="829"/>
      <c r="C54" s="79" t="s">
        <v>90</v>
      </c>
      <c r="D54" s="79">
        <v>240253.47863013699</v>
      </c>
      <c r="E54" s="115">
        <v>0.09</v>
      </c>
      <c r="F54" s="83">
        <f>D54*E54</f>
        <v>21622.813076712329</v>
      </c>
    </row>
    <row r="55" spans="1:6">
      <c r="A55" s="82"/>
      <c r="B55" s="81"/>
      <c r="C55" s="81"/>
      <c r="D55" s="81" t="s">
        <v>26</v>
      </c>
      <c r="E55" s="80"/>
      <c r="F55" s="83">
        <f>SUM(F54:F54)</f>
        <v>21622.813076712329</v>
      </c>
    </row>
    <row r="56" spans="1:6">
      <c r="A56" s="82"/>
      <c r="B56" s="81"/>
      <c r="C56" s="81"/>
      <c r="D56" s="81"/>
      <c r="E56" s="80"/>
      <c r="F56" s="89"/>
    </row>
    <row r="57" spans="1:6">
      <c r="A57" s="82"/>
      <c r="B57" s="81"/>
      <c r="C57" s="81"/>
      <c r="D57" s="81"/>
      <c r="E57" s="80"/>
      <c r="F57" s="89"/>
    </row>
    <row r="58" spans="1:6" ht="18">
      <c r="A58" s="82"/>
      <c r="B58" s="81"/>
      <c r="C58" s="104" t="s">
        <v>36</v>
      </c>
      <c r="D58" s="104"/>
      <c r="E58" s="103"/>
      <c r="F58" s="102">
        <f>+F55+F50+F44</f>
        <v>35828.953730547946</v>
      </c>
    </row>
    <row r="59" spans="1:6">
      <c r="A59" s="78"/>
      <c r="B59" s="77"/>
      <c r="C59" s="76"/>
      <c r="D59" s="106"/>
      <c r="E59" s="75"/>
      <c r="F59" s="105"/>
    </row>
    <row r="61" spans="1:6" ht="14" thickBot="1"/>
    <row r="62" spans="1:6" ht="15" thickTop="1">
      <c r="A62" s="815" t="s">
        <v>583</v>
      </c>
      <c r="B62" s="835" t="str">
        <f>+'PPTO 2'!B9</f>
        <v xml:space="preserve">SUMINISTRO E INSTALACION DE TUBERIA DE ALTA PRESIÓN EN PVC 4" </v>
      </c>
      <c r="C62" s="835"/>
      <c r="D62" s="835"/>
      <c r="E62" s="84" t="s">
        <v>17</v>
      </c>
      <c r="F62" s="113" t="str">
        <f>+'PPTO 2'!C9</f>
        <v>ML</v>
      </c>
    </row>
    <row r="63" spans="1:6">
      <c r="A63" s="816"/>
      <c r="B63" s="836"/>
      <c r="C63" s="836"/>
      <c r="D63" s="836"/>
      <c r="E63" s="84"/>
      <c r="F63" s="79"/>
    </row>
    <row r="64" spans="1:6" ht="14" thickBot="1">
      <c r="A64" s="817"/>
      <c r="B64" s="837"/>
      <c r="C64" s="837"/>
      <c r="D64" s="837"/>
      <c r="E64" s="99"/>
      <c r="F64" s="98"/>
    </row>
    <row r="65" spans="1:6" ht="14" thickTop="1">
      <c r="A65" s="82"/>
      <c r="B65" s="81"/>
      <c r="C65" s="81"/>
      <c r="D65" s="81"/>
      <c r="E65" s="80"/>
      <c r="F65" s="89"/>
    </row>
    <row r="66" spans="1:6">
      <c r="A66" s="78" t="s">
        <v>93</v>
      </c>
      <c r="B66" s="77"/>
      <c r="C66" s="77"/>
      <c r="D66" s="77"/>
      <c r="E66" s="97"/>
      <c r="F66" s="96"/>
    </row>
    <row r="67" spans="1:6">
      <c r="A67" s="813" t="s">
        <v>81</v>
      </c>
      <c r="B67" s="814"/>
      <c r="C67" s="88" t="s">
        <v>10</v>
      </c>
      <c r="D67" s="88" t="s">
        <v>80</v>
      </c>
      <c r="E67" s="87" t="s">
        <v>3</v>
      </c>
      <c r="F67" s="86" t="s">
        <v>79</v>
      </c>
    </row>
    <row r="68" spans="1:6">
      <c r="A68" s="95" t="s">
        <v>24</v>
      </c>
      <c r="B68" s="94"/>
      <c r="C68" s="88" t="s">
        <v>83</v>
      </c>
      <c r="D68" s="79">
        <f>F85</f>
        <v>28830.417435616437</v>
      </c>
      <c r="E68" s="84">
        <v>0.1</v>
      </c>
      <c r="F68" s="83">
        <f>D68*E68</f>
        <v>2883.0417435616437</v>
      </c>
    </row>
    <row r="69" spans="1:6">
      <c r="A69" s="95"/>
      <c r="B69" s="94"/>
      <c r="C69" s="88"/>
      <c r="D69" s="79"/>
      <c r="E69" s="84"/>
      <c r="F69" s="83"/>
    </row>
    <row r="70" spans="1:6">
      <c r="A70" s="95"/>
      <c r="B70" s="94"/>
      <c r="C70" s="88"/>
      <c r="D70" s="79"/>
      <c r="E70" s="84"/>
      <c r="F70" s="83"/>
    </row>
    <row r="71" spans="1:6">
      <c r="A71" s="82"/>
      <c r="B71" s="81"/>
      <c r="C71" s="81"/>
      <c r="D71" s="81" t="s">
        <v>26</v>
      </c>
      <c r="E71" s="80"/>
      <c r="F71" s="83">
        <f>SUM(F68:F70)</f>
        <v>2883.0417435616437</v>
      </c>
    </row>
    <row r="72" spans="1:6">
      <c r="A72" s="82"/>
      <c r="B72" s="81"/>
      <c r="C72" s="81"/>
      <c r="D72" s="81"/>
      <c r="E72" s="80"/>
      <c r="F72" s="89"/>
    </row>
    <row r="73" spans="1:6">
      <c r="A73" s="82" t="s">
        <v>89</v>
      </c>
      <c r="B73" s="81"/>
      <c r="C73" s="93"/>
      <c r="D73" s="93"/>
      <c r="E73" s="92"/>
      <c r="F73" s="91"/>
    </row>
    <row r="74" spans="1:6">
      <c r="A74" s="813" t="s">
        <v>81</v>
      </c>
      <c r="B74" s="814"/>
      <c r="C74" s="88" t="s">
        <v>10</v>
      </c>
      <c r="D74" s="88" t="s">
        <v>80</v>
      </c>
      <c r="E74" s="87" t="s">
        <v>3</v>
      </c>
      <c r="F74" s="86" t="s">
        <v>79</v>
      </c>
    </row>
    <row r="75" spans="1:6" ht="26.5" customHeight="1">
      <c r="A75" s="826" t="str">
        <f>B62</f>
        <v xml:space="preserve">SUMINISTRO E INSTALACION DE TUBERIA DE ALTA PRESIÓN EN PVC 4" </v>
      </c>
      <c r="B75" s="827"/>
      <c r="C75" s="88" t="s">
        <v>38</v>
      </c>
      <c r="D75" s="101">
        <f>248346*1.05</f>
        <v>260763.30000000002</v>
      </c>
      <c r="E75" s="84">
        <v>0.17</v>
      </c>
      <c r="F75" s="83">
        <f>E75*D75</f>
        <v>44329.761000000006</v>
      </c>
    </row>
    <row r="76" spans="1:6">
      <c r="A76" s="813" t="s">
        <v>84</v>
      </c>
      <c r="B76" s="814"/>
      <c r="C76" s="88" t="s">
        <v>83</v>
      </c>
      <c r="D76" s="79">
        <f>F75</f>
        <v>44329.761000000006</v>
      </c>
      <c r="E76" s="84">
        <v>0.05</v>
      </c>
      <c r="F76" s="83">
        <f>E76*D76</f>
        <v>2216.4880500000004</v>
      </c>
    </row>
    <row r="77" spans="1:6">
      <c r="A77" s="95"/>
      <c r="B77" s="94"/>
      <c r="C77" s="88"/>
      <c r="D77" s="79"/>
      <c r="E77" s="84"/>
      <c r="F77" s="83"/>
    </row>
    <row r="78" spans="1:6">
      <c r="A78" s="95"/>
      <c r="B78" s="94"/>
      <c r="C78" s="88"/>
      <c r="D78" s="79"/>
      <c r="E78" s="84"/>
      <c r="F78" s="83"/>
    </row>
    <row r="79" spans="1:6">
      <c r="A79" s="82"/>
      <c r="B79" s="81"/>
      <c r="C79" s="81"/>
      <c r="D79" s="81" t="s">
        <v>26</v>
      </c>
      <c r="E79" s="80"/>
      <c r="F79" s="83">
        <f>SUM(F75:F78)</f>
        <v>46546.249050000006</v>
      </c>
    </row>
    <row r="80" spans="1:6">
      <c r="A80" s="82"/>
      <c r="B80" s="81"/>
      <c r="C80" s="81"/>
      <c r="D80" s="81"/>
      <c r="E80" s="80"/>
      <c r="F80" s="89"/>
    </row>
    <row r="81" spans="1:6">
      <c r="A81" s="78" t="s">
        <v>82</v>
      </c>
      <c r="B81" s="77"/>
      <c r="C81" s="81"/>
      <c r="D81" s="81"/>
      <c r="E81" s="80"/>
      <c r="F81" s="89"/>
    </row>
    <row r="82" spans="1:6">
      <c r="A82" s="813" t="s">
        <v>81</v>
      </c>
      <c r="B82" s="814"/>
      <c r="C82" s="88" t="s">
        <v>10</v>
      </c>
      <c r="D82" s="88" t="s">
        <v>80</v>
      </c>
      <c r="E82" s="87" t="s">
        <v>3</v>
      </c>
      <c r="F82" s="86" t="s">
        <v>79</v>
      </c>
    </row>
    <row r="83" spans="1:6">
      <c r="A83" s="813" t="s">
        <v>94</v>
      </c>
      <c r="B83" s="814"/>
      <c r="C83" s="88" t="s">
        <v>90</v>
      </c>
      <c r="D83" s="88">
        <v>240253.47863013699</v>
      </c>
      <c r="E83" s="87">
        <v>0.12</v>
      </c>
      <c r="F83" s="86">
        <f>D83*E83</f>
        <v>28830.417435616437</v>
      </c>
    </row>
    <row r="84" spans="1:6">
      <c r="A84" s="85"/>
      <c r="B84" s="79"/>
      <c r="C84" s="79"/>
      <c r="D84" s="79"/>
      <c r="E84" s="84"/>
      <c r="F84" s="83"/>
    </row>
    <row r="85" spans="1:6">
      <c r="A85" s="82"/>
      <c r="B85" s="81"/>
      <c r="C85" s="81"/>
      <c r="D85" s="81" t="s">
        <v>26</v>
      </c>
      <c r="E85" s="80"/>
      <c r="F85" s="83">
        <f>F83</f>
        <v>28830.417435616437</v>
      </c>
    </row>
    <row r="86" spans="1:6">
      <c r="A86" s="82"/>
      <c r="B86" s="81"/>
      <c r="C86" s="81"/>
      <c r="D86" s="81"/>
      <c r="E86" s="80"/>
      <c r="F86" s="89"/>
    </row>
    <row r="87" spans="1:6">
      <c r="A87" s="82"/>
      <c r="B87" s="81"/>
      <c r="C87" s="81"/>
      <c r="D87" s="81"/>
      <c r="E87" s="80"/>
      <c r="F87" s="89"/>
    </row>
    <row r="88" spans="1:6" ht="18">
      <c r="A88" s="82"/>
      <c r="B88" s="81"/>
      <c r="C88" s="104" t="s">
        <v>36</v>
      </c>
      <c r="D88" s="104"/>
      <c r="E88" s="103"/>
      <c r="F88" s="102">
        <f>+F85+F79+F71</f>
        <v>78259.708229178083</v>
      </c>
    </row>
    <row r="89" spans="1:6">
      <c r="A89" s="82"/>
      <c r="B89" s="81"/>
      <c r="C89" s="104"/>
      <c r="D89" s="120"/>
      <c r="E89" s="103"/>
      <c r="F89" s="119"/>
    </row>
    <row r="90" spans="1:6" ht="14" thickBot="1">
      <c r="A90" s="112"/>
      <c r="B90" s="111"/>
      <c r="C90" s="110"/>
      <c r="D90" s="109"/>
      <c r="E90" s="108"/>
      <c r="F90" s="107"/>
    </row>
    <row r="91" spans="1:6" ht="14" thickTop="1"/>
    <row r="92" spans="1:6" ht="14" thickBot="1"/>
    <row r="93" spans="1:6" ht="15" thickTop="1">
      <c r="A93" s="815" t="s">
        <v>585</v>
      </c>
      <c r="B93" s="818" t="str">
        <f>+'PPTO 2'!B10</f>
        <v xml:space="preserve">SUMINISTRO E INSTALACIÓN UNIONES ALTAPRESION EN PVC O SIMILAR DE 4" </v>
      </c>
      <c r="C93" s="818"/>
      <c r="D93" s="818"/>
      <c r="E93" s="84" t="s">
        <v>17</v>
      </c>
      <c r="F93" s="113" t="s">
        <v>10</v>
      </c>
    </row>
    <row r="94" spans="1:6">
      <c r="A94" s="816"/>
      <c r="B94" s="819"/>
      <c r="C94" s="819"/>
      <c r="D94" s="819"/>
      <c r="E94" s="84"/>
      <c r="F94" s="79"/>
    </row>
    <row r="95" spans="1:6" ht="14" thickBot="1">
      <c r="A95" s="817"/>
      <c r="B95" s="820"/>
      <c r="C95" s="820"/>
      <c r="D95" s="820"/>
      <c r="E95" s="99"/>
      <c r="F95" s="98"/>
    </row>
    <row r="96" spans="1:6" ht="14" thickTop="1">
      <c r="A96" s="82"/>
      <c r="B96" s="81"/>
      <c r="C96" s="81"/>
      <c r="D96" s="81"/>
      <c r="E96" s="80"/>
      <c r="F96" s="89"/>
    </row>
    <row r="97" spans="1:6">
      <c r="A97" s="78" t="s">
        <v>93</v>
      </c>
      <c r="B97" s="77"/>
      <c r="C97" s="77"/>
      <c r="D97" s="77"/>
      <c r="E97" s="97"/>
      <c r="F97" s="96"/>
    </row>
    <row r="98" spans="1:6">
      <c r="A98" s="813" t="s">
        <v>81</v>
      </c>
      <c r="B98" s="814"/>
      <c r="C98" s="88" t="s">
        <v>10</v>
      </c>
      <c r="D98" s="88" t="s">
        <v>80</v>
      </c>
      <c r="E98" s="87" t="s">
        <v>3</v>
      </c>
      <c r="F98" s="86" t="s">
        <v>79</v>
      </c>
    </row>
    <row r="99" spans="1:6">
      <c r="A99" s="95" t="s">
        <v>24</v>
      </c>
      <c r="B99" s="94"/>
      <c r="C99" s="88" t="s">
        <v>83</v>
      </c>
      <c r="D99" s="79">
        <f>F116</f>
        <v>6006.3369657534249</v>
      </c>
      <c r="E99" s="84">
        <v>0.05</v>
      </c>
      <c r="F99" s="83">
        <f>D99*E99</f>
        <v>300.31684828767123</v>
      </c>
    </row>
    <row r="100" spans="1:6">
      <c r="A100" s="95"/>
      <c r="B100" s="94"/>
      <c r="C100" s="88"/>
      <c r="D100" s="79"/>
      <c r="E100" s="84"/>
      <c r="F100" s="83"/>
    </row>
    <row r="101" spans="1:6">
      <c r="A101" s="95"/>
      <c r="B101" s="94"/>
      <c r="C101" s="88"/>
      <c r="D101" s="79"/>
      <c r="E101" s="84"/>
      <c r="F101" s="83"/>
    </row>
    <row r="102" spans="1:6">
      <c r="A102" s="82"/>
      <c r="B102" s="81"/>
      <c r="C102" s="81"/>
      <c r="D102" s="81" t="s">
        <v>26</v>
      </c>
      <c r="E102" s="80"/>
      <c r="F102" s="83">
        <f>SUM(F99:F101)</f>
        <v>300.31684828767123</v>
      </c>
    </row>
    <row r="103" spans="1:6">
      <c r="A103" s="82"/>
      <c r="B103" s="81"/>
      <c r="C103" s="81"/>
      <c r="D103" s="81"/>
      <c r="E103" s="80"/>
      <c r="F103" s="89"/>
    </row>
    <row r="104" spans="1:6">
      <c r="A104" s="82" t="s">
        <v>89</v>
      </c>
      <c r="B104" s="81"/>
      <c r="C104" s="93"/>
      <c r="D104" s="93"/>
      <c r="E104" s="92"/>
      <c r="F104" s="91"/>
    </row>
    <row r="105" spans="1:6">
      <c r="A105" s="813" t="s">
        <v>81</v>
      </c>
      <c r="B105" s="814"/>
      <c r="C105" s="88" t="s">
        <v>10</v>
      </c>
      <c r="D105" s="88" t="s">
        <v>80</v>
      </c>
      <c r="E105" s="87" t="s">
        <v>3</v>
      </c>
      <c r="F105" s="86" t="s">
        <v>79</v>
      </c>
    </row>
    <row r="106" spans="1:6" ht="26" customHeight="1">
      <c r="A106" s="821" t="str">
        <f>B93</f>
        <v xml:space="preserve">SUMINISTRO E INSTALACIÓN UNIONES ALTAPRESION EN PVC O SIMILAR DE 4" </v>
      </c>
      <c r="B106" s="822"/>
      <c r="C106" s="88" t="s">
        <v>38</v>
      </c>
      <c r="D106" s="101">
        <f>66804*1.05</f>
        <v>70144.2</v>
      </c>
      <c r="E106" s="84">
        <v>1</v>
      </c>
      <c r="F106" s="83">
        <f>E106*D106</f>
        <v>70144.2</v>
      </c>
    </row>
    <row r="107" spans="1:6">
      <c r="A107" s="813" t="s">
        <v>84</v>
      </c>
      <c r="B107" s="814"/>
      <c r="C107" s="88" t="s">
        <v>83</v>
      </c>
      <c r="D107" s="79">
        <f>F106</f>
        <v>70144.2</v>
      </c>
      <c r="E107" s="84">
        <v>0.02</v>
      </c>
      <c r="F107" s="83">
        <f>E107*D107</f>
        <v>1402.884</v>
      </c>
    </row>
    <row r="108" spans="1:6">
      <c r="A108" s="95"/>
      <c r="B108" s="94"/>
      <c r="C108" s="88"/>
      <c r="D108" s="79"/>
      <c r="E108" s="84"/>
      <c r="F108" s="83"/>
    </row>
    <row r="109" spans="1:6">
      <c r="A109" s="95"/>
      <c r="B109" s="94"/>
      <c r="C109" s="88"/>
      <c r="D109" s="79"/>
      <c r="E109" s="84"/>
      <c r="F109" s="83"/>
    </row>
    <row r="110" spans="1:6">
      <c r="A110" s="82"/>
      <c r="B110" s="81"/>
      <c r="C110" s="81"/>
      <c r="D110" s="81" t="s">
        <v>26</v>
      </c>
      <c r="E110" s="80"/>
      <c r="F110" s="83">
        <f>SUM(F106:F109)</f>
        <v>71547.084000000003</v>
      </c>
    </row>
    <row r="111" spans="1:6">
      <c r="A111" s="82"/>
      <c r="B111" s="81"/>
      <c r="C111" s="81"/>
      <c r="D111" s="81"/>
      <c r="E111" s="80"/>
      <c r="F111" s="89"/>
    </row>
    <row r="112" spans="1:6">
      <c r="A112" s="78" t="s">
        <v>82</v>
      </c>
      <c r="B112" s="77"/>
      <c r="C112" s="81"/>
      <c r="D112" s="81"/>
      <c r="E112" s="80"/>
      <c r="F112" s="89"/>
    </row>
    <row r="113" spans="1:6">
      <c r="A113" s="813" t="s">
        <v>81</v>
      </c>
      <c r="B113" s="814"/>
      <c r="C113" s="88" t="s">
        <v>10</v>
      </c>
      <c r="D113" s="88" t="s">
        <v>80</v>
      </c>
      <c r="E113" s="87" t="s">
        <v>3</v>
      </c>
      <c r="F113" s="86" t="s">
        <v>79</v>
      </c>
    </row>
    <row r="114" spans="1:6">
      <c r="A114" s="813" t="s">
        <v>94</v>
      </c>
      <c r="B114" s="814"/>
      <c r="C114" s="88" t="s">
        <v>90</v>
      </c>
      <c r="D114" s="88">
        <v>240253.47863013699</v>
      </c>
      <c r="E114" s="87">
        <v>2.5000000000000001E-2</v>
      </c>
      <c r="F114" s="86">
        <f>D114*E114</f>
        <v>6006.3369657534249</v>
      </c>
    </row>
    <row r="115" spans="1:6">
      <c r="A115" s="85"/>
      <c r="B115" s="79"/>
      <c r="C115" s="79"/>
      <c r="D115" s="79"/>
      <c r="E115" s="84"/>
      <c r="F115" s="83"/>
    </row>
    <row r="116" spans="1:6">
      <c r="A116" s="82"/>
      <c r="B116" s="81"/>
      <c r="C116" s="81"/>
      <c r="D116" s="81" t="s">
        <v>26</v>
      </c>
      <c r="E116" s="80"/>
      <c r="F116" s="83">
        <f>F114</f>
        <v>6006.3369657534249</v>
      </c>
    </row>
    <row r="117" spans="1:6">
      <c r="A117" s="82"/>
      <c r="B117" s="81"/>
      <c r="C117" s="81"/>
      <c r="D117" s="81"/>
      <c r="E117" s="80"/>
      <c r="F117" s="89"/>
    </row>
    <row r="118" spans="1:6">
      <c r="A118" s="82"/>
      <c r="B118" s="81"/>
      <c r="C118" s="81"/>
      <c r="D118" s="81"/>
      <c r="E118" s="80"/>
      <c r="F118" s="89"/>
    </row>
    <row r="119" spans="1:6" ht="18">
      <c r="A119" s="82"/>
      <c r="B119" s="81"/>
      <c r="C119" s="104" t="s">
        <v>36</v>
      </c>
      <c r="D119" s="104"/>
      <c r="E119" s="103"/>
      <c r="F119" s="102">
        <f>+F116+F110+F102</f>
        <v>77853.737814041087</v>
      </c>
    </row>
    <row r="120" spans="1:6">
      <c r="A120" s="82"/>
      <c r="B120" s="81"/>
      <c r="C120" s="104"/>
      <c r="D120" s="120"/>
      <c r="E120" s="103"/>
      <c r="F120" s="119"/>
    </row>
    <row r="121" spans="1:6" ht="14" thickBot="1">
      <c r="A121" s="112"/>
      <c r="B121" s="111"/>
      <c r="C121" s="110"/>
      <c r="D121" s="109"/>
      <c r="E121" s="108"/>
      <c r="F121" s="107"/>
    </row>
    <row r="122" spans="1:6" ht="14" thickTop="1"/>
    <row r="123" spans="1:6" ht="14" thickBot="1"/>
    <row r="124" spans="1:6" ht="15" thickTop="1">
      <c r="A124" s="815" t="s">
        <v>596</v>
      </c>
      <c r="B124" s="823" t="str">
        <f>+'PPTO 2'!B11</f>
        <v xml:space="preserve">SUMINISTRO E INSTALACION DE TUBERIA DE ALTA PRESIÓN EN PVC 3" </v>
      </c>
      <c r="C124" s="823"/>
      <c r="D124" s="823"/>
      <c r="E124" s="84" t="s">
        <v>17</v>
      </c>
      <c r="F124" s="113" t="s">
        <v>286</v>
      </c>
    </row>
    <row r="125" spans="1:6">
      <c r="A125" s="816"/>
      <c r="B125" s="824"/>
      <c r="C125" s="824"/>
      <c r="D125" s="824"/>
      <c r="E125" s="84"/>
      <c r="F125" s="79"/>
    </row>
    <row r="126" spans="1:6" ht="14" thickBot="1">
      <c r="A126" s="817"/>
      <c r="B126" s="825"/>
      <c r="C126" s="825"/>
      <c r="D126" s="825"/>
      <c r="E126" s="99"/>
      <c r="F126" s="98"/>
    </row>
    <row r="127" spans="1:6" ht="14" thickTop="1">
      <c r="A127" s="82"/>
      <c r="B127" s="81"/>
      <c r="C127" s="81"/>
      <c r="D127" s="81"/>
      <c r="E127" s="80"/>
      <c r="F127" s="89"/>
    </row>
    <row r="128" spans="1:6">
      <c r="A128" s="78" t="s">
        <v>93</v>
      </c>
      <c r="B128" s="77"/>
      <c r="C128" s="77"/>
      <c r="D128" s="77"/>
      <c r="E128" s="97"/>
      <c r="F128" s="96"/>
    </row>
    <row r="129" spans="1:6">
      <c r="A129" s="813" t="s">
        <v>81</v>
      </c>
      <c r="B129" s="814"/>
      <c r="C129" s="88" t="s">
        <v>10</v>
      </c>
      <c r="D129" s="88" t="s">
        <v>80</v>
      </c>
      <c r="E129" s="87" t="s">
        <v>3</v>
      </c>
      <c r="F129" s="86" t="s">
        <v>79</v>
      </c>
    </row>
    <row r="130" spans="1:6">
      <c r="A130" s="95" t="s">
        <v>24</v>
      </c>
      <c r="B130" s="94"/>
      <c r="C130" s="88" t="s">
        <v>83</v>
      </c>
      <c r="D130" s="79">
        <f>F147</f>
        <v>14415.208717808218</v>
      </c>
      <c r="E130" s="84">
        <v>0.1</v>
      </c>
      <c r="F130" s="83">
        <f>D130*E130</f>
        <v>1441.5208717808218</v>
      </c>
    </row>
    <row r="131" spans="1:6">
      <c r="A131" s="95"/>
      <c r="B131" s="94"/>
      <c r="C131" s="88"/>
      <c r="D131" s="79"/>
      <c r="E131" s="84"/>
      <c r="F131" s="83"/>
    </row>
    <row r="132" spans="1:6">
      <c r="A132" s="95"/>
      <c r="B132" s="94"/>
      <c r="C132" s="88"/>
      <c r="D132" s="79"/>
      <c r="E132" s="84"/>
      <c r="F132" s="83"/>
    </row>
    <row r="133" spans="1:6">
      <c r="A133" s="82"/>
      <c r="B133" s="81"/>
      <c r="C133" s="81"/>
      <c r="D133" s="81" t="s">
        <v>26</v>
      </c>
      <c r="E133" s="80"/>
      <c r="F133" s="83">
        <f>SUM(F130:F132)</f>
        <v>1441.5208717808218</v>
      </c>
    </row>
    <row r="134" spans="1:6">
      <c r="A134" s="82"/>
      <c r="B134" s="81"/>
      <c r="C134" s="81"/>
      <c r="D134" s="81"/>
      <c r="E134" s="80"/>
      <c r="F134" s="89"/>
    </row>
    <row r="135" spans="1:6">
      <c r="A135" s="82" t="s">
        <v>89</v>
      </c>
      <c r="B135" s="81"/>
      <c r="C135" s="93"/>
      <c r="D135" s="93"/>
      <c r="E135" s="92"/>
      <c r="F135" s="91"/>
    </row>
    <row r="136" spans="1:6">
      <c r="A136" s="813" t="s">
        <v>81</v>
      </c>
      <c r="B136" s="814"/>
      <c r="C136" s="88" t="s">
        <v>10</v>
      </c>
      <c r="D136" s="88" t="s">
        <v>80</v>
      </c>
      <c r="E136" s="87" t="s">
        <v>3</v>
      </c>
      <c r="F136" s="86" t="s">
        <v>79</v>
      </c>
    </row>
    <row r="137" spans="1:6" ht="24" customHeight="1">
      <c r="A137" s="821" t="str">
        <f>B124</f>
        <v xml:space="preserve">SUMINISTRO E INSTALACION DE TUBERIA DE ALTA PRESIÓN EN PVC 3" </v>
      </c>
      <c r="B137" s="822"/>
      <c r="C137" s="88" t="s">
        <v>38</v>
      </c>
      <c r="D137" s="101">
        <f>150518*1.05</f>
        <v>158043.9</v>
      </c>
      <c r="E137" s="84">
        <v>0.17</v>
      </c>
      <c r="F137" s="83">
        <f>E137*D137</f>
        <v>26867.463</v>
      </c>
    </row>
    <row r="138" spans="1:6">
      <c r="A138" s="813" t="s">
        <v>84</v>
      </c>
      <c r="B138" s="814"/>
      <c r="C138" s="88" t="s">
        <v>83</v>
      </c>
      <c r="D138" s="79">
        <f>F137</f>
        <v>26867.463</v>
      </c>
      <c r="E138" s="84">
        <v>0.05</v>
      </c>
      <c r="F138" s="83">
        <f>E138*D138</f>
        <v>1343.3731500000001</v>
      </c>
    </row>
    <row r="139" spans="1:6">
      <c r="A139" s="95"/>
      <c r="B139" s="94"/>
      <c r="C139" s="88"/>
      <c r="D139" s="79"/>
      <c r="E139" s="84"/>
      <c r="F139" s="83"/>
    </row>
    <row r="140" spans="1:6">
      <c r="A140" s="95" t="s">
        <v>586</v>
      </c>
      <c r="B140" s="94"/>
      <c r="C140" s="88" t="s">
        <v>587</v>
      </c>
      <c r="D140" s="79">
        <v>1110.2751613576199</v>
      </c>
      <c r="E140" s="84">
        <f>0.1/0.9</f>
        <v>0.11111111111111112</v>
      </c>
      <c r="F140" s="83">
        <f>D140/E140</f>
        <v>9992.4764522185778</v>
      </c>
    </row>
    <row r="141" spans="1:6">
      <c r="A141" s="82"/>
      <c r="B141" s="81"/>
      <c r="C141" s="81"/>
      <c r="D141" s="81" t="s">
        <v>26</v>
      </c>
      <c r="E141" s="80"/>
      <c r="F141" s="83">
        <f>SUM(F137:F140)</f>
        <v>38203.312602218575</v>
      </c>
    </row>
    <row r="142" spans="1:6">
      <c r="A142" s="82"/>
      <c r="B142" s="81"/>
      <c r="C142" s="81"/>
      <c r="D142" s="81"/>
      <c r="E142" s="80"/>
      <c r="F142" s="89"/>
    </row>
    <row r="143" spans="1:6">
      <c r="A143" s="78" t="s">
        <v>82</v>
      </c>
      <c r="B143" s="77"/>
      <c r="C143" s="81"/>
      <c r="D143" s="81"/>
      <c r="E143" s="80"/>
      <c r="F143" s="89"/>
    </row>
    <row r="144" spans="1:6">
      <c r="A144" s="813" t="s">
        <v>81</v>
      </c>
      <c r="B144" s="814"/>
      <c r="C144" s="88" t="s">
        <v>10</v>
      </c>
      <c r="D144" s="88" t="s">
        <v>80</v>
      </c>
      <c r="E144" s="87" t="s">
        <v>3</v>
      </c>
      <c r="F144" s="86" t="s">
        <v>79</v>
      </c>
    </row>
    <row r="145" spans="1:6">
      <c r="A145" s="813" t="s">
        <v>94</v>
      </c>
      <c r="B145" s="814"/>
      <c r="C145" s="88" t="s">
        <v>90</v>
      </c>
      <c r="D145" s="88">
        <v>240253.47863013699</v>
      </c>
      <c r="E145" s="87">
        <v>0.06</v>
      </c>
      <c r="F145" s="86">
        <f>D145*E145</f>
        <v>14415.208717808218</v>
      </c>
    </row>
    <row r="146" spans="1:6">
      <c r="A146" s="85"/>
      <c r="B146" s="79"/>
      <c r="C146" s="79"/>
      <c r="D146" s="79"/>
      <c r="E146" s="84"/>
      <c r="F146" s="83"/>
    </row>
    <row r="147" spans="1:6">
      <c r="A147" s="82"/>
      <c r="B147" s="81"/>
      <c r="C147" s="81"/>
      <c r="D147" s="81" t="s">
        <v>26</v>
      </c>
      <c r="E147" s="80"/>
      <c r="F147" s="83">
        <f>F145</f>
        <v>14415.208717808218</v>
      </c>
    </row>
    <row r="148" spans="1:6">
      <c r="A148" s="82"/>
      <c r="B148" s="81"/>
      <c r="C148" s="81"/>
      <c r="D148" s="81"/>
      <c r="E148" s="80"/>
      <c r="F148" s="89"/>
    </row>
    <row r="149" spans="1:6">
      <c r="A149" s="82"/>
      <c r="B149" s="81"/>
      <c r="C149" s="81"/>
      <c r="D149" s="81"/>
      <c r="E149" s="80"/>
      <c r="F149" s="89"/>
    </row>
    <row r="150" spans="1:6" ht="18">
      <c r="A150" s="82"/>
      <c r="B150" s="81"/>
      <c r="C150" s="104" t="s">
        <v>36</v>
      </c>
      <c r="D150" s="104"/>
      <c r="E150" s="103"/>
      <c r="F150" s="102">
        <f>+F147+F141+F133</f>
        <v>54060.04219180761</v>
      </c>
    </row>
    <row r="151" spans="1:6">
      <c r="A151" s="82"/>
      <c r="B151" s="81"/>
      <c r="C151" s="104"/>
      <c r="D151" s="120"/>
      <c r="E151" s="103"/>
      <c r="F151" s="119"/>
    </row>
    <row r="152" spans="1:6" ht="14" thickBot="1">
      <c r="A152" s="112"/>
      <c r="B152" s="111"/>
      <c r="C152" s="110"/>
      <c r="D152" s="109"/>
      <c r="E152" s="108"/>
      <c r="F152" s="107"/>
    </row>
    <row r="153" spans="1:6" ht="14" thickTop="1"/>
    <row r="154" spans="1:6" ht="14" thickBot="1"/>
    <row r="155" spans="1:6" ht="15" thickTop="1">
      <c r="A155" s="815" t="s">
        <v>597</v>
      </c>
      <c r="B155" s="818" t="str">
        <f>+'PPTO 2'!B12</f>
        <v xml:space="preserve">SUMINISTRO E INSTALACIÓN UNIONES ALTAPRESION EN PVC O SIMILAR DE 3" </v>
      </c>
      <c r="C155" s="818"/>
      <c r="D155" s="818"/>
      <c r="E155" s="84" t="s">
        <v>17</v>
      </c>
      <c r="F155" s="113" t="s">
        <v>10</v>
      </c>
    </row>
    <row r="156" spans="1:6">
      <c r="A156" s="816"/>
      <c r="B156" s="819"/>
      <c r="C156" s="819"/>
      <c r="D156" s="819"/>
      <c r="E156" s="84"/>
      <c r="F156" s="79"/>
    </row>
    <row r="157" spans="1:6" ht="14" thickBot="1">
      <c r="A157" s="817"/>
      <c r="B157" s="820"/>
      <c r="C157" s="820"/>
      <c r="D157" s="820"/>
      <c r="E157" s="99"/>
      <c r="F157" s="98"/>
    </row>
    <row r="158" spans="1:6" ht="14" thickTop="1">
      <c r="A158" s="82"/>
      <c r="B158" s="81"/>
      <c r="C158" s="81"/>
      <c r="D158" s="81"/>
      <c r="E158" s="80"/>
      <c r="F158" s="89"/>
    </row>
    <row r="159" spans="1:6">
      <c r="A159" s="78" t="s">
        <v>93</v>
      </c>
      <c r="B159" s="77"/>
      <c r="C159" s="77"/>
      <c r="D159" s="77"/>
      <c r="E159" s="97"/>
      <c r="F159" s="96"/>
    </row>
    <row r="160" spans="1:6">
      <c r="A160" s="813" t="s">
        <v>81</v>
      </c>
      <c r="B160" s="814"/>
      <c r="C160" s="88" t="s">
        <v>10</v>
      </c>
      <c r="D160" s="88" t="s">
        <v>80</v>
      </c>
      <c r="E160" s="87" t="s">
        <v>3</v>
      </c>
      <c r="F160" s="86" t="s">
        <v>79</v>
      </c>
    </row>
    <row r="161" spans="1:6">
      <c r="A161" s="95" t="s">
        <v>24</v>
      </c>
      <c r="B161" s="94"/>
      <c r="C161" s="88" t="s">
        <v>83</v>
      </c>
      <c r="D161" s="79">
        <f>F178</f>
        <v>6006.3369657534249</v>
      </c>
      <c r="E161" s="84">
        <v>0.05</v>
      </c>
      <c r="F161" s="83">
        <f>D161*E161</f>
        <v>300.31684828767123</v>
      </c>
    </row>
    <row r="162" spans="1:6">
      <c r="A162" s="95"/>
      <c r="B162" s="94"/>
      <c r="C162" s="88"/>
      <c r="D162" s="79"/>
      <c r="E162" s="84"/>
      <c r="F162" s="83"/>
    </row>
    <row r="163" spans="1:6">
      <c r="A163" s="95"/>
      <c r="B163" s="94"/>
      <c r="C163" s="88"/>
      <c r="D163" s="79"/>
      <c r="E163" s="84"/>
      <c r="F163" s="83"/>
    </row>
    <row r="164" spans="1:6">
      <c r="A164" s="82"/>
      <c r="B164" s="81"/>
      <c r="C164" s="81"/>
      <c r="D164" s="81" t="s">
        <v>26</v>
      </c>
      <c r="E164" s="80"/>
      <c r="F164" s="83">
        <f>SUM(F161:F163)</f>
        <v>300.31684828767123</v>
      </c>
    </row>
    <row r="165" spans="1:6">
      <c r="A165" s="82"/>
      <c r="B165" s="81"/>
      <c r="C165" s="81"/>
      <c r="D165" s="81"/>
      <c r="E165" s="80"/>
      <c r="F165" s="89"/>
    </row>
    <row r="166" spans="1:6">
      <c r="A166" s="82" t="s">
        <v>89</v>
      </c>
      <c r="B166" s="81"/>
      <c r="C166" s="93"/>
      <c r="D166" s="93"/>
      <c r="E166" s="92"/>
      <c r="F166" s="91"/>
    </row>
    <row r="167" spans="1:6">
      <c r="A167" s="813" t="s">
        <v>81</v>
      </c>
      <c r="B167" s="814"/>
      <c r="C167" s="88" t="s">
        <v>10</v>
      </c>
      <c r="D167" s="88" t="s">
        <v>80</v>
      </c>
      <c r="E167" s="87" t="s">
        <v>3</v>
      </c>
      <c r="F167" s="86" t="s">
        <v>79</v>
      </c>
    </row>
    <row r="168" spans="1:6" ht="26.5" customHeight="1">
      <c r="A168" s="821" t="str">
        <f>B155</f>
        <v xml:space="preserve">SUMINISTRO E INSTALACIÓN UNIONES ALTAPRESION EN PVC O SIMILAR DE 3" </v>
      </c>
      <c r="B168" s="822"/>
      <c r="C168" s="88" t="s">
        <v>38</v>
      </c>
      <c r="D168" s="101">
        <f>41078*1.05</f>
        <v>43131.9</v>
      </c>
      <c r="E168" s="84">
        <v>1</v>
      </c>
      <c r="F168" s="83">
        <f>E168*D168</f>
        <v>43131.9</v>
      </c>
    </row>
    <row r="169" spans="1:6">
      <c r="A169" s="813" t="s">
        <v>84</v>
      </c>
      <c r="B169" s="814"/>
      <c r="C169" s="88" t="s">
        <v>83</v>
      </c>
      <c r="D169" s="79">
        <f>F168</f>
        <v>43131.9</v>
      </c>
      <c r="E169" s="84">
        <v>0.02</v>
      </c>
      <c r="F169" s="83">
        <f>E169*D169</f>
        <v>862.63800000000003</v>
      </c>
    </row>
    <row r="170" spans="1:6">
      <c r="A170" s="95"/>
      <c r="B170" s="94"/>
      <c r="C170" s="88"/>
      <c r="D170" s="79"/>
      <c r="E170" s="84"/>
      <c r="F170" s="83"/>
    </row>
    <row r="171" spans="1:6">
      <c r="A171" s="95"/>
      <c r="B171" s="94"/>
      <c r="C171" s="88"/>
      <c r="D171" s="79"/>
      <c r="E171" s="84"/>
      <c r="F171" s="83"/>
    </row>
    <row r="172" spans="1:6">
      <c r="A172" s="82"/>
      <c r="B172" s="81"/>
      <c r="C172" s="81"/>
      <c r="D172" s="81" t="s">
        <v>26</v>
      </c>
      <c r="E172" s="80"/>
      <c r="F172" s="83">
        <f>SUM(F168:F171)</f>
        <v>43994.538</v>
      </c>
    </row>
    <row r="173" spans="1:6">
      <c r="A173" s="82"/>
      <c r="B173" s="81"/>
      <c r="C173" s="81"/>
      <c r="D173" s="81"/>
      <c r="E173" s="80"/>
      <c r="F173" s="89"/>
    </row>
    <row r="174" spans="1:6">
      <c r="A174" s="78" t="s">
        <v>82</v>
      </c>
      <c r="B174" s="77"/>
      <c r="C174" s="81"/>
      <c r="D174" s="81"/>
      <c r="E174" s="80"/>
      <c r="F174" s="89"/>
    </row>
    <row r="175" spans="1:6">
      <c r="A175" s="813" t="s">
        <v>81</v>
      </c>
      <c r="B175" s="814"/>
      <c r="C175" s="88" t="s">
        <v>10</v>
      </c>
      <c r="D175" s="88" t="s">
        <v>80</v>
      </c>
      <c r="E175" s="87" t="s">
        <v>3</v>
      </c>
      <c r="F175" s="86" t="s">
        <v>79</v>
      </c>
    </row>
    <row r="176" spans="1:6">
      <c r="A176" s="813" t="s">
        <v>94</v>
      </c>
      <c r="B176" s="814"/>
      <c r="C176" s="88" t="s">
        <v>90</v>
      </c>
      <c r="D176" s="88">
        <v>240253.47863013699</v>
      </c>
      <c r="E176" s="87">
        <v>2.5000000000000001E-2</v>
      </c>
      <c r="F176" s="86">
        <f>D176*E176</f>
        <v>6006.3369657534249</v>
      </c>
    </row>
    <row r="177" spans="1:6">
      <c r="A177" s="85"/>
      <c r="B177" s="79"/>
      <c r="C177" s="79"/>
      <c r="D177" s="79"/>
      <c r="E177" s="84"/>
      <c r="F177" s="83"/>
    </row>
    <row r="178" spans="1:6">
      <c r="A178" s="82"/>
      <c r="B178" s="81"/>
      <c r="C178" s="81"/>
      <c r="D178" s="81" t="s">
        <v>26</v>
      </c>
      <c r="E178" s="80"/>
      <c r="F178" s="83">
        <f>F176</f>
        <v>6006.3369657534249</v>
      </c>
    </row>
    <row r="179" spans="1:6">
      <c r="A179" s="82"/>
      <c r="B179" s="81"/>
      <c r="C179" s="81"/>
      <c r="D179" s="81"/>
      <c r="E179" s="80"/>
      <c r="F179" s="89"/>
    </row>
    <row r="180" spans="1:6">
      <c r="A180" s="82"/>
      <c r="B180" s="81"/>
      <c r="C180" s="81"/>
      <c r="D180" s="81"/>
      <c r="E180" s="80"/>
      <c r="F180" s="89"/>
    </row>
    <row r="181" spans="1:6" ht="18">
      <c r="A181" s="82"/>
      <c r="B181" s="81"/>
      <c r="C181" s="104" t="s">
        <v>36</v>
      </c>
      <c r="D181" s="104"/>
      <c r="E181" s="103"/>
      <c r="F181" s="102">
        <f>+F178+F172+F164</f>
        <v>50301.1918140411</v>
      </c>
    </row>
    <row r="182" spans="1:6">
      <c r="A182" s="82"/>
      <c r="B182" s="81"/>
      <c r="C182" s="104"/>
      <c r="D182" s="120"/>
      <c r="E182" s="103"/>
      <c r="F182" s="119"/>
    </row>
    <row r="183" spans="1:6" ht="14" thickBot="1">
      <c r="A183" s="112"/>
      <c r="B183" s="111"/>
      <c r="C183" s="110"/>
      <c r="D183" s="109"/>
      <c r="E183" s="108"/>
      <c r="F183" s="107"/>
    </row>
    <row r="184" spans="1:6" ht="14" thickTop="1"/>
    <row r="185" spans="1:6" ht="14" thickBot="1"/>
    <row r="186" spans="1:6" ht="15" thickTop="1">
      <c r="A186" s="815" t="s">
        <v>601</v>
      </c>
      <c r="B186" s="823" t="str">
        <f>+'PPTO 2'!B13</f>
        <v xml:space="preserve">SUMINISTRO E INSTALACION DE TUBERIA DE ALTA PRESIÓN EN PVC 2" </v>
      </c>
      <c r="C186" s="823"/>
      <c r="D186" s="823"/>
      <c r="E186" s="84" t="s">
        <v>17</v>
      </c>
      <c r="F186" s="113" t="s">
        <v>286</v>
      </c>
    </row>
    <row r="187" spans="1:6">
      <c r="A187" s="816"/>
      <c r="B187" s="824"/>
      <c r="C187" s="824"/>
      <c r="D187" s="824"/>
      <c r="E187" s="84"/>
      <c r="F187" s="79"/>
    </row>
    <row r="188" spans="1:6" ht="14" thickBot="1">
      <c r="A188" s="817"/>
      <c r="B188" s="825"/>
      <c r="C188" s="825"/>
      <c r="D188" s="825"/>
      <c r="E188" s="99"/>
      <c r="F188" s="98"/>
    </row>
    <row r="189" spans="1:6" ht="14" thickTop="1">
      <c r="A189" s="82"/>
      <c r="B189" s="81"/>
      <c r="C189" s="81"/>
      <c r="D189" s="81"/>
      <c r="E189" s="80"/>
      <c r="F189" s="89"/>
    </row>
    <row r="190" spans="1:6">
      <c r="A190" s="78" t="s">
        <v>93</v>
      </c>
      <c r="B190" s="77"/>
      <c r="C190" s="77"/>
      <c r="D190" s="77"/>
      <c r="E190" s="97"/>
      <c r="F190" s="96"/>
    </row>
    <row r="191" spans="1:6">
      <c r="A191" s="813" t="s">
        <v>81</v>
      </c>
      <c r="B191" s="814"/>
      <c r="C191" s="88" t="s">
        <v>10</v>
      </c>
      <c r="D191" s="88" t="s">
        <v>80</v>
      </c>
      <c r="E191" s="87" t="s">
        <v>3</v>
      </c>
      <c r="F191" s="86" t="s">
        <v>79</v>
      </c>
    </row>
    <row r="192" spans="1:6">
      <c r="A192" s="95" t="s">
        <v>24</v>
      </c>
      <c r="B192" s="94"/>
      <c r="C192" s="88" t="s">
        <v>83</v>
      </c>
      <c r="D192" s="79">
        <f>F209</f>
        <v>14415.208717808218</v>
      </c>
      <c r="E192" s="84">
        <v>0.1</v>
      </c>
      <c r="F192" s="83">
        <f>D192*E192</f>
        <v>1441.5208717808218</v>
      </c>
    </row>
    <row r="193" spans="1:6">
      <c r="A193" s="95"/>
      <c r="B193" s="94"/>
      <c r="C193" s="88"/>
      <c r="D193" s="79"/>
      <c r="E193" s="84"/>
      <c r="F193" s="83"/>
    </row>
    <row r="194" spans="1:6">
      <c r="A194" s="95"/>
      <c r="B194" s="94"/>
      <c r="C194" s="88"/>
      <c r="D194" s="79"/>
      <c r="E194" s="84"/>
      <c r="F194" s="83"/>
    </row>
    <row r="195" spans="1:6">
      <c r="A195" s="82"/>
      <c r="B195" s="81"/>
      <c r="C195" s="81"/>
      <c r="D195" s="81" t="s">
        <v>26</v>
      </c>
      <c r="E195" s="80"/>
      <c r="F195" s="83">
        <f>SUM(F192:F194)</f>
        <v>1441.5208717808218</v>
      </c>
    </row>
    <row r="196" spans="1:6">
      <c r="A196" s="82"/>
      <c r="B196" s="81"/>
      <c r="C196" s="81"/>
      <c r="D196" s="81"/>
      <c r="E196" s="80"/>
      <c r="F196" s="89"/>
    </row>
    <row r="197" spans="1:6">
      <c r="A197" s="82" t="s">
        <v>89</v>
      </c>
      <c r="B197" s="81"/>
      <c r="C197" s="93"/>
      <c r="D197" s="93"/>
      <c r="E197" s="92"/>
      <c r="F197" s="91"/>
    </row>
    <row r="198" spans="1:6">
      <c r="A198" s="813" t="s">
        <v>81</v>
      </c>
      <c r="B198" s="814"/>
      <c r="C198" s="88" t="s">
        <v>10</v>
      </c>
      <c r="D198" s="88" t="s">
        <v>80</v>
      </c>
      <c r="E198" s="87" t="s">
        <v>3</v>
      </c>
      <c r="F198" s="86" t="s">
        <v>79</v>
      </c>
    </row>
    <row r="199" spans="1:6" ht="26" customHeight="1">
      <c r="A199" s="821" t="str">
        <f>B186</f>
        <v xml:space="preserve">SUMINISTRO E INSTALACION DE TUBERIA DE ALTA PRESIÓN EN PVC 2" </v>
      </c>
      <c r="B199" s="822"/>
      <c r="C199" s="315" t="s">
        <v>38</v>
      </c>
      <c r="D199" s="316">
        <f>68775*1.05</f>
        <v>72213.75</v>
      </c>
      <c r="E199" s="317">
        <v>0.17</v>
      </c>
      <c r="F199" s="318">
        <f>E199*D199</f>
        <v>12276.337500000001</v>
      </c>
    </row>
    <row r="200" spans="1:6">
      <c r="A200" s="813" t="s">
        <v>84</v>
      </c>
      <c r="B200" s="814"/>
      <c r="C200" s="88" t="s">
        <v>83</v>
      </c>
      <c r="D200" s="79">
        <f>F199</f>
        <v>12276.337500000001</v>
      </c>
      <c r="E200" s="84">
        <v>0.05</v>
      </c>
      <c r="F200" s="83">
        <f>E200*D200</f>
        <v>613.8168750000001</v>
      </c>
    </row>
    <row r="201" spans="1:6">
      <c r="A201" s="95"/>
      <c r="B201" s="94"/>
      <c r="C201" s="88"/>
      <c r="D201" s="79"/>
      <c r="E201" s="84"/>
      <c r="F201" s="83"/>
    </row>
    <row r="202" spans="1:6">
      <c r="A202" s="95" t="s">
        <v>586</v>
      </c>
      <c r="B202" s="94"/>
      <c r="C202" s="88" t="s">
        <v>587</v>
      </c>
      <c r="D202" s="79">
        <v>1110.2751613576199</v>
      </c>
      <c r="E202" s="84">
        <f>0.1/0.9</f>
        <v>0.11111111111111112</v>
      </c>
      <c r="F202" s="83">
        <f>D202/E202</f>
        <v>9992.4764522185778</v>
      </c>
    </row>
    <row r="203" spans="1:6">
      <c r="A203" s="82"/>
      <c r="B203" s="81"/>
      <c r="C203" s="81"/>
      <c r="D203" s="81" t="s">
        <v>26</v>
      </c>
      <c r="E203" s="80"/>
      <c r="F203" s="83">
        <f>SUM(F199:F202)</f>
        <v>22882.630827218578</v>
      </c>
    </row>
    <row r="204" spans="1:6">
      <c r="A204" s="82"/>
      <c r="B204" s="81"/>
      <c r="C204" s="81"/>
      <c r="D204" s="81"/>
      <c r="E204" s="80"/>
      <c r="F204" s="89"/>
    </row>
    <row r="205" spans="1:6">
      <c r="A205" s="78" t="s">
        <v>82</v>
      </c>
      <c r="B205" s="77"/>
      <c r="C205" s="81"/>
      <c r="D205" s="81"/>
      <c r="E205" s="80"/>
      <c r="F205" s="89"/>
    </row>
    <row r="206" spans="1:6">
      <c r="A206" s="813" t="s">
        <v>81</v>
      </c>
      <c r="B206" s="814"/>
      <c r="C206" s="88" t="s">
        <v>10</v>
      </c>
      <c r="D206" s="88" t="s">
        <v>80</v>
      </c>
      <c r="E206" s="87" t="s">
        <v>3</v>
      </c>
      <c r="F206" s="86" t="s">
        <v>79</v>
      </c>
    </row>
    <row r="207" spans="1:6">
      <c r="A207" s="813" t="s">
        <v>94</v>
      </c>
      <c r="B207" s="814"/>
      <c r="C207" s="88" t="s">
        <v>90</v>
      </c>
      <c r="D207" s="88">
        <v>240253.47863013699</v>
      </c>
      <c r="E207" s="87">
        <v>0.06</v>
      </c>
      <c r="F207" s="86">
        <f>D207*E207</f>
        <v>14415.208717808218</v>
      </c>
    </row>
    <row r="208" spans="1:6">
      <c r="A208" s="85"/>
      <c r="B208" s="79"/>
      <c r="C208" s="79"/>
      <c r="D208" s="79"/>
      <c r="E208" s="84"/>
      <c r="F208" s="83"/>
    </row>
    <row r="209" spans="1:6">
      <c r="A209" s="82"/>
      <c r="B209" s="81"/>
      <c r="C209" s="81"/>
      <c r="D209" s="81" t="s">
        <v>26</v>
      </c>
      <c r="E209" s="80"/>
      <c r="F209" s="83">
        <f>F207</f>
        <v>14415.208717808218</v>
      </c>
    </row>
    <row r="210" spans="1:6">
      <c r="A210" s="82"/>
      <c r="B210" s="81"/>
      <c r="C210" s="81"/>
      <c r="D210" s="81"/>
      <c r="E210" s="80"/>
      <c r="F210" s="89"/>
    </row>
    <row r="211" spans="1:6">
      <c r="A211" s="82"/>
      <c r="B211" s="81"/>
      <c r="C211" s="81"/>
      <c r="D211" s="81"/>
      <c r="E211" s="80"/>
      <c r="F211" s="89"/>
    </row>
    <row r="212" spans="1:6" ht="18">
      <c r="A212" s="82"/>
      <c r="B212" s="81"/>
      <c r="C212" s="104" t="s">
        <v>36</v>
      </c>
      <c r="D212" s="104"/>
      <c r="E212" s="103"/>
      <c r="F212" s="102">
        <f>+F209+F203+F195</f>
        <v>38739.36041680762</v>
      </c>
    </row>
    <row r="213" spans="1:6">
      <c r="A213" s="82"/>
      <c r="B213" s="81"/>
      <c r="C213" s="104"/>
      <c r="D213" s="120"/>
      <c r="E213" s="103"/>
      <c r="F213" s="119"/>
    </row>
    <row r="214" spans="1:6" ht="14" thickBot="1">
      <c r="A214" s="112"/>
      <c r="B214" s="111"/>
      <c r="C214" s="110"/>
      <c r="D214" s="109"/>
      <c r="E214" s="108"/>
      <c r="F214" s="107"/>
    </row>
    <row r="215" spans="1:6" ht="14" thickTop="1"/>
    <row r="216" spans="1:6" ht="14" thickBot="1"/>
    <row r="217" spans="1:6" ht="15" thickTop="1">
      <c r="A217" s="815" t="s">
        <v>602</v>
      </c>
      <c r="B217" s="818" t="str">
        <f>+'PPTO 2'!B14</f>
        <v xml:space="preserve">SUMINISTRO E INSTALACIÓN UNIONES ALTAPRESION EN PVC O SIMILAR DE 2" </v>
      </c>
      <c r="C217" s="818"/>
      <c r="D217" s="818"/>
      <c r="E217" s="84" t="s">
        <v>17</v>
      </c>
      <c r="F217" s="113" t="s">
        <v>10</v>
      </c>
    </row>
    <row r="218" spans="1:6">
      <c r="A218" s="816"/>
      <c r="B218" s="819"/>
      <c r="C218" s="819"/>
      <c r="D218" s="819"/>
      <c r="E218" s="84"/>
      <c r="F218" s="79"/>
    </row>
    <row r="219" spans="1:6" ht="14" thickBot="1">
      <c r="A219" s="817"/>
      <c r="B219" s="820"/>
      <c r="C219" s="820"/>
      <c r="D219" s="820"/>
      <c r="E219" s="99"/>
      <c r="F219" s="98"/>
    </row>
    <row r="220" spans="1:6" ht="14" thickTop="1">
      <c r="A220" s="82"/>
      <c r="B220" s="81"/>
      <c r="C220" s="81"/>
      <c r="D220" s="81"/>
      <c r="E220" s="80"/>
      <c r="F220" s="89"/>
    </row>
    <row r="221" spans="1:6">
      <c r="A221" s="78" t="s">
        <v>93</v>
      </c>
      <c r="B221" s="77"/>
      <c r="C221" s="77"/>
      <c r="D221" s="77"/>
      <c r="E221" s="97"/>
      <c r="F221" s="96"/>
    </row>
    <row r="222" spans="1:6">
      <c r="A222" s="813" t="s">
        <v>81</v>
      </c>
      <c r="B222" s="814"/>
      <c r="C222" s="88" t="s">
        <v>10</v>
      </c>
      <c r="D222" s="88" t="s">
        <v>80</v>
      </c>
      <c r="E222" s="87" t="s">
        <v>3</v>
      </c>
      <c r="F222" s="86" t="s">
        <v>79</v>
      </c>
    </row>
    <row r="223" spans="1:6">
      <c r="A223" s="95" t="s">
        <v>24</v>
      </c>
      <c r="B223" s="94"/>
      <c r="C223" s="88" t="s">
        <v>83</v>
      </c>
      <c r="D223" s="79">
        <f>F240</f>
        <v>6006.3369657534249</v>
      </c>
      <c r="E223" s="84">
        <v>0.05</v>
      </c>
      <c r="F223" s="83">
        <f>D223*E223</f>
        <v>300.31684828767123</v>
      </c>
    </row>
    <row r="224" spans="1:6">
      <c r="A224" s="95"/>
      <c r="B224" s="94"/>
      <c r="C224" s="88"/>
      <c r="D224" s="79"/>
      <c r="E224" s="84"/>
      <c r="F224" s="83"/>
    </row>
    <row r="225" spans="1:6">
      <c r="A225" s="95"/>
      <c r="B225" s="94"/>
      <c r="C225" s="88"/>
      <c r="D225" s="79"/>
      <c r="E225" s="84"/>
      <c r="F225" s="83"/>
    </row>
    <row r="226" spans="1:6">
      <c r="A226" s="82"/>
      <c r="B226" s="81"/>
      <c r="C226" s="81"/>
      <c r="D226" s="81" t="s">
        <v>26</v>
      </c>
      <c r="E226" s="80"/>
      <c r="F226" s="83">
        <f>SUM(F223:F225)</f>
        <v>300.31684828767123</v>
      </c>
    </row>
    <row r="227" spans="1:6">
      <c r="A227" s="82"/>
      <c r="B227" s="81"/>
      <c r="C227" s="81"/>
      <c r="D227" s="81"/>
      <c r="E227" s="80"/>
      <c r="F227" s="89"/>
    </row>
    <row r="228" spans="1:6">
      <c r="A228" s="82" t="s">
        <v>89</v>
      </c>
      <c r="B228" s="81"/>
      <c r="C228" s="93"/>
      <c r="D228" s="93"/>
      <c r="E228" s="92"/>
      <c r="F228" s="91"/>
    </row>
    <row r="229" spans="1:6">
      <c r="A229" s="813" t="s">
        <v>81</v>
      </c>
      <c r="B229" s="814"/>
      <c r="C229" s="88" t="s">
        <v>10</v>
      </c>
      <c r="D229" s="88" t="s">
        <v>80</v>
      </c>
      <c r="E229" s="87" t="s">
        <v>3</v>
      </c>
      <c r="F229" s="86" t="s">
        <v>79</v>
      </c>
    </row>
    <row r="230" spans="1:6" ht="26" customHeight="1">
      <c r="A230" s="821" t="str">
        <f>B217</f>
        <v xml:space="preserve">SUMINISTRO E INSTALACIÓN UNIONES ALTAPRESION EN PVC O SIMILAR DE 2" </v>
      </c>
      <c r="B230" s="822"/>
      <c r="C230" s="315" t="s">
        <v>38</v>
      </c>
      <c r="D230" s="316">
        <f>23992*1.05</f>
        <v>25191.600000000002</v>
      </c>
      <c r="E230" s="317">
        <v>1</v>
      </c>
      <c r="F230" s="318">
        <f>E230*D230</f>
        <v>25191.600000000002</v>
      </c>
    </row>
    <row r="231" spans="1:6">
      <c r="A231" s="813" t="s">
        <v>84</v>
      </c>
      <c r="B231" s="814"/>
      <c r="C231" s="88" t="s">
        <v>83</v>
      </c>
      <c r="D231" s="79">
        <f>F230</f>
        <v>25191.600000000002</v>
      </c>
      <c r="E231" s="84">
        <v>0.02</v>
      </c>
      <c r="F231" s="83">
        <f>E231*D231</f>
        <v>503.83200000000005</v>
      </c>
    </row>
    <row r="232" spans="1:6">
      <c r="A232" s="95"/>
      <c r="B232" s="94"/>
      <c r="C232" s="88"/>
      <c r="D232" s="79"/>
      <c r="E232" s="84"/>
      <c r="F232" s="83"/>
    </row>
    <row r="233" spans="1:6">
      <c r="A233" s="95"/>
      <c r="B233" s="94"/>
      <c r="C233" s="88"/>
      <c r="D233" s="79"/>
      <c r="E233" s="84"/>
      <c r="F233" s="83"/>
    </row>
    <row r="234" spans="1:6">
      <c r="A234" s="82"/>
      <c r="B234" s="81"/>
      <c r="C234" s="81"/>
      <c r="D234" s="81" t="s">
        <v>26</v>
      </c>
      <c r="E234" s="80"/>
      <c r="F234" s="83">
        <f>SUM(F230:F233)</f>
        <v>25695.432000000001</v>
      </c>
    </row>
    <row r="235" spans="1:6">
      <c r="A235" s="82"/>
      <c r="B235" s="81"/>
      <c r="C235" s="81"/>
      <c r="D235" s="81"/>
      <c r="E235" s="80"/>
      <c r="F235" s="89"/>
    </row>
    <row r="236" spans="1:6">
      <c r="A236" s="78" t="s">
        <v>82</v>
      </c>
      <c r="B236" s="77"/>
      <c r="C236" s="81"/>
      <c r="D236" s="81"/>
      <c r="E236" s="80"/>
      <c r="F236" s="89"/>
    </row>
    <row r="237" spans="1:6">
      <c r="A237" s="813" t="s">
        <v>81</v>
      </c>
      <c r="B237" s="814"/>
      <c r="C237" s="88" t="s">
        <v>10</v>
      </c>
      <c r="D237" s="88" t="s">
        <v>80</v>
      </c>
      <c r="E237" s="87" t="s">
        <v>3</v>
      </c>
      <c r="F237" s="86" t="s">
        <v>79</v>
      </c>
    </row>
    <row r="238" spans="1:6">
      <c r="A238" s="813" t="s">
        <v>94</v>
      </c>
      <c r="B238" s="814"/>
      <c r="C238" s="88" t="s">
        <v>90</v>
      </c>
      <c r="D238" s="88">
        <v>240253.47863013699</v>
      </c>
      <c r="E238" s="87">
        <v>2.5000000000000001E-2</v>
      </c>
      <c r="F238" s="86">
        <f>D238*E238</f>
        <v>6006.3369657534249</v>
      </c>
    </row>
    <row r="239" spans="1:6">
      <c r="A239" s="85"/>
      <c r="B239" s="79"/>
      <c r="C239" s="79"/>
      <c r="D239" s="79"/>
      <c r="E239" s="84"/>
      <c r="F239" s="83"/>
    </row>
    <row r="240" spans="1:6">
      <c r="A240" s="82"/>
      <c r="B240" s="81"/>
      <c r="C240" s="81"/>
      <c r="D240" s="81" t="s">
        <v>26</v>
      </c>
      <c r="E240" s="80"/>
      <c r="F240" s="83">
        <f>F238</f>
        <v>6006.3369657534249</v>
      </c>
    </row>
    <row r="241" spans="1:6">
      <c r="A241" s="82"/>
      <c r="B241" s="81"/>
      <c r="C241" s="81"/>
      <c r="D241" s="81"/>
      <c r="E241" s="80"/>
      <c r="F241" s="89"/>
    </row>
    <row r="242" spans="1:6">
      <c r="A242" s="82"/>
      <c r="B242" s="81"/>
      <c r="C242" s="81"/>
      <c r="D242" s="81"/>
      <c r="E242" s="80"/>
      <c r="F242" s="89"/>
    </row>
    <row r="243" spans="1:6" ht="18">
      <c r="A243" s="82"/>
      <c r="B243" s="81"/>
      <c r="C243" s="104" t="s">
        <v>36</v>
      </c>
      <c r="D243" s="104"/>
      <c r="E243" s="103"/>
      <c r="F243" s="102">
        <f>+F240+F234+F226</f>
        <v>32002.085814041096</v>
      </c>
    </row>
    <row r="244" spans="1:6">
      <c r="A244" s="82"/>
      <c r="B244" s="81"/>
      <c r="C244" s="104"/>
      <c r="D244" s="120"/>
      <c r="E244" s="103"/>
      <c r="F244" s="119"/>
    </row>
    <row r="245" spans="1:6" ht="14" thickBot="1">
      <c r="A245" s="112"/>
      <c r="B245" s="111"/>
      <c r="C245" s="110"/>
      <c r="D245" s="109"/>
      <c r="E245" s="108"/>
      <c r="F245" s="107"/>
    </row>
    <row r="246" spans="1:6" ht="14" thickTop="1"/>
    <row r="247" spans="1:6" ht="14" thickBot="1"/>
    <row r="248" spans="1:6" ht="15" thickTop="1">
      <c r="A248" s="815" t="s">
        <v>603</v>
      </c>
      <c r="B248" s="818" t="str">
        <f>+'PPTO 2'!B15</f>
        <v xml:space="preserve">MANTENIMIENTO DE MANGUERA EXISTENTE, PARA SU CORRECTO FUNCIONAMIENTO, REALIZANDO LABORES DE AJUSTE DE ACOPLES Y PUESTA EN SERVICIO DEL SISTEMA </v>
      </c>
      <c r="C248" s="818"/>
      <c r="D248" s="818"/>
      <c r="E248" s="84" t="s">
        <v>17</v>
      </c>
      <c r="F248" s="113" t="s">
        <v>590</v>
      </c>
    </row>
    <row r="249" spans="1:6">
      <c r="A249" s="816"/>
      <c r="B249" s="819"/>
      <c r="C249" s="819"/>
      <c r="D249" s="819"/>
      <c r="E249" s="84"/>
      <c r="F249" s="79"/>
    </row>
    <row r="250" spans="1:6" ht="14" thickBot="1">
      <c r="A250" s="817"/>
      <c r="B250" s="820"/>
      <c r="C250" s="820"/>
      <c r="D250" s="820"/>
      <c r="E250" s="99"/>
      <c r="F250" s="98"/>
    </row>
    <row r="251" spans="1:6" ht="14" thickTop="1">
      <c r="A251" s="82"/>
      <c r="B251" s="81"/>
      <c r="C251" s="81"/>
      <c r="D251" s="81"/>
      <c r="E251" s="80"/>
      <c r="F251" s="89"/>
    </row>
    <row r="252" spans="1:6">
      <c r="A252" s="78" t="s">
        <v>93</v>
      </c>
      <c r="B252" s="77"/>
      <c r="C252" s="77"/>
      <c r="D252" s="77"/>
      <c r="E252" s="97"/>
      <c r="F252" s="96"/>
    </row>
    <row r="253" spans="1:6">
      <c r="A253" s="813" t="s">
        <v>81</v>
      </c>
      <c r="B253" s="814"/>
      <c r="C253" s="88" t="s">
        <v>10</v>
      </c>
      <c r="D253" s="88" t="s">
        <v>80</v>
      </c>
      <c r="E253" s="87" t="s">
        <v>3</v>
      </c>
      <c r="F253" s="86" t="s">
        <v>79</v>
      </c>
    </row>
    <row r="254" spans="1:6">
      <c r="A254" s="95" t="s">
        <v>24</v>
      </c>
      <c r="B254" s="94"/>
      <c r="C254" s="88" t="s">
        <v>83</v>
      </c>
      <c r="D254" s="79">
        <f>F271</f>
        <v>480506.95726027398</v>
      </c>
      <c r="E254" s="84">
        <v>0.05</v>
      </c>
      <c r="F254" s="83">
        <f>D254*E254</f>
        <v>24025.3478630137</v>
      </c>
    </row>
    <row r="255" spans="1:6">
      <c r="A255" s="95"/>
      <c r="B255" s="94"/>
      <c r="C255" s="88"/>
      <c r="D255" s="79"/>
      <c r="E255" s="84"/>
      <c r="F255" s="83"/>
    </row>
    <row r="256" spans="1:6">
      <c r="A256" s="95"/>
      <c r="B256" s="94"/>
      <c r="C256" s="88"/>
      <c r="D256" s="79"/>
      <c r="E256" s="84"/>
      <c r="F256" s="83"/>
    </row>
    <row r="257" spans="1:6">
      <c r="A257" s="82"/>
      <c r="B257" s="81"/>
      <c r="C257" s="81"/>
      <c r="D257" s="81" t="s">
        <v>26</v>
      </c>
      <c r="E257" s="80"/>
      <c r="F257" s="83">
        <f>SUM(F254:F256)</f>
        <v>24025.3478630137</v>
      </c>
    </row>
    <row r="258" spans="1:6">
      <c r="A258" s="82"/>
      <c r="B258" s="81"/>
      <c r="C258" s="81"/>
      <c r="D258" s="81"/>
      <c r="E258" s="80"/>
      <c r="F258" s="89"/>
    </row>
    <row r="259" spans="1:6">
      <c r="A259" s="82" t="s">
        <v>89</v>
      </c>
      <c r="B259" s="81"/>
      <c r="C259" s="93"/>
      <c r="D259" s="93"/>
      <c r="E259" s="92"/>
      <c r="F259" s="91"/>
    </row>
    <row r="260" spans="1:6">
      <c r="A260" s="813" t="s">
        <v>81</v>
      </c>
      <c r="B260" s="814"/>
      <c r="C260" s="88" t="s">
        <v>10</v>
      </c>
      <c r="D260" s="88" t="s">
        <v>80</v>
      </c>
      <c r="E260" s="87" t="s">
        <v>3</v>
      </c>
      <c r="F260" s="86" t="s">
        <v>79</v>
      </c>
    </row>
    <row r="261" spans="1:6">
      <c r="A261" s="811"/>
      <c r="B261" s="812"/>
      <c r="C261" s="88"/>
      <c r="D261" s="101"/>
      <c r="E261" s="84"/>
      <c r="F261" s="83">
        <f>E261*D261</f>
        <v>0</v>
      </c>
    </row>
    <row r="262" spans="1:6">
      <c r="A262" s="813"/>
      <c r="B262" s="814"/>
      <c r="C262" s="88"/>
      <c r="D262" s="79"/>
      <c r="E262" s="84"/>
      <c r="F262" s="83">
        <f>E262*D262</f>
        <v>0</v>
      </c>
    </row>
    <row r="263" spans="1:6">
      <c r="A263" s="95"/>
      <c r="B263" s="94"/>
      <c r="C263" s="88"/>
      <c r="D263" s="79"/>
      <c r="E263" s="84"/>
      <c r="F263" s="83"/>
    </row>
    <row r="264" spans="1:6">
      <c r="A264" s="95"/>
      <c r="B264" s="94"/>
      <c r="C264" s="88"/>
      <c r="D264" s="79"/>
      <c r="E264" s="84"/>
      <c r="F264" s="83"/>
    </row>
    <row r="265" spans="1:6">
      <c r="A265" s="82"/>
      <c r="B265" s="81"/>
      <c r="C265" s="81"/>
      <c r="D265" s="81" t="s">
        <v>26</v>
      </c>
      <c r="E265" s="80"/>
      <c r="F265" s="83">
        <f>SUM(F261:F264)</f>
        <v>0</v>
      </c>
    </row>
    <row r="266" spans="1:6">
      <c r="A266" s="82"/>
      <c r="B266" s="81"/>
      <c r="C266" s="81"/>
      <c r="D266" s="81"/>
      <c r="E266" s="80"/>
      <c r="F266" s="89"/>
    </row>
    <row r="267" spans="1:6">
      <c r="A267" s="78" t="s">
        <v>82</v>
      </c>
      <c r="B267" s="77"/>
      <c r="C267" s="81"/>
      <c r="D267" s="81"/>
      <c r="E267" s="80"/>
      <c r="F267" s="89"/>
    </row>
    <row r="268" spans="1:6">
      <c r="A268" s="813" t="s">
        <v>81</v>
      </c>
      <c r="B268" s="814"/>
      <c r="C268" s="88" t="s">
        <v>10</v>
      </c>
      <c r="D268" s="88" t="s">
        <v>80</v>
      </c>
      <c r="E268" s="87" t="s">
        <v>3</v>
      </c>
      <c r="F268" s="86" t="s">
        <v>79</v>
      </c>
    </row>
    <row r="269" spans="1:6">
      <c r="A269" s="813" t="s">
        <v>94</v>
      </c>
      <c r="B269" s="814"/>
      <c r="C269" s="88" t="s">
        <v>90</v>
      </c>
      <c r="D269" s="88">
        <v>240253.47863013699</v>
      </c>
      <c r="E269" s="87">
        <v>2</v>
      </c>
      <c r="F269" s="86">
        <f>D269*E269</f>
        <v>480506.95726027398</v>
      </c>
    </row>
    <row r="270" spans="1:6">
      <c r="A270" s="85"/>
      <c r="B270" s="79"/>
      <c r="C270" s="79"/>
      <c r="D270" s="79"/>
      <c r="E270" s="84"/>
      <c r="F270" s="83"/>
    </row>
    <row r="271" spans="1:6">
      <c r="A271" s="82"/>
      <c r="B271" s="81"/>
      <c r="C271" s="81"/>
      <c r="D271" s="81" t="s">
        <v>26</v>
      </c>
      <c r="E271" s="80"/>
      <c r="F271" s="83">
        <f>F269</f>
        <v>480506.95726027398</v>
      </c>
    </row>
    <row r="272" spans="1:6">
      <c r="A272" s="82"/>
      <c r="B272" s="81"/>
      <c r="C272" s="81"/>
      <c r="D272" s="81"/>
      <c r="E272" s="80"/>
      <c r="F272" s="89"/>
    </row>
    <row r="273" spans="1:6">
      <c r="A273" s="82"/>
      <c r="B273" s="81"/>
      <c r="C273" s="81"/>
      <c r="D273" s="81"/>
      <c r="E273" s="80"/>
      <c r="F273" s="89"/>
    </row>
    <row r="274" spans="1:6" ht="18">
      <c r="A274" s="82"/>
      <c r="B274" s="81"/>
      <c r="C274" s="104" t="s">
        <v>36</v>
      </c>
      <c r="D274" s="104"/>
      <c r="E274" s="103"/>
      <c r="F274" s="102">
        <f>+F271+F265+F257</f>
        <v>504532.30512328766</v>
      </c>
    </row>
    <row r="275" spans="1:6" ht="18">
      <c r="A275" s="82"/>
      <c r="B275" s="81"/>
      <c r="C275" s="104"/>
      <c r="D275" s="104"/>
      <c r="E275" s="103"/>
      <c r="F275" s="102"/>
    </row>
    <row r="276" spans="1:6">
      <c r="A276" s="82"/>
      <c r="B276" s="81"/>
      <c r="C276" s="104"/>
      <c r="D276" s="120"/>
      <c r="E276" s="103"/>
      <c r="F276" s="119"/>
    </row>
    <row r="277" spans="1:6" ht="14" thickBot="1">
      <c r="A277" s="112"/>
      <c r="B277" s="111"/>
      <c r="C277" s="110"/>
      <c r="D277" s="109"/>
      <c r="E277" s="108"/>
      <c r="F277" s="107"/>
    </row>
    <row r="278" spans="1:6" ht="14" thickTop="1"/>
    <row r="282" spans="1:6" ht="14" thickBot="1">
      <c r="A282" s="307"/>
      <c r="B282" s="307"/>
      <c r="C282" s="307"/>
      <c r="D282" s="307"/>
    </row>
    <row r="283" spans="1:6">
      <c r="A283" t="e">
        <f>+#REF!</f>
        <v>#REF!</v>
      </c>
    </row>
    <row r="284" spans="1:6">
      <c r="A284" t="e">
        <f>+#REF!</f>
        <v>#REF!</v>
      </c>
    </row>
  </sheetData>
  <mergeCells count="72">
    <mergeCell ref="A23:B23"/>
    <mergeCell ref="A2:A3"/>
    <mergeCell ref="B2:D3"/>
    <mergeCell ref="A6:B6"/>
    <mergeCell ref="A13:B13"/>
    <mergeCell ref="A14:B14"/>
    <mergeCell ref="A15:B15"/>
    <mergeCell ref="A16:B16"/>
    <mergeCell ref="A74:B74"/>
    <mergeCell ref="A24:B24"/>
    <mergeCell ref="A35:A37"/>
    <mergeCell ref="B35:D37"/>
    <mergeCell ref="A40:B40"/>
    <mergeCell ref="A47:B47"/>
    <mergeCell ref="A49:B49"/>
    <mergeCell ref="A53:B53"/>
    <mergeCell ref="A54:B54"/>
    <mergeCell ref="A62:A64"/>
    <mergeCell ref="B62:D64"/>
    <mergeCell ref="A67:B67"/>
    <mergeCell ref="A114:B114"/>
    <mergeCell ref="A75:B75"/>
    <mergeCell ref="A76:B76"/>
    <mergeCell ref="A82:B82"/>
    <mergeCell ref="A83:B83"/>
    <mergeCell ref="A93:A95"/>
    <mergeCell ref="B93:D95"/>
    <mergeCell ref="A98:B98"/>
    <mergeCell ref="A105:B105"/>
    <mergeCell ref="A106:B106"/>
    <mergeCell ref="A107:B107"/>
    <mergeCell ref="A113:B113"/>
    <mergeCell ref="A167:B167"/>
    <mergeCell ref="A124:A126"/>
    <mergeCell ref="B124:D126"/>
    <mergeCell ref="A129:B129"/>
    <mergeCell ref="A136:B136"/>
    <mergeCell ref="A137:B137"/>
    <mergeCell ref="A138:B138"/>
    <mergeCell ref="A144:B144"/>
    <mergeCell ref="A145:B145"/>
    <mergeCell ref="A155:A157"/>
    <mergeCell ref="B155:D157"/>
    <mergeCell ref="A160:B160"/>
    <mergeCell ref="A168:B168"/>
    <mergeCell ref="A169:B169"/>
    <mergeCell ref="A175:B175"/>
    <mergeCell ref="A176:B176"/>
    <mergeCell ref="A186:A188"/>
    <mergeCell ref="B186:D188"/>
    <mergeCell ref="A231:B231"/>
    <mergeCell ref="A191:B191"/>
    <mergeCell ref="A198:B198"/>
    <mergeCell ref="A199:B199"/>
    <mergeCell ref="A200:B200"/>
    <mergeCell ref="A206:B206"/>
    <mergeCell ref="A207:B207"/>
    <mergeCell ref="A217:A219"/>
    <mergeCell ref="B217:D219"/>
    <mergeCell ref="A222:B222"/>
    <mergeCell ref="A229:B229"/>
    <mergeCell ref="A230:B230"/>
    <mergeCell ref="A261:B261"/>
    <mergeCell ref="A262:B262"/>
    <mergeCell ref="A268:B268"/>
    <mergeCell ref="A269:B269"/>
    <mergeCell ref="A237:B237"/>
    <mergeCell ref="A238:B238"/>
    <mergeCell ref="A248:A250"/>
    <mergeCell ref="B248:D250"/>
    <mergeCell ref="A253:B253"/>
    <mergeCell ref="A260:B260"/>
  </mergeCells>
  <pageMargins left="0.7" right="0.7" top="0.75" bottom="0.75" header="0.3" footer="0.3"/>
  <pageSetup scale="85" orientation="portrait" r:id="rId1"/>
  <rowBreaks count="8" manualBreakCount="8">
    <brk id="33" max="5" man="1"/>
    <brk id="60" max="5" man="1"/>
    <brk id="91" max="5" man="1"/>
    <brk id="122" max="5" man="1"/>
    <brk id="153" max="5" man="1"/>
    <brk id="184" max="5" man="1"/>
    <brk id="215" max="5" man="1"/>
    <brk id="246" max="5" man="1"/>
  </rowBreaks>
  <colBreaks count="1" manualBreakCount="1">
    <brk id="6"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rgb="FF0070C0"/>
  </sheetPr>
  <dimension ref="A1:H23"/>
  <sheetViews>
    <sheetView view="pageBreakPreview" zoomScaleNormal="100" zoomScaleSheetLayoutView="100" workbookViewId="0">
      <selection activeCell="F17" sqref="F17"/>
    </sheetView>
  </sheetViews>
  <sheetFormatPr baseColWidth="10" defaultRowHeight="13"/>
  <cols>
    <col min="1" max="1" width="58.19921875" customWidth="1"/>
    <col min="2" max="6" width="10.19921875" customWidth="1"/>
    <col min="7" max="7" width="19" customWidth="1"/>
    <col min="261" max="261" width="58.19921875" customWidth="1"/>
    <col min="262" max="262" width="10.19921875" customWidth="1"/>
    <col min="263" max="263" width="19" customWidth="1"/>
    <col min="517" max="517" width="58.19921875" customWidth="1"/>
    <col min="518" max="518" width="10.19921875" customWidth="1"/>
    <col min="519" max="519" width="19" customWidth="1"/>
    <col min="773" max="773" width="58.19921875" customWidth="1"/>
    <col min="774" max="774" width="10.19921875" customWidth="1"/>
    <col min="775" max="775" width="19" customWidth="1"/>
    <col min="1029" max="1029" width="58.19921875" customWidth="1"/>
    <col min="1030" max="1030" width="10.19921875" customWidth="1"/>
    <col min="1031" max="1031" width="19" customWidth="1"/>
    <col min="1285" max="1285" width="58.19921875" customWidth="1"/>
    <col min="1286" max="1286" width="10.19921875" customWidth="1"/>
    <col min="1287" max="1287" width="19" customWidth="1"/>
    <col min="1541" max="1541" width="58.19921875" customWidth="1"/>
    <col min="1542" max="1542" width="10.19921875" customWidth="1"/>
    <col min="1543" max="1543" width="19" customWidth="1"/>
    <col min="1797" max="1797" width="58.19921875" customWidth="1"/>
    <col min="1798" max="1798" width="10.19921875" customWidth="1"/>
    <col min="1799" max="1799" width="19" customWidth="1"/>
    <col min="2053" max="2053" width="58.19921875" customWidth="1"/>
    <col min="2054" max="2054" width="10.19921875" customWidth="1"/>
    <col min="2055" max="2055" width="19" customWidth="1"/>
    <col min="2309" max="2309" width="58.19921875" customWidth="1"/>
    <col min="2310" max="2310" width="10.19921875" customWidth="1"/>
    <col min="2311" max="2311" width="19" customWidth="1"/>
    <col min="2565" max="2565" width="58.19921875" customWidth="1"/>
    <col min="2566" max="2566" width="10.19921875" customWidth="1"/>
    <col min="2567" max="2567" width="19" customWidth="1"/>
    <col min="2821" max="2821" width="58.19921875" customWidth="1"/>
    <col min="2822" max="2822" width="10.19921875" customWidth="1"/>
    <col min="2823" max="2823" width="19" customWidth="1"/>
    <col min="3077" max="3077" width="58.19921875" customWidth="1"/>
    <col min="3078" max="3078" width="10.19921875" customWidth="1"/>
    <col min="3079" max="3079" width="19" customWidth="1"/>
    <col min="3333" max="3333" width="58.19921875" customWidth="1"/>
    <col min="3334" max="3334" width="10.19921875" customWidth="1"/>
    <col min="3335" max="3335" width="19" customWidth="1"/>
    <col min="3589" max="3589" width="58.19921875" customWidth="1"/>
    <col min="3590" max="3590" width="10.19921875" customWidth="1"/>
    <col min="3591" max="3591" width="19" customWidth="1"/>
    <col min="3845" max="3845" width="58.19921875" customWidth="1"/>
    <col min="3846" max="3846" width="10.19921875" customWidth="1"/>
    <col min="3847" max="3847" width="19" customWidth="1"/>
    <col min="4101" max="4101" width="58.19921875" customWidth="1"/>
    <col min="4102" max="4102" width="10.19921875" customWidth="1"/>
    <col min="4103" max="4103" width="19" customWidth="1"/>
    <col min="4357" max="4357" width="58.19921875" customWidth="1"/>
    <col min="4358" max="4358" width="10.19921875" customWidth="1"/>
    <col min="4359" max="4359" width="19" customWidth="1"/>
    <col min="4613" max="4613" width="58.19921875" customWidth="1"/>
    <col min="4614" max="4614" width="10.19921875" customWidth="1"/>
    <col min="4615" max="4615" width="19" customWidth="1"/>
    <col min="4869" max="4869" width="58.19921875" customWidth="1"/>
    <col min="4870" max="4870" width="10.19921875" customWidth="1"/>
    <col min="4871" max="4871" width="19" customWidth="1"/>
    <col min="5125" max="5125" width="58.19921875" customWidth="1"/>
    <col min="5126" max="5126" width="10.19921875" customWidth="1"/>
    <col min="5127" max="5127" width="19" customWidth="1"/>
    <col min="5381" max="5381" width="58.19921875" customWidth="1"/>
    <col min="5382" max="5382" width="10.19921875" customWidth="1"/>
    <col min="5383" max="5383" width="19" customWidth="1"/>
    <col min="5637" max="5637" width="58.19921875" customWidth="1"/>
    <col min="5638" max="5638" width="10.19921875" customWidth="1"/>
    <col min="5639" max="5639" width="19" customWidth="1"/>
    <col min="5893" max="5893" width="58.19921875" customWidth="1"/>
    <col min="5894" max="5894" width="10.19921875" customWidth="1"/>
    <col min="5895" max="5895" width="19" customWidth="1"/>
    <col min="6149" max="6149" width="58.19921875" customWidth="1"/>
    <col min="6150" max="6150" width="10.19921875" customWidth="1"/>
    <col min="6151" max="6151" width="19" customWidth="1"/>
    <col min="6405" max="6405" width="58.19921875" customWidth="1"/>
    <col min="6406" max="6406" width="10.19921875" customWidth="1"/>
    <col min="6407" max="6407" width="19" customWidth="1"/>
    <col min="6661" max="6661" width="58.19921875" customWidth="1"/>
    <col min="6662" max="6662" width="10.19921875" customWidth="1"/>
    <col min="6663" max="6663" width="19" customWidth="1"/>
    <col min="6917" max="6917" width="58.19921875" customWidth="1"/>
    <col min="6918" max="6918" width="10.19921875" customWidth="1"/>
    <col min="6919" max="6919" width="19" customWidth="1"/>
    <col min="7173" max="7173" width="58.19921875" customWidth="1"/>
    <col min="7174" max="7174" width="10.19921875" customWidth="1"/>
    <col min="7175" max="7175" width="19" customWidth="1"/>
    <col min="7429" max="7429" width="58.19921875" customWidth="1"/>
    <col min="7430" max="7430" width="10.19921875" customWidth="1"/>
    <col min="7431" max="7431" width="19" customWidth="1"/>
    <col min="7685" max="7685" width="58.19921875" customWidth="1"/>
    <col min="7686" max="7686" width="10.19921875" customWidth="1"/>
    <col min="7687" max="7687" width="19" customWidth="1"/>
    <col min="7941" max="7941" width="58.19921875" customWidth="1"/>
    <col min="7942" max="7942" width="10.19921875" customWidth="1"/>
    <col min="7943" max="7943" width="19" customWidth="1"/>
    <col min="8197" max="8197" width="58.19921875" customWidth="1"/>
    <col min="8198" max="8198" width="10.19921875" customWidth="1"/>
    <col min="8199" max="8199" width="19" customWidth="1"/>
    <col min="8453" max="8453" width="58.19921875" customWidth="1"/>
    <col min="8454" max="8454" width="10.19921875" customWidth="1"/>
    <col min="8455" max="8455" width="19" customWidth="1"/>
    <col min="8709" max="8709" width="58.19921875" customWidth="1"/>
    <col min="8710" max="8710" width="10.19921875" customWidth="1"/>
    <col min="8711" max="8711" width="19" customWidth="1"/>
    <col min="8965" max="8965" width="58.19921875" customWidth="1"/>
    <col min="8966" max="8966" width="10.19921875" customWidth="1"/>
    <col min="8967" max="8967" width="19" customWidth="1"/>
    <col min="9221" max="9221" width="58.19921875" customWidth="1"/>
    <col min="9222" max="9222" width="10.19921875" customWidth="1"/>
    <col min="9223" max="9223" width="19" customWidth="1"/>
    <col min="9477" max="9477" width="58.19921875" customWidth="1"/>
    <col min="9478" max="9478" width="10.19921875" customWidth="1"/>
    <col min="9479" max="9479" width="19" customWidth="1"/>
    <col min="9733" max="9733" width="58.19921875" customWidth="1"/>
    <col min="9734" max="9734" width="10.19921875" customWidth="1"/>
    <col min="9735" max="9735" width="19" customWidth="1"/>
    <col min="9989" max="9989" width="58.19921875" customWidth="1"/>
    <col min="9990" max="9990" width="10.19921875" customWidth="1"/>
    <col min="9991" max="9991" width="19" customWidth="1"/>
    <col min="10245" max="10245" width="58.19921875" customWidth="1"/>
    <col min="10246" max="10246" width="10.19921875" customWidth="1"/>
    <col min="10247" max="10247" width="19" customWidth="1"/>
    <col min="10501" max="10501" width="58.19921875" customWidth="1"/>
    <col min="10502" max="10502" width="10.19921875" customWidth="1"/>
    <col min="10503" max="10503" width="19" customWidth="1"/>
    <col min="10757" max="10757" width="58.19921875" customWidth="1"/>
    <col min="10758" max="10758" width="10.19921875" customWidth="1"/>
    <col min="10759" max="10759" width="19" customWidth="1"/>
    <col min="11013" max="11013" width="58.19921875" customWidth="1"/>
    <col min="11014" max="11014" width="10.19921875" customWidth="1"/>
    <col min="11015" max="11015" width="19" customWidth="1"/>
    <col min="11269" max="11269" width="58.19921875" customWidth="1"/>
    <col min="11270" max="11270" width="10.19921875" customWidth="1"/>
    <col min="11271" max="11271" width="19" customWidth="1"/>
    <col min="11525" max="11525" width="58.19921875" customWidth="1"/>
    <col min="11526" max="11526" width="10.19921875" customWidth="1"/>
    <col min="11527" max="11527" width="19" customWidth="1"/>
    <col min="11781" max="11781" width="58.19921875" customWidth="1"/>
    <col min="11782" max="11782" width="10.19921875" customWidth="1"/>
    <col min="11783" max="11783" width="19" customWidth="1"/>
    <col min="12037" max="12037" width="58.19921875" customWidth="1"/>
    <col min="12038" max="12038" width="10.19921875" customWidth="1"/>
    <col min="12039" max="12039" width="19" customWidth="1"/>
    <col min="12293" max="12293" width="58.19921875" customWidth="1"/>
    <col min="12294" max="12294" width="10.19921875" customWidth="1"/>
    <col min="12295" max="12295" width="19" customWidth="1"/>
    <col min="12549" max="12549" width="58.19921875" customWidth="1"/>
    <col min="12550" max="12550" width="10.19921875" customWidth="1"/>
    <col min="12551" max="12551" width="19" customWidth="1"/>
    <col min="12805" max="12805" width="58.19921875" customWidth="1"/>
    <col min="12806" max="12806" width="10.19921875" customWidth="1"/>
    <col min="12807" max="12807" width="19" customWidth="1"/>
    <col min="13061" max="13061" width="58.19921875" customWidth="1"/>
    <col min="13062" max="13062" width="10.19921875" customWidth="1"/>
    <col min="13063" max="13063" width="19" customWidth="1"/>
    <col min="13317" max="13317" width="58.19921875" customWidth="1"/>
    <col min="13318" max="13318" width="10.19921875" customWidth="1"/>
    <col min="13319" max="13319" width="19" customWidth="1"/>
    <col min="13573" max="13573" width="58.19921875" customWidth="1"/>
    <col min="13574" max="13574" width="10.19921875" customWidth="1"/>
    <col min="13575" max="13575" width="19" customWidth="1"/>
    <col min="13829" max="13829" width="58.19921875" customWidth="1"/>
    <col min="13830" max="13830" width="10.19921875" customWidth="1"/>
    <col min="13831" max="13831" width="19" customWidth="1"/>
    <col min="14085" max="14085" width="58.19921875" customWidth="1"/>
    <col min="14086" max="14086" width="10.19921875" customWidth="1"/>
    <col min="14087" max="14087" width="19" customWidth="1"/>
    <col min="14341" max="14341" width="58.19921875" customWidth="1"/>
    <col min="14342" max="14342" width="10.19921875" customWidth="1"/>
    <col min="14343" max="14343" width="19" customWidth="1"/>
    <col min="14597" max="14597" width="58.19921875" customWidth="1"/>
    <col min="14598" max="14598" width="10.19921875" customWidth="1"/>
    <col min="14599" max="14599" width="19" customWidth="1"/>
    <col min="14853" max="14853" width="58.19921875" customWidth="1"/>
    <col min="14854" max="14854" width="10.19921875" customWidth="1"/>
    <col min="14855" max="14855" width="19" customWidth="1"/>
    <col min="15109" max="15109" width="58.19921875" customWidth="1"/>
    <col min="15110" max="15110" width="10.19921875" customWidth="1"/>
    <col min="15111" max="15111" width="19" customWidth="1"/>
    <col min="15365" max="15365" width="58.19921875" customWidth="1"/>
    <col min="15366" max="15366" width="10.19921875" customWidth="1"/>
    <col min="15367" max="15367" width="19" customWidth="1"/>
    <col min="15621" max="15621" width="58.19921875" customWidth="1"/>
    <col min="15622" max="15622" width="10.19921875" customWidth="1"/>
    <col min="15623" max="15623" width="19" customWidth="1"/>
    <col min="15877" max="15877" width="58.19921875" customWidth="1"/>
    <col min="15878" max="15878" width="10.19921875" customWidth="1"/>
    <col min="15879" max="15879" width="19" customWidth="1"/>
    <col min="16133" max="16133" width="58.19921875" customWidth="1"/>
    <col min="16134" max="16134" width="10.19921875" customWidth="1"/>
    <col min="16135" max="16135" width="19" customWidth="1"/>
  </cols>
  <sheetData>
    <row r="1" spans="1:7" ht="69.75" customHeight="1">
      <c r="A1" s="838" t="str">
        <f>'PPTO 2'!A1:F1</f>
        <v xml:space="preserve">LIMPIEZA Y MANTENIMIENTO DEL DISTRITO DE RIEGO DE LA PARTE BAJA DE SABANAS DE LEON, MUNICIPIO DE MANAURE, DEPARTAMENTO DEL CESAR. </v>
      </c>
      <c r="B1" s="838"/>
      <c r="C1" s="838"/>
      <c r="D1" s="838"/>
      <c r="E1" s="838"/>
      <c r="F1" s="838"/>
      <c r="G1" s="838"/>
    </row>
    <row r="2" spans="1:7">
      <c r="A2" s="839" t="s">
        <v>0</v>
      </c>
      <c r="B2" s="839"/>
      <c r="C2" s="839"/>
      <c r="D2" s="839"/>
      <c r="E2" s="839"/>
      <c r="F2" s="839"/>
      <c r="G2" s="839"/>
    </row>
    <row r="3" spans="1:7">
      <c r="A3" s="839"/>
      <c r="B3" s="839"/>
      <c r="C3" s="839"/>
      <c r="D3" s="839"/>
      <c r="E3" s="839"/>
      <c r="F3" s="839"/>
      <c r="G3" s="839"/>
    </row>
    <row r="4" spans="1:7">
      <c r="A4" s="295" t="s">
        <v>1</v>
      </c>
      <c r="B4" s="296" t="s">
        <v>2</v>
      </c>
      <c r="C4" s="296" t="s">
        <v>566</v>
      </c>
      <c r="D4" s="296" t="s">
        <v>565</v>
      </c>
      <c r="E4" s="296" t="s">
        <v>564</v>
      </c>
      <c r="F4" s="296" t="s">
        <v>3</v>
      </c>
      <c r="G4" s="297" t="s">
        <v>567</v>
      </c>
    </row>
    <row r="5" spans="1:7" ht="24" customHeight="1">
      <c r="A5" s="3" t="str">
        <f>+'PPTO 2'!B5</f>
        <v>MOVIMENTOS DE TIERRA PARA MANTENIMIENTO DE DISTRITO DE RIEGO</v>
      </c>
      <c r="B5" s="3"/>
      <c r="C5" s="3"/>
      <c r="D5" s="3"/>
      <c r="E5" s="3"/>
      <c r="F5" s="3"/>
      <c r="G5" s="3"/>
    </row>
    <row r="6" spans="1:7" ht="14">
      <c r="A6" s="1" t="str">
        <f>+'PPTO 2'!B6</f>
        <v>EXCAVACION MANUAL EN MATERIAL CONGLOMERADO</v>
      </c>
      <c r="B6" s="2" t="str">
        <f>+'PPTO 2'!C6</f>
        <v>M3</v>
      </c>
      <c r="C6" s="2">
        <v>755</v>
      </c>
      <c r="D6" s="2">
        <v>0.3</v>
      </c>
      <c r="E6" s="2">
        <v>0.5</v>
      </c>
      <c r="F6" s="2">
        <v>1</v>
      </c>
      <c r="G6" s="299">
        <f>+C6*D6*E6*F6</f>
        <v>113.25</v>
      </c>
    </row>
    <row r="7" spans="1:7" ht="26" customHeight="1">
      <c r="A7" s="1" t="str">
        <f>+'PPTO 2'!B7</f>
        <v>RELLENO SELECCIONADO CON MATERIAL DE LA MISMA EXCAVACION</v>
      </c>
      <c r="B7" s="2" t="str">
        <f>+'PPTO 2'!C7</f>
        <v>M3</v>
      </c>
      <c r="C7" s="2"/>
      <c r="D7" s="2"/>
      <c r="E7" s="2"/>
      <c r="F7" s="2"/>
      <c r="G7" s="299">
        <f>+G6-G6*0.3</f>
        <v>79.275000000000006</v>
      </c>
    </row>
    <row r="8" spans="1:7" ht="26" customHeight="1">
      <c r="A8" s="3" t="str">
        <f>+'PPTO 2'!B8</f>
        <v>OBRAS DE REDES HIDRAULICAS PARA MANTENIMIENTO DE DISTRITO DE RIEGO</v>
      </c>
      <c r="B8" s="4"/>
      <c r="C8" s="4"/>
      <c r="D8" s="4"/>
      <c r="E8" s="4"/>
      <c r="F8" s="4"/>
      <c r="G8" s="5"/>
    </row>
    <row r="9" spans="1:7" ht="28">
      <c r="A9" s="1" t="str">
        <f>+'PPTO 2'!B9</f>
        <v xml:space="preserve">SUMINISTRO E INSTALACION DE TUBERIA DE ALTA PRESIÓN EN PVC 4" </v>
      </c>
      <c r="B9" s="1" t="str">
        <f>+'PPTO 2'!C9</f>
        <v>ML</v>
      </c>
      <c r="C9" s="2">
        <v>96</v>
      </c>
      <c r="D9" s="1"/>
      <c r="E9" s="1"/>
      <c r="F9" s="1">
        <v>1</v>
      </c>
      <c r="G9" s="314">
        <f t="shared" ref="G9:G14" si="0">+C9*F9</f>
        <v>96</v>
      </c>
    </row>
    <row r="10" spans="1:7" ht="26" customHeight="1">
      <c r="A10" s="1" t="str">
        <f>+'PPTO 2'!B10</f>
        <v xml:space="preserve">SUMINISTRO E INSTALACIÓN UNIONES ALTAPRESION EN PVC O SIMILAR DE 4" </v>
      </c>
      <c r="B10" s="1" t="str">
        <f>+'PPTO 2'!C10</f>
        <v>UND</v>
      </c>
      <c r="C10" s="2">
        <f>+C9/6+2</f>
        <v>18</v>
      </c>
      <c r="D10" s="1"/>
      <c r="E10" s="1"/>
      <c r="F10" s="1">
        <v>1</v>
      </c>
      <c r="G10" s="314">
        <f t="shared" si="0"/>
        <v>18</v>
      </c>
    </row>
    <row r="11" spans="1:7" ht="26" customHeight="1">
      <c r="A11" s="1" t="str">
        <f>+'PPTO 2'!B11</f>
        <v xml:space="preserve">SUMINISTRO E INSTALACION DE TUBERIA DE ALTA PRESIÓN EN PVC 3" </v>
      </c>
      <c r="B11" s="1" t="str">
        <f>+'PPTO 2'!C11</f>
        <v>ML</v>
      </c>
      <c r="C11" s="2">
        <v>24</v>
      </c>
      <c r="D11" s="1"/>
      <c r="E11" s="1"/>
      <c r="F11" s="1">
        <v>1</v>
      </c>
      <c r="G11" s="314">
        <f t="shared" si="0"/>
        <v>24</v>
      </c>
    </row>
    <row r="12" spans="1:7" ht="26" customHeight="1">
      <c r="A12" s="1" t="str">
        <f>+'PPTO 2'!B12</f>
        <v xml:space="preserve">SUMINISTRO E INSTALACIÓN UNIONES ALTAPRESION EN PVC O SIMILAR DE 3" </v>
      </c>
      <c r="B12" s="1" t="str">
        <f>+'PPTO 2'!C12</f>
        <v>UND</v>
      </c>
      <c r="C12" s="2">
        <f>+C11/6+2</f>
        <v>6</v>
      </c>
      <c r="D12" s="1"/>
      <c r="E12" s="1"/>
      <c r="F12" s="1">
        <v>1</v>
      </c>
      <c r="G12" s="314">
        <f t="shared" si="0"/>
        <v>6</v>
      </c>
    </row>
    <row r="13" spans="1:7" ht="26" customHeight="1">
      <c r="A13" s="1" t="str">
        <f>+'PPTO 2'!B13</f>
        <v xml:space="preserve">SUMINISTRO E INSTALACION DE TUBERIA DE ALTA PRESIÓN EN PVC 2" </v>
      </c>
      <c r="B13" s="1" t="str">
        <f>+'PPTO 2'!C13</f>
        <v>ML</v>
      </c>
      <c r="C13" s="2">
        <v>30</v>
      </c>
      <c r="D13" s="1"/>
      <c r="E13" s="1"/>
      <c r="F13" s="1">
        <v>1</v>
      </c>
      <c r="G13" s="314">
        <f t="shared" si="0"/>
        <v>30</v>
      </c>
    </row>
    <row r="14" spans="1:7" ht="26" customHeight="1">
      <c r="A14" s="1" t="str">
        <f>+'PPTO 2'!B14</f>
        <v xml:space="preserve">SUMINISTRO E INSTALACIÓN UNIONES ALTAPRESION EN PVC O SIMILAR DE 2" </v>
      </c>
      <c r="B14" s="1" t="str">
        <f>+'PPTO 2'!C14</f>
        <v>UND</v>
      </c>
      <c r="C14" s="2">
        <f>+C13/6+2</f>
        <v>7</v>
      </c>
      <c r="D14" s="1"/>
      <c r="E14" s="1"/>
      <c r="F14" s="1">
        <v>1</v>
      </c>
      <c r="G14" s="314">
        <f t="shared" si="0"/>
        <v>7</v>
      </c>
    </row>
    <row r="15" spans="1:7" ht="26" customHeight="1">
      <c r="A15" s="1" t="str">
        <f>+'PPTO 2'!B15</f>
        <v xml:space="preserve">MANTENIMIENTO DE MANGUERA EXISTENTE, PARA SU CORRECTO FUNCIONAMIENTO, REALIZANDO LABORES DE AJUSTE DE ACOPLES Y PUESTA EN SERVICIO DEL SISTEMA </v>
      </c>
      <c r="B15" s="1" t="str">
        <f>+'PPTO 2'!C15</f>
        <v>GBL</v>
      </c>
      <c r="C15" s="2"/>
      <c r="D15" s="1"/>
      <c r="E15" s="1"/>
      <c r="F15" s="1">
        <v>1</v>
      </c>
      <c r="G15" s="314">
        <f>+F15</f>
        <v>1</v>
      </c>
    </row>
    <row r="16" spans="1:7" ht="26" customHeight="1">
      <c r="A16" s="1"/>
      <c r="B16" s="1"/>
      <c r="C16" s="1"/>
      <c r="D16" s="1"/>
      <c r="E16" s="1"/>
      <c r="F16" s="1"/>
      <c r="G16" s="310"/>
    </row>
    <row r="17" spans="1:8" ht="26" customHeight="1">
      <c r="A17" s="292"/>
      <c r="B17" s="293"/>
      <c r="C17" s="293"/>
      <c r="D17" s="293"/>
      <c r="E17" s="293"/>
      <c r="F17" s="293"/>
      <c r="G17" s="294"/>
    </row>
    <row r="18" spans="1:8" ht="26" customHeight="1">
      <c r="A18" s="292"/>
      <c r="B18" s="293"/>
      <c r="C18" s="293"/>
      <c r="D18" s="293"/>
      <c r="E18" s="293"/>
      <c r="F18" s="293"/>
      <c r="G18" s="294"/>
    </row>
    <row r="19" spans="1:8" ht="26" customHeight="1">
      <c r="A19" s="292"/>
      <c r="B19" s="293"/>
      <c r="C19" s="293"/>
      <c r="D19" s="293"/>
      <c r="E19" s="293"/>
      <c r="F19" s="293"/>
      <c r="G19" s="294"/>
    </row>
    <row r="20" spans="1:8" ht="21.75" customHeight="1" thickBot="1">
      <c r="A20" s="298"/>
      <c r="B20" s="293"/>
      <c r="C20" s="293"/>
      <c r="D20" s="293"/>
      <c r="E20" s="293"/>
      <c r="F20" s="293"/>
      <c r="G20" s="294"/>
    </row>
    <row r="21" spans="1:8" ht="16">
      <c r="A21" s="6" t="s">
        <v>561</v>
      </c>
      <c r="B21" s="6"/>
      <c r="C21" s="6"/>
      <c r="D21" s="6"/>
      <c r="E21" s="6"/>
      <c r="F21" s="6"/>
      <c r="G21" s="6"/>
      <c r="H21" s="6"/>
    </row>
    <row r="22" spans="1:8" ht="16">
      <c r="A22" s="6" t="s">
        <v>560</v>
      </c>
      <c r="B22" s="6"/>
      <c r="C22" s="6"/>
      <c r="D22" s="6"/>
      <c r="E22" s="6"/>
      <c r="F22" s="6"/>
      <c r="G22" s="6"/>
      <c r="H22" s="6"/>
    </row>
    <row r="23" spans="1:8" ht="16">
      <c r="B23" s="6"/>
      <c r="C23" s="6"/>
      <c r="D23" s="6"/>
      <c r="E23" s="6"/>
      <c r="F23" s="6"/>
      <c r="G23" s="6"/>
      <c r="H23" s="6"/>
    </row>
  </sheetData>
  <mergeCells count="2">
    <mergeCell ref="A1:G1"/>
    <mergeCell ref="A2:G3"/>
  </mergeCells>
  <conditionalFormatting sqref="A5">
    <cfRule type="cellIs" dxfId="3" priority="3" stopIfTrue="1" operator="equal">
      <formula>"ESCRIBA AQUÍ EL NOMBRE DEL CAPITULO"</formula>
    </cfRule>
  </conditionalFormatting>
  <conditionalFormatting sqref="A8">
    <cfRule type="cellIs" dxfId="2" priority="2" stopIfTrue="1" operator="equal">
      <formula>"ESCRIBA AQUÍ EL NOMBRE DEL CAPITULO"</formula>
    </cfRule>
  </conditionalFormatting>
  <pageMargins left="0.70866141732283472" right="0.70866141732283472" top="2.5196850393700787" bottom="0.74803149606299213" header="0.31496062992125984" footer="0.31496062992125984"/>
  <pageSetup scale="65" orientation="portrait" horizontalDpi="300" verticalDpi="300" r:id="rId1"/>
  <headerFooter>
    <oddHeader>&amp;L&amp;"-,Normal"&amp;12&amp;G
Corregimiento de San José de Oriente - Municipio de La Paz - Cesar&amp;"MS Sans Serif,Normal"&amp;10
&amp;R&amp;"-,Normal"&amp;12&amp;G
email: gestiproltda@gmail.com
celular: 3116625686</oddHeader>
  </headerFooter>
  <legacyDrawingHF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rgb="FF0070C0"/>
  </sheetPr>
  <dimension ref="A1:G27"/>
  <sheetViews>
    <sheetView view="pageBreakPreview" topLeftCell="A13" zoomScaleNormal="100" zoomScaleSheetLayoutView="100" workbookViewId="0">
      <selection activeCell="F19" sqref="F19"/>
    </sheetView>
  </sheetViews>
  <sheetFormatPr baseColWidth="10" defaultRowHeight="13"/>
  <cols>
    <col min="2" max="2" width="34.19921875" customWidth="1"/>
    <col min="3" max="5" width="15.19921875" style="322" customWidth="1"/>
    <col min="6" max="6" width="15.796875" style="322" customWidth="1"/>
    <col min="7" max="7" width="15.19921875" customWidth="1"/>
  </cols>
  <sheetData>
    <row r="1" spans="1:6" ht="55.5" customHeight="1">
      <c r="A1" s="838" t="str">
        <f>+'PPTO 2'!A1:F1</f>
        <v xml:space="preserve">LIMPIEZA Y MANTENIMIENTO DEL DISTRITO DE RIEGO DE LA PARTE BAJA DE SABANAS DE LEON, MUNICIPIO DE MANAURE, DEPARTAMENTO DEL CESAR. </v>
      </c>
      <c r="B1" s="838"/>
      <c r="C1" s="838"/>
      <c r="D1" s="838"/>
      <c r="E1" s="838"/>
      <c r="F1" s="838"/>
    </row>
    <row r="2" spans="1:6" ht="9" customHeight="1">
      <c r="A2" s="840" t="s">
        <v>605</v>
      </c>
      <c r="B2" s="840"/>
      <c r="C2" s="840"/>
      <c r="D2" s="840"/>
      <c r="E2" s="840"/>
      <c r="F2" s="840"/>
    </row>
    <row r="3" spans="1:6" ht="8.25" customHeight="1">
      <c r="A3" s="840"/>
      <c r="B3" s="840"/>
      <c r="C3" s="840"/>
      <c r="D3" s="840"/>
      <c r="E3" s="840"/>
      <c r="F3" s="840"/>
    </row>
    <row r="4" spans="1:6">
      <c r="A4" s="323" t="s">
        <v>77</v>
      </c>
      <c r="B4" s="323" t="s">
        <v>1</v>
      </c>
      <c r="C4" s="329" t="s">
        <v>606</v>
      </c>
      <c r="D4" s="329" t="s">
        <v>607</v>
      </c>
      <c r="E4" s="329" t="s">
        <v>608</v>
      </c>
      <c r="F4" s="330" t="s">
        <v>609</v>
      </c>
    </row>
    <row r="5" spans="1:6" ht="26.5" customHeight="1">
      <c r="A5" s="331">
        <v>1</v>
      </c>
      <c r="B5" s="841" t="s">
        <v>592</v>
      </c>
      <c r="C5" s="841"/>
      <c r="D5" s="841"/>
      <c r="E5" s="841"/>
      <c r="F5" s="841"/>
    </row>
    <row r="6" spans="1:6" ht="30" customHeight="1">
      <c r="A6" s="324">
        <v>1.1000000000000001</v>
      </c>
      <c r="B6" s="1" t="s">
        <v>5</v>
      </c>
      <c r="C6" s="325">
        <f>+'PPTO 2'!F6</f>
        <v>5453584</v>
      </c>
      <c r="D6" s="326">
        <f>+$C$6/3</f>
        <v>1817861.3333333333</v>
      </c>
      <c r="E6" s="326">
        <f>+$C$6/3</f>
        <v>1817861.3333333333</v>
      </c>
      <c r="F6" s="326">
        <f>+$C$6/3</f>
        <v>1817861.3333333333</v>
      </c>
    </row>
    <row r="7" spans="1:6" ht="36.75" customHeight="1">
      <c r="A7" s="324">
        <v>1.2</v>
      </c>
      <c r="B7" s="1" t="s">
        <v>7</v>
      </c>
      <c r="C7" s="325">
        <f>+'PPTO 2'!F7</f>
        <v>2840340</v>
      </c>
      <c r="D7" s="326">
        <f>+$C$7/3</f>
        <v>946780</v>
      </c>
      <c r="E7" s="326">
        <f>+$C$7/3</f>
        <v>946780</v>
      </c>
      <c r="F7" s="326">
        <f>+$C$7/3</f>
        <v>946780</v>
      </c>
    </row>
    <row r="8" spans="1:6" ht="30" customHeight="1">
      <c r="A8" s="331">
        <v>2</v>
      </c>
      <c r="B8" s="841" t="s">
        <v>593</v>
      </c>
      <c r="C8" s="841"/>
      <c r="D8" s="841"/>
      <c r="E8" s="841"/>
      <c r="F8" s="841"/>
    </row>
    <row r="9" spans="1:6" ht="42">
      <c r="A9" s="332">
        <v>2.1</v>
      </c>
      <c r="B9" s="1" t="s">
        <v>598</v>
      </c>
      <c r="C9" s="325">
        <f>+'PPTO 2'!F9</f>
        <v>7512932</v>
      </c>
      <c r="D9" s="333">
        <f>+$C$9/3</f>
        <v>2504310.6666666665</v>
      </c>
      <c r="E9" s="333">
        <f>+$C$9/3</f>
        <v>2504310.6666666665</v>
      </c>
      <c r="F9" s="333">
        <f>+$C$9/3</f>
        <v>2504310.6666666665</v>
      </c>
    </row>
    <row r="10" spans="1:6" ht="42">
      <c r="A10" s="332">
        <v>2.2000000000000002</v>
      </c>
      <c r="B10" s="1" t="s">
        <v>584</v>
      </c>
      <c r="C10" s="325">
        <f>+'PPTO 2'!F10</f>
        <v>1401367</v>
      </c>
      <c r="D10" s="333">
        <f>+$C$10/3</f>
        <v>467122.33333333331</v>
      </c>
      <c r="E10" s="333">
        <f>+$C$10/3</f>
        <v>467122.33333333331</v>
      </c>
      <c r="F10" s="333">
        <f>+$C$10/3</f>
        <v>467122.33333333331</v>
      </c>
    </row>
    <row r="11" spans="1:6" ht="42">
      <c r="A11" s="332">
        <v>2.2999999999999998</v>
      </c>
      <c r="B11" s="1" t="s">
        <v>599</v>
      </c>
      <c r="C11" s="325">
        <f>+'PPTO 2'!F11</f>
        <v>1297441</v>
      </c>
      <c r="D11" s="333">
        <f>+$C$11/3</f>
        <v>432480.33333333331</v>
      </c>
      <c r="E11" s="333">
        <f>+$C$11/3</f>
        <v>432480.33333333331</v>
      </c>
      <c r="F11" s="333">
        <f>+$C$11/3</f>
        <v>432480.33333333331</v>
      </c>
    </row>
    <row r="12" spans="1:6" ht="42">
      <c r="A12" s="332">
        <v>2.4</v>
      </c>
      <c r="B12" s="1" t="s">
        <v>588</v>
      </c>
      <c r="C12" s="325">
        <f>+'PPTO 2'!F12</f>
        <v>301807</v>
      </c>
      <c r="D12" s="333">
        <f>+$C$12/3</f>
        <v>100602.33333333333</v>
      </c>
      <c r="E12" s="333">
        <f>+$C$12/3</f>
        <v>100602.33333333333</v>
      </c>
      <c r="F12" s="333">
        <f>+$C$12/3</f>
        <v>100602.33333333333</v>
      </c>
    </row>
    <row r="13" spans="1:6" ht="42">
      <c r="A13" s="332">
        <v>2.5</v>
      </c>
      <c r="B13" s="1" t="s">
        <v>600</v>
      </c>
      <c r="C13" s="325">
        <f>+'PPTO 2'!F13</f>
        <v>1162181</v>
      </c>
      <c r="D13" s="333">
        <f>+$C$13/3</f>
        <v>387393.66666666669</v>
      </c>
      <c r="E13" s="333">
        <f>+$C$13/3</f>
        <v>387393.66666666669</v>
      </c>
      <c r="F13" s="333">
        <f>+$C$13/3</f>
        <v>387393.66666666669</v>
      </c>
    </row>
    <row r="14" spans="1:6" ht="42">
      <c r="A14" s="332">
        <v>2.6</v>
      </c>
      <c r="B14" s="1" t="s">
        <v>589</v>
      </c>
      <c r="C14" s="325">
        <f>+'PPTO 2'!F14</f>
        <v>224015</v>
      </c>
      <c r="D14" s="333">
        <f>+$C$14/3</f>
        <v>74671.666666666672</v>
      </c>
      <c r="E14" s="333">
        <f>+$C$14/3</f>
        <v>74671.666666666672</v>
      </c>
      <c r="F14" s="333">
        <f>+$C$14/3</f>
        <v>74671.666666666672</v>
      </c>
    </row>
    <row r="15" spans="1:6" ht="74" customHeight="1">
      <c r="A15" s="332">
        <v>2.7</v>
      </c>
      <c r="B15" s="1" t="s">
        <v>591</v>
      </c>
      <c r="C15" s="325">
        <f>+'PPTO 2'!F15</f>
        <v>504532</v>
      </c>
      <c r="D15" s="333">
        <f>+$C$15/3</f>
        <v>168177.33333333334</v>
      </c>
      <c r="E15" s="333">
        <f>+$C$15/3</f>
        <v>168177.33333333334</v>
      </c>
      <c r="F15" s="333">
        <f>+$C$15/3</f>
        <v>168177.33333333334</v>
      </c>
    </row>
    <row r="16" spans="1:6">
      <c r="A16" s="324"/>
      <c r="B16" s="1"/>
      <c r="C16" s="325"/>
      <c r="D16" s="333"/>
      <c r="E16" s="334"/>
      <c r="F16" s="334"/>
    </row>
    <row r="17" spans="1:7" ht="14.5" customHeight="1">
      <c r="A17" s="842" t="s">
        <v>11</v>
      </c>
      <c r="B17" s="842"/>
      <c r="C17" s="327">
        <f>+SUM(C6:C15)</f>
        <v>20698199</v>
      </c>
      <c r="D17" s="327">
        <f>+SUM(D6:D15)</f>
        <v>6899399.666666666</v>
      </c>
      <c r="E17" s="327">
        <f>+SUM(E6:E15)</f>
        <v>6899399.666666666</v>
      </c>
      <c r="F17" s="335">
        <f>+SUM(F6:F15)</f>
        <v>6899399.666666666</v>
      </c>
      <c r="G17" s="319"/>
    </row>
    <row r="18" spans="1:7">
      <c r="A18" s="843" t="s">
        <v>12</v>
      </c>
      <c r="B18" s="843"/>
      <c r="C18" s="328">
        <f>+C17</f>
        <v>20698199</v>
      </c>
      <c r="D18" s="328">
        <f>+D17</f>
        <v>6899399.666666666</v>
      </c>
      <c r="E18" s="328">
        <f>+E17+D18</f>
        <v>13798799.333333332</v>
      </c>
      <c r="F18" s="335">
        <f>+F17+E18</f>
        <v>20698199</v>
      </c>
      <c r="G18" s="319"/>
    </row>
    <row r="24" spans="1:7" ht="14" thickBot="1">
      <c r="B24" s="307"/>
      <c r="C24" s="320"/>
      <c r="D24" s="320"/>
      <c r="E24" s="320"/>
    </row>
    <row r="25" spans="1:7" ht="16">
      <c r="B25" s="6" t="e">
        <f>+#REF!</f>
        <v>#REF!</v>
      </c>
      <c r="C25" s="321"/>
      <c r="D25" s="321"/>
      <c r="E25" s="321"/>
    </row>
    <row r="26" spans="1:7" ht="16">
      <c r="B26" s="6" t="e">
        <f>+#REF!</f>
        <v>#REF!</v>
      </c>
      <c r="C26" s="321"/>
      <c r="D26" s="321"/>
      <c r="E26" s="321"/>
    </row>
    <row r="27" spans="1:7" ht="16">
      <c r="B27" s="800"/>
      <c r="C27" s="800"/>
      <c r="D27" s="321"/>
      <c r="E27" s="321"/>
    </row>
  </sheetData>
  <mergeCells count="7">
    <mergeCell ref="A2:F3"/>
    <mergeCell ref="A1:F1"/>
    <mergeCell ref="B27:C27"/>
    <mergeCell ref="B5:F5"/>
    <mergeCell ref="B8:F8"/>
    <mergeCell ref="A17:B17"/>
    <mergeCell ref="A18:B18"/>
  </mergeCells>
  <conditionalFormatting sqref="A5:B5">
    <cfRule type="cellIs" dxfId="1" priority="2" stopIfTrue="1" operator="equal">
      <formula>"ESCRIBA AQUÍ EL NOMBRE DEL CAPITULO"</formula>
    </cfRule>
  </conditionalFormatting>
  <conditionalFormatting sqref="A8:B8">
    <cfRule type="cellIs" dxfId="0" priority="1" stopIfTrue="1" operator="equal">
      <formula>"ESCRIBA AQUÍ EL NOMBRE DEL CAPITULO"</formula>
    </cfRule>
  </conditionalFormatting>
  <pageMargins left="0.70866141732283472" right="0.70866141732283472" top="2.5196850393700787" bottom="0.74803149606299213" header="0.31496062992125984" footer="0.31496062992125984"/>
  <pageSetup scale="54" orientation="landscape" horizontalDpi="300" verticalDpi="300" r:id="rId1"/>
  <headerFooter>
    <oddHeader>&amp;L&amp;"-,Normal"&amp;12&amp;G
Corregimiento de San José de Oriente - Municipio de La Paz - Cesar
&amp;"MS Sans Serif,Normal"&amp;10
&amp;R&amp;"-,Normal"&amp;12&amp;G
email: gestiproltda@gmail.com
celular: 3116625686</oddHeader>
  </headerFooter>
  <legacyDrawingHF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rgb="FFFF0000"/>
  </sheetPr>
  <dimension ref="A1:H322"/>
  <sheetViews>
    <sheetView view="pageBreakPreview" zoomScaleNormal="100" zoomScaleSheetLayoutView="100" workbookViewId="0">
      <selection activeCell="A320" sqref="A320"/>
    </sheetView>
  </sheetViews>
  <sheetFormatPr baseColWidth="10" defaultRowHeight="13"/>
  <cols>
    <col min="2" max="2" width="15.3984375" customWidth="1"/>
    <col min="4" max="4" width="13" customWidth="1"/>
    <col min="5" max="5" width="13.19921875" customWidth="1"/>
    <col min="258" max="258" width="15.3984375" customWidth="1"/>
    <col min="260" max="260" width="13" customWidth="1"/>
    <col min="261" max="261" width="13.19921875" customWidth="1"/>
    <col min="514" max="514" width="15.3984375" customWidth="1"/>
    <col min="516" max="516" width="13" customWidth="1"/>
    <col min="517" max="517" width="13.19921875" customWidth="1"/>
    <col min="770" max="770" width="15.3984375" customWidth="1"/>
    <col min="772" max="772" width="13" customWidth="1"/>
    <col min="773" max="773" width="13.19921875" customWidth="1"/>
    <col min="1026" max="1026" width="15.3984375" customWidth="1"/>
    <col min="1028" max="1028" width="13" customWidth="1"/>
    <col min="1029" max="1029" width="13.19921875" customWidth="1"/>
    <col min="1282" max="1282" width="15.3984375" customWidth="1"/>
    <col min="1284" max="1284" width="13" customWidth="1"/>
    <col min="1285" max="1285" width="13.19921875" customWidth="1"/>
    <col min="1538" max="1538" width="15.3984375" customWidth="1"/>
    <col min="1540" max="1540" width="13" customWidth="1"/>
    <col min="1541" max="1541" width="13.19921875" customWidth="1"/>
    <col min="1794" max="1794" width="15.3984375" customWidth="1"/>
    <col min="1796" max="1796" width="13" customWidth="1"/>
    <col min="1797" max="1797" width="13.19921875" customWidth="1"/>
    <col min="2050" max="2050" width="15.3984375" customWidth="1"/>
    <col min="2052" max="2052" width="13" customWidth="1"/>
    <col min="2053" max="2053" width="13.19921875" customWidth="1"/>
    <col min="2306" max="2306" width="15.3984375" customWidth="1"/>
    <col min="2308" max="2308" width="13" customWidth="1"/>
    <col min="2309" max="2309" width="13.19921875" customWidth="1"/>
    <col min="2562" max="2562" width="15.3984375" customWidth="1"/>
    <col min="2564" max="2564" width="13" customWidth="1"/>
    <col min="2565" max="2565" width="13.19921875" customWidth="1"/>
    <col min="2818" max="2818" width="15.3984375" customWidth="1"/>
    <col min="2820" max="2820" width="13" customWidth="1"/>
    <col min="2821" max="2821" width="13.19921875" customWidth="1"/>
    <col min="3074" max="3074" width="15.3984375" customWidth="1"/>
    <col min="3076" max="3076" width="13" customWidth="1"/>
    <col min="3077" max="3077" width="13.19921875" customWidth="1"/>
    <col min="3330" max="3330" width="15.3984375" customWidth="1"/>
    <col min="3332" max="3332" width="13" customWidth="1"/>
    <col min="3333" max="3333" width="13.19921875" customWidth="1"/>
    <col min="3586" max="3586" width="15.3984375" customWidth="1"/>
    <col min="3588" max="3588" width="13" customWidth="1"/>
    <col min="3589" max="3589" width="13.19921875" customWidth="1"/>
    <col min="3842" max="3842" width="15.3984375" customWidth="1"/>
    <col min="3844" max="3844" width="13" customWidth="1"/>
    <col min="3845" max="3845" width="13.19921875" customWidth="1"/>
    <col min="4098" max="4098" width="15.3984375" customWidth="1"/>
    <col min="4100" max="4100" width="13" customWidth="1"/>
    <col min="4101" max="4101" width="13.19921875" customWidth="1"/>
    <col min="4354" max="4354" width="15.3984375" customWidth="1"/>
    <col min="4356" max="4356" width="13" customWidth="1"/>
    <col min="4357" max="4357" width="13.19921875" customWidth="1"/>
    <col min="4610" max="4610" width="15.3984375" customWidth="1"/>
    <col min="4612" max="4612" width="13" customWidth="1"/>
    <col min="4613" max="4613" width="13.19921875" customWidth="1"/>
    <col min="4866" max="4866" width="15.3984375" customWidth="1"/>
    <col min="4868" max="4868" width="13" customWidth="1"/>
    <col min="4869" max="4869" width="13.19921875" customWidth="1"/>
    <col min="5122" max="5122" width="15.3984375" customWidth="1"/>
    <col min="5124" max="5124" width="13" customWidth="1"/>
    <col min="5125" max="5125" width="13.19921875" customWidth="1"/>
    <col min="5378" max="5378" width="15.3984375" customWidth="1"/>
    <col min="5380" max="5380" width="13" customWidth="1"/>
    <col min="5381" max="5381" width="13.19921875" customWidth="1"/>
    <col min="5634" max="5634" width="15.3984375" customWidth="1"/>
    <col min="5636" max="5636" width="13" customWidth="1"/>
    <col min="5637" max="5637" width="13.19921875" customWidth="1"/>
    <col min="5890" max="5890" width="15.3984375" customWidth="1"/>
    <col min="5892" max="5892" width="13" customWidth="1"/>
    <col min="5893" max="5893" width="13.19921875" customWidth="1"/>
    <col min="6146" max="6146" width="15.3984375" customWidth="1"/>
    <col min="6148" max="6148" width="13" customWidth="1"/>
    <col min="6149" max="6149" width="13.19921875" customWidth="1"/>
    <col min="6402" max="6402" width="15.3984375" customWidth="1"/>
    <col min="6404" max="6404" width="13" customWidth="1"/>
    <col min="6405" max="6405" width="13.19921875" customWidth="1"/>
    <col min="6658" max="6658" width="15.3984375" customWidth="1"/>
    <col min="6660" max="6660" width="13" customWidth="1"/>
    <col min="6661" max="6661" width="13.19921875" customWidth="1"/>
    <col min="6914" max="6914" width="15.3984375" customWidth="1"/>
    <col min="6916" max="6916" width="13" customWidth="1"/>
    <col min="6917" max="6917" width="13.19921875" customWidth="1"/>
    <col min="7170" max="7170" width="15.3984375" customWidth="1"/>
    <col min="7172" max="7172" width="13" customWidth="1"/>
    <col min="7173" max="7173" width="13.19921875" customWidth="1"/>
    <col min="7426" max="7426" width="15.3984375" customWidth="1"/>
    <col min="7428" max="7428" width="13" customWidth="1"/>
    <col min="7429" max="7429" width="13.19921875" customWidth="1"/>
    <col min="7682" max="7682" width="15.3984375" customWidth="1"/>
    <col min="7684" max="7684" width="13" customWidth="1"/>
    <col min="7685" max="7685" width="13.19921875" customWidth="1"/>
    <col min="7938" max="7938" width="15.3984375" customWidth="1"/>
    <col min="7940" max="7940" width="13" customWidth="1"/>
    <col min="7941" max="7941" width="13.19921875" customWidth="1"/>
    <col min="8194" max="8194" width="15.3984375" customWidth="1"/>
    <col min="8196" max="8196" width="13" customWidth="1"/>
    <col min="8197" max="8197" width="13.19921875" customWidth="1"/>
    <col min="8450" max="8450" width="15.3984375" customWidth="1"/>
    <col min="8452" max="8452" width="13" customWidth="1"/>
    <col min="8453" max="8453" width="13.19921875" customWidth="1"/>
    <col min="8706" max="8706" width="15.3984375" customWidth="1"/>
    <col min="8708" max="8708" width="13" customWidth="1"/>
    <col min="8709" max="8709" width="13.19921875" customWidth="1"/>
    <col min="8962" max="8962" width="15.3984375" customWidth="1"/>
    <col min="8964" max="8964" width="13" customWidth="1"/>
    <col min="8965" max="8965" width="13.19921875" customWidth="1"/>
    <col min="9218" max="9218" width="15.3984375" customWidth="1"/>
    <col min="9220" max="9220" width="13" customWidth="1"/>
    <col min="9221" max="9221" width="13.19921875" customWidth="1"/>
    <col min="9474" max="9474" width="15.3984375" customWidth="1"/>
    <col min="9476" max="9476" width="13" customWidth="1"/>
    <col min="9477" max="9477" width="13.19921875" customWidth="1"/>
    <col min="9730" max="9730" width="15.3984375" customWidth="1"/>
    <col min="9732" max="9732" width="13" customWidth="1"/>
    <col min="9733" max="9733" width="13.19921875" customWidth="1"/>
    <col min="9986" max="9986" width="15.3984375" customWidth="1"/>
    <col min="9988" max="9988" width="13" customWidth="1"/>
    <col min="9989" max="9989" width="13.19921875" customWidth="1"/>
    <col min="10242" max="10242" width="15.3984375" customWidth="1"/>
    <col min="10244" max="10244" width="13" customWidth="1"/>
    <col min="10245" max="10245" width="13.19921875" customWidth="1"/>
    <col min="10498" max="10498" width="15.3984375" customWidth="1"/>
    <col min="10500" max="10500" width="13" customWidth="1"/>
    <col min="10501" max="10501" width="13.19921875" customWidth="1"/>
    <col min="10754" max="10754" width="15.3984375" customWidth="1"/>
    <col min="10756" max="10756" width="13" customWidth="1"/>
    <col min="10757" max="10757" width="13.19921875" customWidth="1"/>
    <col min="11010" max="11010" width="15.3984375" customWidth="1"/>
    <col min="11012" max="11012" width="13" customWidth="1"/>
    <col min="11013" max="11013" width="13.19921875" customWidth="1"/>
    <col min="11266" max="11266" width="15.3984375" customWidth="1"/>
    <col min="11268" max="11268" width="13" customWidth="1"/>
    <col min="11269" max="11269" width="13.19921875" customWidth="1"/>
    <col min="11522" max="11522" width="15.3984375" customWidth="1"/>
    <col min="11524" max="11524" width="13" customWidth="1"/>
    <col min="11525" max="11525" width="13.19921875" customWidth="1"/>
    <col min="11778" max="11778" width="15.3984375" customWidth="1"/>
    <col min="11780" max="11780" width="13" customWidth="1"/>
    <col min="11781" max="11781" width="13.19921875" customWidth="1"/>
    <col min="12034" max="12034" width="15.3984375" customWidth="1"/>
    <col min="12036" max="12036" width="13" customWidth="1"/>
    <col min="12037" max="12037" width="13.19921875" customWidth="1"/>
    <col min="12290" max="12290" width="15.3984375" customWidth="1"/>
    <col min="12292" max="12292" width="13" customWidth="1"/>
    <col min="12293" max="12293" width="13.19921875" customWidth="1"/>
    <col min="12546" max="12546" width="15.3984375" customWidth="1"/>
    <col min="12548" max="12548" width="13" customWidth="1"/>
    <col min="12549" max="12549" width="13.19921875" customWidth="1"/>
    <col min="12802" max="12802" width="15.3984375" customWidth="1"/>
    <col min="12804" max="12804" width="13" customWidth="1"/>
    <col min="12805" max="12805" width="13.19921875" customWidth="1"/>
    <col min="13058" max="13058" width="15.3984375" customWidth="1"/>
    <col min="13060" max="13060" width="13" customWidth="1"/>
    <col min="13061" max="13061" width="13.19921875" customWidth="1"/>
    <col min="13314" max="13314" width="15.3984375" customWidth="1"/>
    <col min="13316" max="13316" width="13" customWidth="1"/>
    <col min="13317" max="13317" width="13.19921875" customWidth="1"/>
    <col min="13570" max="13570" width="15.3984375" customWidth="1"/>
    <col min="13572" max="13572" width="13" customWidth="1"/>
    <col min="13573" max="13573" width="13.19921875" customWidth="1"/>
    <col min="13826" max="13826" width="15.3984375" customWidth="1"/>
    <col min="13828" max="13828" width="13" customWidth="1"/>
    <col min="13829" max="13829" width="13.19921875" customWidth="1"/>
    <col min="14082" max="14082" width="15.3984375" customWidth="1"/>
    <col min="14084" max="14084" width="13" customWidth="1"/>
    <col min="14085" max="14085" width="13.19921875" customWidth="1"/>
    <col min="14338" max="14338" width="15.3984375" customWidth="1"/>
    <col min="14340" max="14340" width="13" customWidth="1"/>
    <col min="14341" max="14341" width="13.19921875" customWidth="1"/>
    <col min="14594" max="14594" width="15.3984375" customWidth="1"/>
    <col min="14596" max="14596" width="13" customWidth="1"/>
    <col min="14597" max="14597" width="13.19921875" customWidth="1"/>
    <col min="14850" max="14850" width="15.3984375" customWidth="1"/>
    <col min="14852" max="14852" width="13" customWidth="1"/>
    <col min="14853" max="14853" width="13.19921875" customWidth="1"/>
    <col min="15106" max="15106" width="15.3984375" customWidth="1"/>
    <col min="15108" max="15108" width="13" customWidth="1"/>
    <col min="15109" max="15109" width="13.19921875" customWidth="1"/>
    <col min="15362" max="15362" width="15.3984375" customWidth="1"/>
    <col min="15364" max="15364" width="13" customWidth="1"/>
    <col min="15365" max="15365" width="13.19921875" customWidth="1"/>
    <col min="15618" max="15618" width="15.3984375" customWidth="1"/>
    <col min="15620" max="15620" width="13" customWidth="1"/>
    <col min="15621" max="15621" width="13.19921875" customWidth="1"/>
    <col min="15874" max="15874" width="15.3984375" customWidth="1"/>
    <col min="15876" max="15876" width="13" customWidth="1"/>
    <col min="15877" max="15877" width="13.19921875" customWidth="1"/>
    <col min="16130" max="16130" width="15.3984375" customWidth="1"/>
    <col min="16132" max="16132" width="13" customWidth="1"/>
    <col min="16133" max="16133" width="13.19921875" customWidth="1"/>
  </cols>
  <sheetData>
    <row r="1" spans="1:6" ht="77.25" customHeight="1">
      <c r="A1" s="838" t="e">
        <f>+#REF!</f>
        <v>#REF!</v>
      </c>
      <c r="B1" s="838"/>
      <c r="C1" s="838"/>
      <c r="D1" s="838"/>
      <c r="E1" s="838"/>
      <c r="F1" s="838"/>
    </row>
    <row r="2" spans="1:6" ht="14" thickBot="1">
      <c r="A2" s="871" t="s">
        <v>13</v>
      </c>
      <c r="B2" s="872"/>
      <c r="C2" s="872"/>
      <c r="D2" s="872"/>
      <c r="E2" s="872"/>
      <c r="F2" s="873"/>
    </row>
    <row r="3" spans="1:6" ht="15" hidden="1" thickTop="1" thickBot="1">
      <c r="A3" s="7" t="s">
        <v>14</v>
      </c>
      <c r="B3" s="874" t="s">
        <v>15</v>
      </c>
      <c r="C3" s="874"/>
      <c r="D3" s="874"/>
      <c r="E3" s="874"/>
      <c r="F3" s="875"/>
    </row>
    <row r="4" spans="1:6" ht="14" hidden="1" thickTop="1">
      <c r="A4" s="8" t="s">
        <v>16</v>
      </c>
      <c r="B4" s="9"/>
      <c r="C4" s="9"/>
      <c r="D4" s="9"/>
      <c r="E4" s="9"/>
      <c r="F4" s="10"/>
    </row>
    <row r="5" spans="1:6" ht="43.5" hidden="1" customHeight="1" thickBot="1">
      <c r="A5" s="11">
        <f>+'[6]LINEA DE CONDUCCIÓN'!A6</f>
        <v>1.1000000000000001</v>
      </c>
      <c r="B5" s="860" t="str">
        <f>+'[6]LINEA DE CONDUCCIÓN'!B6</f>
        <v>DESCAPOTE A MANUAL EN TERRENO COMUN, HASTA EXP .15 MT</v>
      </c>
      <c r="C5" s="860"/>
      <c r="D5" s="860"/>
      <c r="E5" s="12" t="s">
        <v>17</v>
      </c>
      <c r="F5" s="13" t="str">
        <f>+'[6]LINEA DE CONDUCCIÓN'!C6</f>
        <v>M2</v>
      </c>
    </row>
    <row r="6" spans="1:6" ht="14" hidden="1" thickTop="1">
      <c r="A6" s="14"/>
      <c r="B6" s="15"/>
      <c r="C6" s="15"/>
      <c r="D6" s="15"/>
      <c r="E6" s="16"/>
      <c r="F6" s="17"/>
    </row>
    <row r="7" spans="1:6" ht="15" hidden="1" thickTop="1" thickBot="1">
      <c r="A7" s="846" t="s">
        <v>18</v>
      </c>
      <c r="B7" s="847"/>
      <c r="C7" s="847"/>
      <c r="D7" s="847"/>
      <c r="E7" s="847"/>
      <c r="F7" s="848"/>
    </row>
    <row r="8" spans="1:6" ht="14" hidden="1" thickTop="1">
      <c r="A8" s="856" t="s">
        <v>19</v>
      </c>
      <c r="B8" s="857"/>
      <c r="C8" s="18" t="s">
        <v>20</v>
      </c>
      <c r="D8" s="18" t="s">
        <v>21</v>
      </c>
      <c r="E8" s="19" t="s">
        <v>22</v>
      </c>
      <c r="F8" s="20" t="s">
        <v>23</v>
      </c>
    </row>
    <row r="9" spans="1:6" ht="14" hidden="1" thickTop="1">
      <c r="A9" s="21" t="s">
        <v>24</v>
      </c>
      <c r="B9" s="22"/>
      <c r="C9" s="23" t="s">
        <v>25</v>
      </c>
      <c r="D9" s="24">
        <f>+F22</f>
        <v>3311.6994027986298</v>
      </c>
      <c r="E9" s="25">
        <v>0.03</v>
      </c>
      <c r="F9" s="26">
        <f>+D9*E9</f>
        <v>99.350982083958883</v>
      </c>
    </row>
    <row r="10" spans="1:6" ht="14" hidden="1" thickTop="1">
      <c r="A10" s="21"/>
      <c r="B10" s="22"/>
      <c r="C10" s="23"/>
      <c r="D10" s="27"/>
      <c r="E10" s="25"/>
      <c r="F10" s="28"/>
    </row>
    <row r="11" spans="1:6" ht="14" hidden="1" thickTop="1">
      <c r="A11" s="21"/>
      <c r="B11" s="22"/>
      <c r="C11" s="23"/>
      <c r="D11" s="24"/>
      <c r="E11" s="25"/>
      <c r="F11" s="28"/>
    </row>
    <row r="12" spans="1:6" ht="15" hidden="1" thickTop="1" thickBot="1">
      <c r="A12" s="14"/>
      <c r="B12" s="15"/>
      <c r="C12" s="15"/>
      <c r="D12" s="851" t="s">
        <v>26</v>
      </c>
      <c r="E12" s="852"/>
      <c r="F12" s="29">
        <f>SUM(F9:F11)</f>
        <v>99.350982083958883</v>
      </c>
    </row>
    <row r="13" spans="1:6" ht="15" hidden="1" thickTop="1" thickBot="1">
      <c r="A13" s="846" t="s">
        <v>27</v>
      </c>
      <c r="B13" s="847"/>
      <c r="C13" s="847"/>
      <c r="D13" s="847"/>
      <c r="E13" s="847"/>
      <c r="F13" s="848"/>
    </row>
    <row r="14" spans="1:6" ht="14" hidden="1" thickTop="1">
      <c r="A14" s="856" t="s">
        <v>19</v>
      </c>
      <c r="B14" s="857"/>
      <c r="C14" s="18" t="s">
        <v>28</v>
      </c>
      <c r="D14" s="18" t="s">
        <v>29</v>
      </c>
      <c r="E14" s="19" t="s">
        <v>30</v>
      </c>
      <c r="F14" s="20" t="s">
        <v>23</v>
      </c>
    </row>
    <row r="15" spans="1:6" ht="14" hidden="1" thickTop="1">
      <c r="A15" s="862"/>
      <c r="B15" s="863"/>
      <c r="C15" s="23"/>
      <c r="D15" s="24"/>
      <c r="E15" s="30"/>
      <c r="F15" s="28">
        <f>D15*E15</f>
        <v>0</v>
      </c>
    </row>
    <row r="16" spans="1:6" ht="14" hidden="1" thickTop="1">
      <c r="A16" s="862"/>
      <c r="B16" s="863"/>
      <c r="C16" s="23"/>
      <c r="D16" s="24"/>
      <c r="E16" s="25"/>
      <c r="F16" s="28">
        <f>D16*E16</f>
        <v>0</v>
      </c>
    </row>
    <row r="17" spans="1:8" ht="14" hidden="1" thickTop="1">
      <c r="A17" s="862"/>
      <c r="B17" s="863"/>
      <c r="C17" s="23"/>
      <c r="D17" s="24"/>
      <c r="E17" s="25"/>
      <c r="F17" s="28"/>
    </row>
    <row r="18" spans="1:8" ht="14" hidden="1" thickTop="1">
      <c r="A18" s="862"/>
      <c r="B18" s="863"/>
      <c r="C18" s="23"/>
      <c r="D18" s="24"/>
      <c r="E18" s="25"/>
      <c r="F18" s="28"/>
    </row>
    <row r="19" spans="1:8" ht="15" hidden="1" thickTop="1" thickBot="1">
      <c r="A19" s="14"/>
      <c r="B19" s="15"/>
      <c r="C19" s="15"/>
      <c r="D19" s="851" t="s">
        <v>26</v>
      </c>
      <c r="E19" s="852"/>
      <c r="F19" s="31">
        <f>SUM(F15:F18)</f>
        <v>0</v>
      </c>
    </row>
    <row r="20" spans="1:8" ht="15" hidden="1" thickTop="1" thickBot="1">
      <c r="A20" s="846" t="s">
        <v>31</v>
      </c>
      <c r="B20" s="847"/>
      <c r="C20" s="847"/>
      <c r="D20" s="847"/>
      <c r="E20" s="847"/>
      <c r="F20" s="848"/>
    </row>
    <row r="21" spans="1:8" ht="14" hidden="1" thickTop="1">
      <c r="A21" s="32" t="s">
        <v>30</v>
      </c>
      <c r="B21" s="18" t="s">
        <v>32</v>
      </c>
      <c r="C21" s="18" t="s">
        <v>33</v>
      </c>
      <c r="D21" s="18" t="s">
        <v>34</v>
      </c>
      <c r="E21" s="19" t="s">
        <v>22</v>
      </c>
      <c r="F21" s="20" t="s">
        <v>23</v>
      </c>
    </row>
    <row r="22" spans="1:8" ht="14" hidden="1" thickTop="1">
      <c r="A22" s="849" t="s">
        <v>35</v>
      </c>
      <c r="B22" s="850"/>
      <c r="C22" s="24">
        <f>[1]MO!K39</f>
        <v>22077.996018657534</v>
      </c>
      <c r="D22" s="24"/>
      <c r="E22" s="25">
        <v>0.15</v>
      </c>
      <c r="F22" s="28">
        <f>+C22*E22</f>
        <v>3311.6994027986298</v>
      </c>
      <c r="H22">
        <f>C22*8</f>
        <v>176623.96814926027</v>
      </c>
    </row>
    <row r="23" spans="1:8" ht="14" hidden="1" thickTop="1">
      <c r="A23" s="849"/>
      <c r="B23" s="850"/>
      <c r="C23" s="24"/>
      <c r="D23" s="24"/>
      <c r="E23" s="25"/>
      <c r="F23" s="28"/>
    </row>
    <row r="24" spans="1:8" ht="14" hidden="1" thickTop="1">
      <c r="A24" s="14"/>
      <c r="B24" s="15"/>
      <c r="C24" s="15"/>
      <c r="D24" s="869" t="s">
        <v>26</v>
      </c>
      <c r="E24" s="870"/>
      <c r="F24" s="28">
        <f>SUM(F22:F23)</f>
        <v>3311.6994027986298</v>
      </c>
    </row>
    <row r="25" spans="1:8" ht="15" hidden="1" thickTop="1" thickBot="1">
      <c r="A25" s="853" t="s">
        <v>36</v>
      </c>
      <c r="B25" s="854"/>
      <c r="C25" s="854"/>
      <c r="D25" s="854"/>
      <c r="E25" s="855"/>
      <c r="F25" s="33">
        <f>+F24+F19+F12</f>
        <v>3411.0503848825888</v>
      </c>
    </row>
    <row r="26" spans="1:8" ht="14" hidden="1" thickTop="1">
      <c r="A26" s="34"/>
      <c r="B26" s="34"/>
      <c r="C26" s="34"/>
      <c r="D26" s="34"/>
      <c r="E26" s="34"/>
      <c r="F26" s="34"/>
    </row>
    <row r="27" spans="1:8" ht="14" hidden="1" thickTop="1">
      <c r="A27" s="35" t="s">
        <v>16</v>
      </c>
      <c r="B27" s="36"/>
      <c r="C27" s="36"/>
      <c r="D27" s="36"/>
      <c r="E27" s="36"/>
      <c r="F27" s="37"/>
    </row>
    <row r="28" spans="1:8" ht="16" hidden="1" thickTop="1" thickBot="1">
      <c r="A28" s="38">
        <f>+'[6]LINEA DE CONDUCCIÓN'!A8</f>
        <v>2.1</v>
      </c>
      <c r="B28" s="860" t="str">
        <f>+'[6]LINEA DE CONDUCCIÓN'!B8</f>
        <v xml:space="preserve">EXCAVACION MANUAL EN MATERIAL COMUN </v>
      </c>
      <c r="C28" s="860"/>
      <c r="D28" s="860"/>
      <c r="E28" s="12" t="s">
        <v>17</v>
      </c>
      <c r="F28" s="13" t="str">
        <f>+'[6]LINEA DE CONDUCCIÓN'!C8</f>
        <v>M3</v>
      </c>
    </row>
    <row r="29" spans="1:8" ht="14" hidden="1" thickTop="1">
      <c r="A29" s="14"/>
      <c r="B29" s="15"/>
      <c r="C29" s="15"/>
      <c r="D29" s="15"/>
      <c r="E29" s="16"/>
      <c r="F29" s="17"/>
    </row>
    <row r="30" spans="1:8" ht="15" hidden="1" thickTop="1" thickBot="1">
      <c r="A30" s="846" t="s">
        <v>18</v>
      </c>
      <c r="B30" s="847"/>
      <c r="C30" s="847"/>
      <c r="D30" s="847"/>
      <c r="E30" s="847"/>
      <c r="F30" s="848"/>
    </row>
    <row r="31" spans="1:8" ht="14" hidden="1" thickTop="1">
      <c r="A31" s="856" t="s">
        <v>19</v>
      </c>
      <c r="B31" s="857"/>
      <c r="C31" s="18" t="s">
        <v>20</v>
      </c>
      <c r="D31" s="18" t="s">
        <v>21</v>
      </c>
      <c r="E31" s="19" t="s">
        <v>22</v>
      </c>
      <c r="F31" s="20" t="s">
        <v>23</v>
      </c>
    </row>
    <row r="32" spans="1:8" ht="14" hidden="1" thickTop="1">
      <c r="A32" s="21" t="s">
        <v>24</v>
      </c>
      <c r="B32" s="22"/>
      <c r="C32" s="23" t="s">
        <v>25</v>
      </c>
      <c r="D32" s="24">
        <f>+F45</f>
        <v>27587.136403245207</v>
      </c>
      <c r="E32" s="25">
        <v>0.03</v>
      </c>
      <c r="F32" s="26">
        <f>+D32*E32</f>
        <v>827.61409209735621</v>
      </c>
    </row>
    <row r="33" spans="1:6" ht="14" hidden="1" thickTop="1">
      <c r="A33" s="21"/>
      <c r="B33" s="22"/>
      <c r="C33" s="23"/>
      <c r="D33" s="27"/>
      <c r="E33" s="25"/>
      <c r="F33" s="28"/>
    </row>
    <row r="34" spans="1:6" ht="14" hidden="1" thickTop="1">
      <c r="A34" s="21"/>
      <c r="B34" s="22"/>
      <c r="C34" s="23"/>
      <c r="D34" s="24"/>
      <c r="E34" s="25"/>
      <c r="F34" s="28"/>
    </row>
    <row r="35" spans="1:6" ht="15" hidden="1" thickTop="1" thickBot="1">
      <c r="A35" s="14"/>
      <c r="B35" s="15"/>
      <c r="C35" s="15"/>
      <c r="D35" s="851" t="s">
        <v>26</v>
      </c>
      <c r="E35" s="852"/>
      <c r="F35" s="29">
        <f>SUM(F32:F34)</f>
        <v>827.61409209735621</v>
      </c>
    </row>
    <row r="36" spans="1:6" ht="15" hidden="1" thickTop="1" thickBot="1">
      <c r="A36" s="846" t="s">
        <v>27</v>
      </c>
      <c r="B36" s="847"/>
      <c r="C36" s="847"/>
      <c r="D36" s="847"/>
      <c r="E36" s="847"/>
      <c r="F36" s="848"/>
    </row>
    <row r="37" spans="1:6" ht="14" hidden="1" thickTop="1">
      <c r="A37" s="856" t="s">
        <v>19</v>
      </c>
      <c r="B37" s="857"/>
      <c r="C37" s="18" t="s">
        <v>28</v>
      </c>
      <c r="D37" s="18" t="s">
        <v>29</v>
      </c>
      <c r="E37" s="19" t="s">
        <v>30</v>
      </c>
      <c r="F37" s="20" t="s">
        <v>23</v>
      </c>
    </row>
    <row r="38" spans="1:6" ht="14" hidden="1" thickTop="1">
      <c r="A38" s="862"/>
      <c r="B38" s="863"/>
      <c r="C38" s="23"/>
      <c r="D38" s="24"/>
      <c r="E38" s="30"/>
      <c r="F38" s="28">
        <f>D38*E38</f>
        <v>0</v>
      </c>
    </row>
    <row r="39" spans="1:6" ht="14" hidden="1" thickTop="1">
      <c r="A39" s="862"/>
      <c r="B39" s="863"/>
      <c r="C39" s="23"/>
      <c r="D39" s="24"/>
      <c r="E39" s="25"/>
      <c r="F39" s="28">
        <f>D39*E39</f>
        <v>0</v>
      </c>
    </row>
    <row r="40" spans="1:6" ht="14" hidden="1" thickTop="1">
      <c r="A40" s="862"/>
      <c r="B40" s="863"/>
      <c r="C40" s="23"/>
      <c r="D40" s="24"/>
      <c r="E40" s="25"/>
      <c r="F40" s="28"/>
    </row>
    <row r="41" spans="1:6" ht="14" hidden="1" thickTop="1">
      <c r="A41" s="862"/>
      <c r="B41" s="863"/>
      <c r="C41" s="23"/>
      <c r="D41" s="24"/>
      <c r="E41" s="25"/>
      <c r="F41" s="28"/>
    </row>
    <row r="42" spans="1:6" ht="15" hidden="1" thickTop="1" thickBot="1">
      <c r="A42" s="14"/>
      <c r="B42" s="15"/>
      <c r="C42" s="15"/>
      <c r="D42" s="851" t="s">
        <v>26</v>
      </c>
      <c r="E42" s="852"/>
      <c r="F42" s="31">
        <f>SUM(F38:F41)</f>
        <v>0</v>
      </c>
    </row>
    <row r="43" spans="1:6" ht="15" hidden="1" thickTop="1" thickBot="1">
      <c r="A43" s="846" t="s">
        <v>31</v>
      </c>
      <c r="B43" s="847"/>
      <c r="C43" s="847"/>
      <c r="D43" s="847"/>
      <c r="E43" s="847"/>
      <c r="F43" s="848"/>
    </row>
    <row r="44" spans="1:6" ht="14" hidden="1" thickTop="1">
      <c r="A44" s="32" t="s">
        <v>30</v>
      </c>
      <c r="B44" s="18" t="s">
        <v>32</v>
      </c>
      <c r="C44" s="18" t="s">
        <v>33</v>
      </c>
      <c r="D44" s="18" t="s">
        <v>34</v>
      </c>
      <c r="E44" s="19" t="s">
        <v>22</v>
      </c>
      <c r="F44" s="20" t="s">
        <v>23</v>
      </c>
    </row>
    <row r="45" spans="1:6" ht="14" hidden="1" thickTop="1">
      <c r="A45" s="849" t="s">
        <v>35</v>
      </c>
      <c r="B45" s="850"/>
      <c r="C45" s="24">
        <f>+[6]MO!D77</f>
        <v>21220.874156342466</v>
      </c>
      <c r="D45" s="24">
        <f>+[6]MO!D76</f>
        <v>169766.99325073973</v>
      </c>
      <c r="E45" s="25">
        <v>1.3</v>
      </c>
      <c r="F45" s="28">
        <f>+C45*E45</f>
        <v>27587.136403245207</v>
      </c>
    </row>
    <row r="46" spans="1:6" ht="14" hidden="1" thickTop="1">
      <c r="A46" s="849"/>
      <c r="B46" s="850"/>
      <c r="C46" s="24"/>
      <c r="D46" s="24"/>
      <c r="E46" s="25"/>
      <c r="F46" s="28"/>
    </row>
    <row r="47" spans="1:6" ht="14" hidden="1" thickTop="1">
      <c r="A47" s="14"/>
      <c r="B47" s="15"/>
      <c r="C47" s="15"/>
      <c r="D47" s="869" t="s">
        <v>26</v>
      </c>
      <c r="E47" s="870"/>
      <c r="F47" s="28">
        <f>SUM(F45:F46)</f>
        <v>27587.136403245207</v>
      </c>
    </row>
    <row r="48" spans="1:6" ht="15" hidden="1" thickTop="1" thickBot="1">
      <c r="A48" s="853" t="s">
        <v>36</v>
      </c>
      <c r="B48" s="854"/>
      <c r="C48" s="854"/>
      <c r="D48" s="854"/>
      <c r="E48" s="855"/>
      <c r="F48" s="33">
        <f>+F47+F42+F35</f>
        <v>28414.750495342563</v>
      </c>
    </row>
    <row r="49" spans="1:6" ht="14" hidden="1" thickTop="1">
      <c r="A49" s="34"/>
      <c r="B49" s="34"/>
      <c r="C49" s="34"/>
      <c r="D49" s="34"/>
      <c r="E49" s="34"/>
      <c r="F49" s="34"/>
    </row>
    <row r="50" spans="1:6" ht="14" hidden="1" thickTop="1">
      <c r="A50" s="35" t="s">
        <v>16</v>
      </c>
      <c r="B50" s="36"/>
      <c r="C50" s="36"/>
      <c r="D50" s="36"/>
      <c r="E50" s="36"/>
      <c r="F50" s="37"/>
    </row>
    <row r="51" spans="1:6" ht="16" hidden="1" thickTop="1" thickBot="1">
      <c r="A51" s="38">
        <f>+'[6]LINEA DE CONDUCCIÓN'!A9</f>
        <v>2.2000000000000002</v>
      </c>
      <c r="B51" s="860" t="str">
        <f>+'[6]LINEA DE CONDUCCIÓN'!B9</f>
        <v xml:space="preserve">EXCAVACION MANUAL EN ROCA </v>
      </c>
      <c r="C51" s="860"/>
      <c r="D51" s="860"/>
      <c r="E51" s="12" t="s">
        <v>17</v>
      </c>
      <c r="F51" s="13" t="str">
        <f>+'[6]LINEA DE CONDUCCIÓN'!C9</f>
        <v>M3</v>
      </c>
    </row>
    <row r="52" spans="1:6" ht="14" hidden="1" thickTop="1">
      <c r="A52" s="14"/>
      <c r="B52" s="15"/>
      <c r="C52" s="15"/>
      <c r="D52" s="15"/>
      <c r="E52" s="16"/>
      <c r="F52" s="17"/>
    </row>
    <row r="53" spans="1:6" ht="15" hidden="1" thickTop="1" thickBot="1">
      <c r="A53" s="846" t="s">
        <v>18</v>
      </c>
      <c r="B53" s="847"/>
      <c r="C53" s="847"/>
      <c r="D53" s="847"/>
      <c r="E53" s="847"/>
      <c r="F53" s="848"/>
    </row>
    <row r="54" spans="1:6" ht="14" hidden="1" thickTop="1">
      <c r="A54" s="856" t="s">
        <v>19</v>
      </c>
      <c r="B54" s="857"/>
      <c r="C54" s="18" t="s">
        <v>20</v>
      </c>
      <c r="D54" s="18" t="s">
        <v>21</v>
      </c>
      <c r="E54" s="19" t="s">
        <v>22</v>
      </c>
      <c r="F54" s="20" t="s">
        <v>23</v>
      </c>
    </row>
    <row r="55" spans="1:6" ht="14" hidden="1" thickTop="1">
      <c r="A55" s="21" t="s">
        <v>24</v>
      </c>
      <c r="B55" s="22"/>
      <c r="C55" s="23" t="s">
        <v>25</v>
      </c>
      <c r="D55" s="24">
        <f>+F68</f>
        <v>49902.912621359232</v>
      </c>
      <c r="E55" s="25">
        <v>0.03</v>
      </c>
      <c r="F55" s="26">
        <f>+D55*E55</f>
        <v>1497.0873786407769</v>
      </c>
    </row>
    <row r="56" spans="1:6" ht="14" hidden="1" thickTop="1">
      <c r="A56" s="21"/>
      <c r="B56" s="22"/>
      <c r="C56" s="23"/>
      <c r="D56" s="27"/>
      <c r="E56" s="25"/>
      <c r="F56" s="28"/>
    </row>
    <row r="57" spans="1:6" ht="14" hidden="1" thickTop="1">
      <c r="A57" s="21"/>
      <c r="B57" s="22"/>
      <c r="C57" s="23"/>
      <c r="D57" s="24"/>
      <c r="E57" s="25"/>
      <c r="F57" s="28"/>
    </row>
    <row r="58" spans="1:6" ht="15" hidden="1" thickTop="1" thickBot="1">
      <c r="A58" s="14"/>
      <c r="B58" s="15"/>
      <c r="C58" s="15"/>
      <c r="D58" s="851" t="s">
        <v>26</v>
      </c>
      <c r="E58" s="852"/>
      <c r="F58" s="29">
        <f>SUM(F55:F57)</f>
        <v>1497.0873786407769</v>
      </c>
    </row>
    <row r="59" spans="1:6" ht="15" hidden="1" thickTop="1" thickBot="1">
      <c r="A59" s="846" t="s">
        <v>27</v>
      </c>
      <c r="B59" s="847"/>
      <c r="C59" s="847"/>
      <c r="D59" s="847"/>
      <c r="E59" s="847"/>
      <c r="F59" s="848"/>
    </row>
    <row r="60" spans="1:6" ht="14" hidden="1" thickTop="1">
      <c r="A60" s="856" t="s">
        <v>19</v>
      </c>
      <c r="B60" s="857"/>
      <c r="C60" s="18" t="s">
        <v>28</v>
      </c>
      <c r="D60" s="18" t="s">
        <v>29</v>
      </c>
      <c r="E60" s="19" t="s">
        <v>30</v>
      </c>
      <c r="F60" s="20" t="s">
        <v>23</v>
      </c>
    </row>
    <row r="61" spans="1:6" ht="14" hidden="1" thickTop="1">
      <c r="A61" s="39" t="s">
        <v>37</v>
      </c>
      <c r="B61" s="22"/>
      <c r="C61" s="23" t="s">
        <v>38</v>
      </c>
      <c r="D61" s="24">
        <v>30000</v>
      </c>
      <c r="E61" s="25">
        <v>2</v>
      </c>
      <c r="F61" s="28">
        <f>D61*E61</f>
        <v>60000</v>
      </c>
    </row>
    <row r="62" spans="1:6" ht="14" hidden="1" thickTop="1">
      <c r="A62" s="39" t="s">
        <v>39</v>
      </c>
      <c r="B62" s="22"/>
      <c r="C62" s="23" t="s">
        <v>40</v>
      </c>
      <c r="D62" s="24">
        <v>30000</v>
      </c>
      <c r="E62" s="25">
        <v>0.5</v>
      </c>
      <c r="F62" s="28">
        <f>D62*E62</f>
        <v>15000</v>
      </c>
    </row>
    <row r="63" spans="1:6" ht="14" hidden="1" thickTop="1">
      <c r="A63" s="39" t="s">
        <v>41</v>
      </c>
      <c r="B63" s="22"/>
      <c r="C63" s="23" t="s">
        <v>42</v>
      </c>
      <c r="D63" s="24">
        <f>+'[7]Base Datos'!$C$16</f>
        <v>30</v>
      </c>
      <c r="E63" s="25">
        <v>50</v>
      </c>
      <c r="F63" s="28">
        <f>D63*E63</f>
        <v>1500</v>
      </c>
    </row>
    <row r="64" spans="1:6" ht="14" hidden="1" thickTop="1">
      <c r="A64" s="862"/>
      <c r="B64" s="863"/>
      <c r="C64" s="23"/>
      <c r="D64" s="24"/>
      <c r="E64" s="25"/>
      <c r="F64" s="28"/>
    </row>
    <row r="65" spans="1:6" ht="15" hidden="1" thickTop="1" thickBot="1">
      <c r="A65" s="14"/>
      <c r="B65" s="15"/>
      <c r="C65" s="15"/>
      <c r="D65" s="851" t="s">
        <v>26</v>
      </c>
      <c r="E65" s="852"/>
      <c r="F65" s="31">
        <f>SUM(F61:F64)</f>
        <v>76500</v>
      </c>
    </row>
    <row r="66" spans="1:6" ht="15" hidden="1" thickTop="1" thickBot="1">
      <c r="A66" s="846" t="s">
        <v>31</v>
      </c>
      <c r="B66" s="847"/>
      <c r="C66" s="847"/>
      <c r="D66" s="847"/>
      <c r="E66" s="847"/>
      <c r="F66" s="848"/>
    </row>
    <row r="67" spans="1:6" ht="14" hidden="1" thickTop="1">
      <c r="A67" s="32" t="s">
        <v>30</v>
      </c>
      <c r="B67" s="18" t="s">
        <v>32</v>
      </c>
      <c r="C67" s="18" t="s">
        <v>33</v>
      </c>
      <c r="D67" s="18" t="s">
        <v>34</v>
      </c>
      <c r="E67" s="19" t="s">
        <v>22</v>
      </c>
      <c r="F67" s="20" t="s">
        <v>23</v>
      </c>
    </row>
    <row r="68" spans="1:6" ht="14" hidden="1" thickTop="1">
      <c r="A68" s="849" t="s">
        <v>35</v>
      </c>
      <c r="B68" s="850"/>
      <c r="C68" s="24">
        <f>+[6]MO!D100</f>
        <v>15418.533395237671</v>
      </c>
      <c r="D68" s="24"/>
      <c r="E68" s="25">
        <v>3.2365537851202348</v>
      </c>
      <c r="F68" s="28">
        <f>+C68*E68</f>
        <v>49902.912621359232</v>
      </c>
    </row>
    <row r="69" spans="1:6" ht="14" hidden="1" thickTop="1">
      <c r="A69" s="849"/>
      <c r="B69" s="850"/>
      <c r="C69" s="24"/>
      <c r="D69" s="24"/>
      <c r="E69" s="25"/>
      <c r="F69" s="28"/>
    </row>
    <row r="70" spans="1:6" ht="14" hidden="1" thickTop="1">
      <c r="A70" s="14"/>
      <c r="B70" s="15"/>
      <c r="C70" s="15"/>
      <c r="D70" s="869" t="s">
        <v>26</v>
      </c>
      <c r="E70" s="870"/>
      <c r="F70" s="28">
        <f>SUM(F68:F69)</f>
        <v>49902.912621359232</v>
      </c>
    </row>
    <row r="71" spans="1:6" ht="15" hidden="1" thickTop="1" thickBot="1">
      <c r="A71" s="853" t="s">
        <v>36</v>
      </c>
      <c r="B71" s="854"/>
      <c r="C71" s="854"/>
      <c r="D71" s="854"/>
      <c r="E71" s="855"/>
      <c r="F71" s="33">
        <f>+F70+F65+F58</f>
        <v>127900</v>
      </c>
    </row>
    <row r="72" spans="1:6" ht="14" hidden="1" thickTop="1">
      <c r="A72" s="34"/>
      <c r="B72" s="34"/>
      <c r="C72" s="34"/>
      <c r="D72" s="34"/>
      <c r="E72" s="34"/>
      <c r="F72" s="34"/>
    </row>
    <row r="73" spans="1:6" ht="14" hidden="1" thickTop="1">
      <c r="A73" s="35" t="s">
        <v>16</v>
      </c>
      <c r="B73" s="36"/>
      <c r="C73" s="36"/>
      <c r="D73" s="36"/>
      <c r="E73" s="36"/>
      <c r="F73" s="37"/>
    </row>
    <row r="74" spans="1:6" ht="16" hidden="1" thickTop="1" thickBot="1">
      <c r="A74" s="38">
        <f>+'[6]LINEA DE CONDUCCIÓN'!A10</f>
        <v>2.2999999999999998</v>
      </c>
      <c r="B74" s="860" t="str">
        <f>+'[6]LINEA DE CONDUCCIÓN'!B10</f>
        <v>RELLENO SELECCIONADO CON MATERIAL DE LA MISMA EXCAVACION</v>
      </c>
      <c r="C74" s="860"/>
      <c r="D74" s="860"/>
      <c r="E74" s="12" t="s">
        <v>17</v>
      </c>
      <c r="F74" s="13" t="str">
        <f>+'[6]LINEA DE CONDUCCIÓN'!C10</f>
        <v>M3</v>
      </c>
    </row>
    <row r="75" spans="1:6" ht="14" hidden="1" thickTop="1">
      <c r="A75" s="14"/>
      <c r="B75" s="15"/>
      <c r="C75" s="15"/>
      <c r="D75" s="15"/>
      <c r="E75" s="16"/>
      <c r="F75" s="17"/>
    </row>
    <row r="76" spans="1:6" ht="15" hidden="1" thickTop="1" thickBot="1">
      <c r="A76" s="846" t="s">
        <v>18</v>
      </c>
      <c r="B76" s="847"/>
      <c r="C76" s="847"/>
      <c r="D76" s="847"/>
      <c r="E76" s="847"/>
      <c r="F76" s="848"/>
    </row>
    <row r="77" spans="1:6" ht="14" hidden="1" thickTop="1">
      <c r="A77" s="856" t="s">
        <v>19</v>
      </c>
      <c r="B77" s="857"/>
      <c r="C77" s="18" t="s">
        <v>20</v>
      </c>
      <c r="D77" s="18" t="s">
        <v>21</v>
      </c>
      <c r="E77" s="19" t="s">
        <v>22</v>
      </c>
      <c r="F77" s="20" t="s">
        <v>23</v>
      </c>
    </row>
    <row r="78" spans="1:6" ht="14" hidden="1" thickTop="1">
      <c r="A78" s="849" t="s">
        <v>24</v>
      </c>
      <c r="B78" s="850"/>
      <c r="C78" s="23" t="s">
        <v>25</v>
      </c>
      <c r="D78" s="24">
        <f>+F91</f>
        <v>16891.26213592233</v>
      </c>
      <c r="E78" s="25">
        <v>0.03</v>
      </c>
      <c r="F78" s="26">
        <f>+D78*E78</f>
        <v>506.73786407766988</v>
      </c>
    </row>
    <row r="79" spans="1:6" ht="14" hidden="1" thickTop="1">
      <c r="A79" s="21"/>
      <c r="B79" s="22"/>
      <c r="C79" s="23"/>
      <c r="D79" s="27"/>
      <c r="E79" s="25"/>
      <c r="F79" s="28"/>
    </row>
    <row r="80" spans="1:6" ht="14" hidden="1" thickTop="1">
      <c r="A80" s="21"/>
      <c r="B80" s="22"/>
      <c r="C80" s="23"/>
      <c r="D80" s="24"/>
      <c r="E80" s="25"/>
      <c r="F80" s="28"/>
    </row>
    <row r="81" spans="1:6" ht="15" hidden="1" thickTop="1" thickBot="1">
      <c r="A81" s="14"/>
      <c r="B81" s="15"/>
      <c r="C81" s="15"/>
      <c r="D81" s="851" t="s">
        <v>26</v>
      </c>
      <c r="E81" s="852"/>
      <c r="F81" s="29">
        <f>SUM(F78:F80)</f>
        <v>506.73786407766988</v>
      </c>
    </row>
    <row r="82" spans="1:6" ht="15" hidden="1" thickTop="1" thickBot="1">
      <c r="A82" s="846" t="s">
        <v>27</v>
      </c>
      <c r="B82" s="847"/>
      <c r="C82" s="847"/>
      <c r="D82" s="847"/>
      <c r="E82" s="847"/>
      <c r="F82" s="848"/>
    </row>
    <row r="83" spans="1:6" ht="14" hidden="1" thickTop="1">
      <c r="A83" s="856" t="s">
        <v>19</v>
      </c>
      <c r="B83" s="857"/>
      <c r="C83" s="18" t="s">
        <v>28</v>
      </c>
      <c r="D83" s="18" t="s">
        <v>29</v>
      </c>
      <c r="E83" s="19" t="s">
        <v>30</v>
      </c>
      <c r="F83" s="20" t="s">
        <v>23</v>
      </c>
    </row>
    <row r="84" spans="1:6" ht="14" hidden="1" thickTop="1">
      <c r="A84" s="39"/>
      <c r="B84" s="22"/>
      <c r="C84" s="23"/>
      <c r="D84" s="24"/>
      <c r="E84" s="25"/>
      <c r="F84" s="28">
        <f>D84*E84</f>
        <v>0</v>
      </c>
    </row>
    <row r="85" spans="1:6" ht="14" hidden="1" thickTop="1">
      <c r="A85" s="39"/>
      <c r="B85" s="22"/>
      <c r="C85" s="23"/>
      <c r="D85" s="24"/>
      <c r="E85" s="25"/>
      <c r="F85" s="28">
        <f>D85*E85</f>
        <v>0</v>
      </c>
    </row>
    <row r="86" spans="1:6" ht="14" hidden="1" thickTop="1">
      <c r="A86" s="39"/>
      <c r="B86" s="22"/>
      <c r="C86" s="23"/>
      <c r="D86" s="24"/>
      <c r="E86" s="25"/>
      <c r="F86" s="28">
        <f>D86*E86</f>
        <v>0</v>
      </c>
    </row>
    <row r="87" spans="1:6" ht="14" hidden="1" thickTop="1">
      <c r="A87" s="862"/>
      <c r="B87" s="863"/>
      <c r="C87" s="23"/>
      <c r="D87" s="24"/>
      <c r="E87" s="25"/>
      <c r="F87" s="28"/>
    </row>
    <row r="88" spans="1:6" ht="15" hidden="1" thickTop="1" thickBot="1">
      <c r="A88" s="14"/>
      <c r="B88" s="15"/>
      <c r="C88" s="15"/>
      <c r="D88" s="851" t="s">
        <v>26</v>
      </c>
      <c r="E88" s="852"/>
      <c r="F88" s="31">
        <f>SUM(F84:F87)</f>
        <v>0</v>
      </c>
    </row>
    <row r="89" spans="1:6" ht="15" hidden="1" thickTop="1" thickBot="1">
      <c r="A89" s="846" t="s">
        <v>31</v>
      </c>
      <c r="B89" s="847"/>
      <c r="C89" s="847"/>
      <c r="D89" s="847"/>
      <c r="E89" s="847"/>
      <c r="F89" s="848"/>
    </row>
    <row r="90" spans="1:6" ht="14" hidden="1" thickTop="1">
      <c r="A90" s="32" t="s">
        <v>30</v>
      </c>
      <c r="B90" s="18" t="s">
        <v>32</v>
      </c>
      <c r="C90" s="18" t="s">
        <v>33</v>
      </c>
      <c r="D90" s="18" t="s">
        <v>34</v>
      </c>
      <c r="E90" s="19" t="s">
        <v>22</v>
      </c>
      <c r="F90" s="20" t="s">
        <v>23</v>
      </c>
    </row>
    <row r="91" spans="1:6" ht="14" hidden="1" thickTop="1">
      <c r="A91" s="849" t="s">
        <v>35</v>
      </c>
      <c r="B91" s="850"/>
      <c r="C91" s="24">
        <f>+[6]MO!D77</f>
        <v>21220.874156342466</v>
      </c>
      <c r="D91" s="24"/>
      <c r="E91" s="25">
        <v>0.79597390811885527</v>
      </c>
      <c r="F91" s="28">
        <f>+C91*E91</f>
        <v>16891.26213592233</v>
      </c>
    </row>
    <row r="92" spans="1:6" ht="14" hidden="1" thickTop="1">
      <c r="A92" s="849"/>
      <c r="B92" s="850"/>
      <c r="C92" s="24"/>
      <c r="D92" s="24"/>
      <c r="E92" s="25"/>
      <c r="F92" s="28"/>
    </row>
    <row r="93" spans="1:6" ht="14" hidden="1" thickTop="1">
      <c r="A93" s="14"/>
      <c r="B93" s="15"/>
      <c r="C93" s="15"/>
      <c r="D93" s="869" t="s">
        <v>26</v>
      </c>
      <c r="E93" s="870"/>
      <c r="F93" s="28">
        <f>SUM(F91:F92)</f>
        <v>16891.26213592233</v>
      </c>
    </row>
    <row r="94" spans="1:6" ht="15" hidden="1" thickTop="1" thickBot="1">
      <c r="A94" s="853" t="s">
        <v>36</v>
      </c>
      <c r="B94" s="854"/>
      <c r="C94" s="854"/>
      <c r="D94" s="854"/>
      <c r="E94" s="855"/>
      <c r="F94" s="33">
        <f>+F93+F88+F81</f>
        <v>17398</v>
      </c>
    </row>
    <row r="95" spans="1:6" ht="14" hidden="1" thickTop="1">
      <c r="A95" s="34"/>
      <c r="B95" s="34"/>
      <c r="C95" s="34"/>
      <c r="D95" s="34"/>
      <c r="E95" s="34"/>
      <c r="F95" s="34"/>
    </row>
    <row r="96" spans="1:6" ht="14" hidden="1" thickTop="1">
      <c r="A96" s="35" t="s">
        <v>16</v>
      </c>
      <c r="B96" s="36"/>
      <c r="C96" s="36"/>
      <c r="D96" s="36"/>
      <c r="E96" s="36"/>
      <c r="F96" s="37"/>
    </row>
    <row r="97" spans="1:6" ht="16" hidden="1" thickTop="1" thickBot="1">
      <c r="A97" s="38">
        <f>+'[6]LINEA DE CONDUCCIÓN'!A12</f>
        <v>3.1</v>
      </c>
      <c r="B97" s="860" t="str">
        <f>+'[6]LINEA DE CONDUCCIÓN'!B12</f>
        <v>CONCRETO PARA SOLADO EN 2000 PSI</v>
      </c>
      <c r="C97" s="860"/>
      <c r="D97" s="860"/>
      <c r="E97" s="12" t="s">
        <v>17</v>
      </c>
      <c r="F97" s="13" t="str">
        <f>+'[6]LINEA DE CONDUCCIÓN'!C12</f>
        <v>M3</v>
      </c>
    </row>
    <row r="98" spans="1:6" ht="14" hidden="1" thickTop="1">
      <c r="A98" s="14"/>
      <c r="B98" s="15"/>
      <c r="C98" s="15"/>
      <c r="D98" s="15"/>
      <c r="E98" s="16"/>
      <c r="F98" s="17"/>
    </row>
    <row r="99" spans="1:6" ht="15" hidden="1" thickTop="1" thickBot="1">
      <c r="A99" s="846" t="s">
        <v>18</v>
      </c>
      <c r="B99" s="847"/>
      <c r="C99" s="847"/>
      <c r="D99" s="847"/>
      <c r="E99" s="847"/>
      <c r="F99" s="848"/>
    </row>
    <row r="100" spans="1:6" ht="14" hidden="1" thickTop="1">
      <c r="A100" s="856" t="s">
        <v>19</v>
      </c>
      <c r="B100" s="857"/>
      <c r="C100" s="18" t="s">
        <v>20</v>
      </c>
      <c r="D100" s="18" t="s">
        <v>21</v>
      </c>
      <c r="E100" s="19" t="s">
        <v>22</v>
      </c>
      <c r="F100" s="20" t="s">
        <v>23</v>
      </c>
    </row>
    <row r="101" spans="1:6" ht="14" hidden="1" thickTop="1">
      <c r="A101" s="849" t="s">
        <v>24</v>
      </c>
      <c r="B101" s="850"/>
      <c r="C101" s="23" t="s">
        <v>25</v>
      </c>
      <c r="D101" s="24">
        <f>+F115</f>
        <v>21165.048543689303</v>
      </c>
      <c r="E101" s="25">
        <v>0.03</v>
      </c>
      <c r="F101" s="26">
        <f>+D101*E101</f>
        <v>634.95145631067908</v>
      </c>
    </row>
    <row r="102" spans="1:6" ht="14" hidden="1" thickTop="1">
      <c r="A102" s="21"/>
      <c r="B102" s="22"/>
      <c r="C102" s="23"/>
      <c r="D102" s="27"/>
      <c r="E102" s="25"/>
      <c r="F102" s="28"/>
    </row>
    <row r="103" spans="1:6" ht="14" hidden="1" thickTop="1">
      <c r="A103" s="21"/>
      <c r="B103" s="22"/>
      <c r="C103" s="23"/>
      <c r="D103" s="24"/>
      <c r="E103" s="25"/>
      <c r="F103" s="28"/>
    </row>
    <row r="104" spans="1:6" ht="15" hidden="1" thickTop="1" thickBot="1">
      <c r="A104" s="14"/>
      <c r="B104" s="15"/>
      <c r="C104" s="15"/>
      <c r="D104" s="851" t="s">
        <v>26</v>
      </c>
      <c r="E104" s="852"/>
      <c r="F104" s="29">
        <f>SUM(F101:F103)</f>
        <v>634.95145631067908</v>
      </c>
    </row>
    <row r="105" spans="1:6" ht="15" hidden="1" thickTop="1" thickBot="1">
      <c r="A105" s="846" t="s">
        <v>27</v>
      </c>
      <c r="B105" s="847"/>
      <c r="C105" s="847"/>
      <c r="D105" s="847"/>
      <c r="E105" s="847"/>
      <c r="F105" s="848"/>
    </row>
    <row r="106" spans="1:6" ht="14" hidden="1" thickTop="1">
      <c r="A106" s="856" t="s">
        <v>19</v>
      </c>
      <c r="B106" s="857"/>
      <c r="C106" s="18" t="s">
        <v>28</v>
      </c>
      <c r="D106" s="18" t="s">
        <v>29</v>
      </c>
      <c r="E106" s="19" t="s">
        <v>30</v>
      </c>
      <c r="F106" s="20" t="s">
        <v>23</v>
      </c>
    </row>
    <row r="107" spans="1:6" ht="14" hidden="1" thickTop="1">
      <c r="A107" s="39" t="s">
        <v>43</v>
      </c>
      <c r="B107" s="22"/>
      <c r="C107" s="23" t="s">
        <v>8</v>
      </c>
      <c r="D107" s="24">
        <f>+'[7]Base Datos'!$C$17</f>
        <v>680</v>
      </c>
      <c r="E107" s="25">
        <v>230</v>
      </c>
      <c r="F107" s="28">
        <f>D107*E107</f>
        <v>156400</v>
      </c>
    </row>
    <row r="108" spans="1:6" ht="14" hidden="1" thickTop="1">
      <c r="A108" s="39" t="s">
        <v>44</v>
      </c>
      <c r="B108" s="22"/>
      <c r="C108" s="23" t="s">
        <v>45</v>
      </c>
      <c r="D108" s="24">
        <f>'[7]Base Datos'!$C$18</f>
        <v>75000</v>
      </c>
      <c r="E108" s="25">
        <v>0.92</v>
      </c>
      <c r="F108" s="28">
        <f>D108*E108</f>
        <v>69000</v>
      </c>
    </row>
    <row r="109" spans="1:6" ht="14" hidden="1" thickTop="1">
      <c r="A109" s="39" t="s">
        <v>46</v>
      </c>
      <c r="B109" s="22"/>
      <c r="C109" s="23" t="s">
        <v>45</v>
      </c>
      <c r="D109" s="24">
        <f>'[7]Base Datos'!$C$19</f>
        <v>60000</v>
      </c>
      <c r="E109" s="25">
        <v>0.55000000000000004</v>
      </c>
      <c r="F109" s="28">
        <f>D109*E109</f>
        <v>33000</v>
      </c>
    </row>
    <row r="110" spans="1:6" ht="14" hidden="1" thickTop="1">
      <c r="A110" s="39" t="s">
        <v>41</v>
      </c>
      <c r="B110" s="22"/>
      <c r="C110" s="23" t="s">
        <v>47</v>
      </c>
      <c r="D110" s="24">
        <f>+'[7]Base Datos'!$C$16</f>
        <v>30</v>
      </c>
      <c r="E110" s="25">
        <v>160</v>
      </c>
      <c r="F110" s="28">
        <f>D110*E110</f>
        <v>4800</v>
      </c>
    </row>
    <row r="111" spans="1:6" ht="14" hidden="1" thickTop="1">
      <c r="A111" s="862"/>
      <c r="B111" s="863"/>
      <c r="C111" s="23"/>
      <c r="D111" s="24"/>
      <c r="E111" s="25"/>
      <c r="F111" s="28"/>
    </row>
    <row r="112" spans="1:6" ht="15" hidden="1" thickTop="1" thickBot="1">
      <c r="A112" s="14"/>
      <c r="B112" s="15"/>
      <c r="C112" s="15"/>
      <c r="D112" s="851" t="s">
        <v>26</v>
      </c>
      <c r="E112" s="852"/>
      <c r="F112" s="31">
        <f>SUM(F107:F111)</f>
        <v>263200</v>
      </c>
    </row>
    <row r="113" spans="1:6" ht="15" hidden="1" thickTop="1" thickBot="1">
      <c r="A113" s="846" t="s">
        <v>31</v>
      </c>
      <c r="B113" s="847"/>
      <c r="C113" s="847"/>
      <c r="D113" s="847"/>
      <c r="E113" s="847"/>
      <c r="F113" s="848"/>
    </row>
    <row r="114" spans="1:6" ht="14" hidden="1" thickTop="1">
      <c r="A114" s="32" t="s">
        <v>30</v>
      </c>
      <c r="B114" s="18" t="s">
        <v>32</v>
      </c>
      <c r="C114" s="18" t="s">
        <v>33</v>
      </c>
      <c r="D114" s="18" t="s">
        <v>34</v>
      </c>
      <c r="E114" s="19" t="s">
        <v>22</v>
      </c>
      <c r="F114" s="20" t="s">
        <v>23</v>
      </c>
    </row>
    <row r="115" spans="1:6" ht="14" hidden="1" thickTop="1">
      <c r="A115" s="849" t="s">
        <v>35</v>
      </c>
      <c r="B115" s="850"/>
      <c r="C115" s="24">
        <f>+[6]MO!D77</f>
        <v>21220.874156342466</v>
      </c>
      <c r="D115" s="24"/>
      <c r="E115" s="25">
        <v>0.99736930664392642</v>
      </c>
      <c r="F115" s="28">
        <f>+C115*E115</f>
        <v>21165.048543689303</v>
      </c>
    </row>
    <row r="116" spans="1:6" ht="14" hidden="1" thickTop="1">
      <c r="A116" s="849"/>
      <c r="B116" s="850"/>
      <c r="C116" s="24"/>
      <c r="D116" s="24"/>
      <c r="E116" s="25"/>
      <c r="F116" s="28"/>
    </row>
    <row r="117" spans="1:6" ht="14" hidden="1" thickTop="1">
      <c r="A117" s="14"/>
      <c r="B117" s="15"/>
      <c r="C117" s="15"/>
      <c r="D117" s="869" t="s">
        <v>26</v>
      </c>
      <c r="E117" s="870"/>
      <c r="F117" s="28">
        <f>SUM(F115:F116)</f>
        <v>21165.048543689303</v>
      </c>
    </row>
    <row r="118" spans="1:6" ht="15" hidden="1" thickTop="1" thickBot="1">
      <c r="A118" s="853" t="s">
        <v>36</v>
      </c>
      <c r="B118" s="854"/>
      <c r="C118" s="854"/>
      <c r="D118" s="854"/>
      <c r="E118" s="855"/>
      <c r="F118" s="33">
        <f>+F117+F112+F104</f>
        <v>285000</v>
      </c>
    </row>
    <row r="119" spans="1:6" ht="14" hidden="1" thickTop="1">
      <c r="A119" s="34"/>
      <c r="B119" s="34"/>
      <c r="C119" s="34"/>
      <c r="D119" s="34"/>
      <c r="E119" s="34"/>
      <c r="F119" s="34"/>
    </row>
    <row r="120" spans="1:6" ht="14" hidden="1" thickTop="1">
      <c r="A120" s="35" t="s">
        <v>16</v>
      </c>
      <c r="B120" s="36"/>
      <c r="C120" s="36"/>
      <c r="D120" s="36"/>
      <c r="E120" s="36"/>
      <c r="F120" s="37"/>
    </row>
    <row r="121" spans="1:6" ht="16" hidden="1" thickTop="1" thickBot="1">
      <c r="A121" s="38">
        <f>+'[6]LINEA DE CONDUCCIÓN'!A13</f>
        <v>3.2</v>
      </c>
      <c r="B121" s="860" t="str">
        <f>+'[6]LINEA DE CONDUCCIÓN'!B13</f>
        <v>CONCRETO DE 3000 PSI PARA ZAPATAS</v>
      </c>
      <c r="C121" s="860"/>
      <c r="D121" s="860"/>
      <c r="E121" s="12" t="s">
        <v>17</v>
      </c>
      <c r="F121" s="13" t="str">
        <f>+'[6]LINEA DE CONDUCCIÓN'!C13</f>
        <v>M3</v>
      </c>
    </row>
    <row r="122" spans="1:6" ht="14" hidden="1" thickTop="1">
      <c r="A122" s="14"/>
      <c r="B122" s="15"/>
      <c r="C122" s="15"/>
      <c r="D122" s="15"/>
      <c r="E122" s="16"/>
      <c r="F122" s="17"/>
    </row>
    <row r="123" spans="1:6" ht="15" hidden="1" thickTop="1" thickBot="1">
      <c r="A123" s="846" t="s">
        <v>18</v>
      </c>
      <c r="B123" s="847"/>
      <c r="C123" s="847"/>
      <c r="D123" s="847"/>
      <c r="E123" s="847"/>
      <c r="F123" s="848"/>
    </row>
    <row r="124" spans="1:6" ht="14" hidden="1" thickTop="1">
      <c r="A124" s="856" t="s">
        <v>19</v>
      </c>
      <c r="B124" s="857"/>
      <c r="C124" s="18" t="s">
        <v>20</v>
      </c>
      <c r="D124" s="18" t="s">
        <v>21</v>
      </c>
      <c r="E124" s="19" t="s">
        <v>22</v>
      </c>
      <c r="F124" s="20" t="s">
        <v>23</v>
      </c>
    </row>
    <row r="125" spans="1:6" ht="14" hidden="1" thickTop="1">
      <c r="A125" s="849" t="s">
        <v>24</v>
      </c>
      <c r="B125" s="850"/>
      <c r="C125" s="23" t="s">
        <v>25</v>
      </c>
      <c r="D125" s="24">
        <f>+F142</f>
        <v>190264.07766990285</v>
      </c>
      <c r="E125" s="25">
        <v>0.03</v>
      </c>
      <c r="F125" s="26">
        <f>+D125*E125</f>
        <v>5707.9223300970853</v>
      </c>
    </row>
    <row r="126" spans="1:6" ht="14" hidden="1" thickTop="1">
      <c r="A126" s="21"/>
      <c r="B126" s="22"/>
      <c r="C126" s="23"/>
      <c r="D126" s="27"/>
      <c r="E126" s="25"/>
      <c r="F126" s="28"/>
    </row>
    <row r="127" spans="1:6" ht="14" hidden="1" thickTop="1">
      <c r="A127" s="21"/>
      <c r="B127" s="22"/>
      <c r="C127" s="23"/>
      <c r="D127" s="24"/>
      <c r="E127" s="25"/>
      <c r="F127" s="28"/>
    </row>
    <row r="128" spans="1:6" ht="15" hidden="1" thickTop="1" thickBot="1">
      <c r="A128" s="14"/>
      <c r="B128" s="15"/>
      <c r="C128" s="15"/>
      <c r="D128" s="851" t="s">
        <v>26</v>
      </c>
      <c r="E128" s="852"/>
      <c r="F128" s="29">
        <f>SUM(F125:F127)</f>
        <v>5707.9223300970853</v>
      </c>
    </row>
    <row r="129" spans="1:6" ht="15" hidden="1" thickTop="1" thickBot="1">
      <c r="A129" s="846" t="s">
        <v>27</v>
      </c>
      <c r="B129" s="847"/>
      <c r="C129" s="847"/>
      <c r="D129" s="847"/>
      <c r="E129" s="847"/>
      <c r="F129" s="848"/>
    </row>
    <row r="130" spans="1:6" ht="14" hidden="1" thickTop="1">
      <c r="A130" s="856" t="s">
        <v>19</v>
      </c>
      <c r="B130" s="857"/>
      <c r="C130" s="18" t="s">
        <v>28</v>
      </c>
      <c r="D130" s="18" t="s">
        <v>29</v>
      </c>
      <c r="E130" s="19" t="s">
        <v>30</v>
      </c>
      <c r="F130" s="20" t="s">
        <v>23</v>
      </c>
    </row>
    <row r="131" spans="1:6" ht="14" hidden="1" thickTop="1">
      <c r="A131" s="39" t="s">
        <v>43</v>
      </c>
      <c r="B131" s="22"/>
      <c r="C131" s="23" t="s">
        <v>8</v>
      </c>
      <c r="D131" s="24">
        <f>+'[7]Base Datos'!$C$17</f>
        <v>680</v>
      </c>
      <c r="E131" s="25">
        <v>350</v>
      </c>
      <c r="F131" s="28">
        <f>D131*E131</f>
        <v>238000</v>
      </c>
    </row>
    <row r="132" spans="1:6" ht="14" hidden="1" thickTop="1">
      <c r="A132" s="39" t="s">
        <v>44</v>
      </c>
      <c r="B132" s="22"/>
      <c r="C132" s="23" t="s">
        <v>45</v>
      </c>
      <c r="D132" s="24">
        <f>'[7]Base Datos'!$C$18</f>
        <v>75000</v>
      </c>
      <c r="E132" s="25">
        <v>0.85</v>
      </c>
      <c r="F132" s="28">
        <f t="shared" ref="F132:F137" si="0">D132*E132</f>
        <v>63750</v>
      </c>
    </row>
    <row r="133" spans="1:6" ht="14" hidden="1" thickTop="1">
      <c r="A133" s="39" t="s">
        <v>46</v>
      </c>
      <c r="B133" s="22"/>
      <c r="C133" s="23" t="s">
        <v>45</v>
      </c>
      <c r="D133" s="24">
        <f>'[7]Base Datos'!$C$19</f>
        <v>60000</v>
      </c>
      <c r="E133" s="25">
        <v>0.65</v>
      </c>
      <c r="F133" s="28">
        <f t="shared" si="0"/>
        <v>39000</v>
      </c>
    </row>
    <row r="134" spans="1:6" ht="14" hidden="1" thickTop="1">
      <c r="A134" s="39" t="s">
        <v>41</v>
      </c>
      <c r="B134" s="22"/>
      <c r="C134" s="23" t="s">
        <v>47</v>
      </c>
      <c r="D134" s="24">
        <f>+'[7]Base Datos'!$C$16</f>
        <v>30</v>
      </c>
      <c r="E134" s="25">
        <v>180</v>
      </c>
      <c r="F134" s="28">
        <f t="shared" si="0"/>
        <v>5400</v>
      </c>
    </row>
    <row r="135" spans="1:6" ht="14" hidden="1" thickTop="1">
      <c r="A135" s="39" t="s">
        <v>48</v>
      </c>
      <c r="B135" s="22"/>
      <c r="C135" s="23" t="s">
        <v>49</v>
      </c>
      <c r="D135" s="24">
        <v>1</v>
      </c>
      <c r="E135" s="25">
        <v>80000</v>
      </c>
      <c r="F135" s="28">
        <f t="shared" si="0"/>
        <v>80000</v>
      </c>
    </row>
    <row r="136" spans="1:6" ht="14" hidden="1" thickTop="1">
      <c r="A136" s="39" t="s">
        <v>50</v>
      </c>
      <c r="B136" s="22"/>
      <c r="C136" s="23" t="s">
        <v>49</v>
      </c>
      <c r="D136" s="24">
        <v>1</v>
      </c>
      <c r="E136" s="25">
        <v>80000</v>
      </c>
      <c r="F136" s="28">
        <f t="shared" si="0"/>
        <v>80000</v>
      </c>
    </row>
    <row r="137" spans="1:6" ht="14" hidden="1" thickTop="1">
      <c r="A137" s="39" t="s">
        <v>41</v>
      </c>
      <c r="B137" s="22"/>
      <c r="C137" s="23" t="s">
        <v>47</v>
      </c>
      <c r="D137" s="24">
        <f>+'[7]Base Datos'!$C$16</f>
        <v>30</v>
      </c>
      <c r="E137" s="25">
        <v>160</v>
      </c>
      <c r="F137" s="28">
        <f t="shared" si="0"/>
        <v>4800</v>
      </c>
    </row>
    <row r="138" spans="1:6" ht="14" hidden="1" thickTop="1">
      <c r="A138" s="862"/>
      <c r="B138" s="863"/>
      <c r="C138" s="23"/>
      <c r="D138" s="24"/>
      <c r="E138" s="25"/>
      <c r="F138" s="28"/>
    </row>
    <row r="139" spans="1:6" ht="15" hidden="1" thickTop="1" thickBot="1">
      <c r="A139" s="14"/>
      <c r="B139" s="15"/>
      <c r="C139" s="15"/>
      <c r="D139" s="851" t="s">
        <v>26</v>
      </c>
      <c r="E139" s="852"/>
      <c r="F139" s="31">
        <f>SUM(F131:F138)</f>
        <v>510950</v>
      </c>
    </row>
    <row r="140" spans="1:6" ht="15" hidden="1" thickTop="1" thickBot="1">
      <c r="A140" s="846" t="s">
        <v>31</v>
      </c>
      <c r="B140" s="847"/>
      <c r="C140" s="847"/>
      <c r="D140" s="847"/>
      <c r="E140" s="847"/>
      <c r="F140" s="848"/>
    </row>
    <row r="141" spans="1:6" ht="14" hidden="1" thickTop="1">
      <c r="A141" s="32" t="s">
        <v>30</v>
      </c>
      <c r="B141" s="18" t="s">
        <v>32</v>
      </c>
      <c r="C141" s="18" t="s">
        <v>33</v>
      </c>
      <c r="D141" s="18" t="s">
        <v>34</v>
      </c>
      <c r="E141" s="19" t="s">
        <v>22</v>
      </c>
      <c r="F141" s="20" t="s">
        <v>23</v>
      </c>
    </row>
    <row r="142" spans="1:6" ht="14" hidden="1" thickTop="1">
      <c r="A142" s="849" t="s">
        <v>35</v>
      </c>
      <c r="B142" s="850"/>
      <c r="C142" s="24"/>
      <c r="D142" s="24">
        <f>+[6]MO!D76</f>
        <v>169766.99325073973</v>
      </c>
      <c r="E142" s="25">
        <v>1.1207365697340805</v>
      </c>
      <c r="F142" s="28">
        <f>+D142*E142</f>
        <v>190264.07766990285</v>
      </c>
    </row>
    <row r="143" spans="1:6" ht="14" hidden="1" thickTop="1">
      <c r="A143" s="849"/>
      <c r="B143" s="850"/>
      <c r="C143" s="24"/>
      <c r="D143" s="24"/>
      <c r="E143" s="25"/>
      <c r="F143" s="28"/>
    </row>
    <row r="144" spans="1:6" ht="15" hidden="1" thickTop="1" thickBot="1">
      <c r="A144" s="14"/>
      <c r="B144" s="15"/>
      <c r="C144" s="15"/>
      <c r="D144" s="851" t="s">
        <v>26</v>
      </c>
      <c r="E144" s="852"/>
      <c r="F144" s="28">
        <f>SUM(F142:F143)</f>
        <v>190264.07766990285</v>
      </c>
    </row>
    <row r="145" spans="1:6" ht="15" hidden="1" thickTop="1" thickBot="1">
      <c r="A145" s="853" t="s">
        <v>36</v>
      </c>
      <c r="B145" s="854"/>
      <c r="C145" s="854"/>
      <c r="D145" s="854"/>
      <c r="E145" s="855"/>
      <c r="F145" s="33">
        <f>+F144+F139+F128</f>
        <v>706921.99999999988</v>
      </c>
    </row>
    <row r="146" spans="1:6" ht="14" hidden="1" thickTop="1">
      <c r="A146" s="34"/>
      <c r="B146" s="34"/>
      <c r="C146" s="34"/>
      <c r="D146" s="34"/>
      <c r="E146" s="34"/>
      <c r="F146" s="34"/>
    </row>
    <row r="147" spans="1:6" ht="14" hidden="1" thickTop="1">
      <c r="A147" s="35" t="s">
        <v>16</v>
      </c>
      <c r="B147" s="36"/>
      <c r="C147" s="36"/>
      <c r="D147" s="36"/>
      <c r="E147" s="36"/>
      <c r="F147" s="37"/>
    </row>
    <row r="148" spans="1:6" ht="16" hidden="1" thickTop="1" thickBot="1">
      <c r="A148" s="38">
        <f>+'[6]LINEA DE CONDUCCIÓN'!A14</f>
        <v>3.3</v>
      </c>
      <c r="B148" s="860" t="str">
        <f>+'[6]LINEA DE CONDUCCIÓN'!B14</f>
        <v>CONCRETO DE 3000 PSI PARA COLUMNAS Y VIGAS</v>
      </c>
      <c r="C148" s="860"/>
      <c r="D148" s="860"/>
      <c r="E148" s="12" t="s">
        <v>17</v>
      </c>
      <c r="F148" s="13" t="str">
        <f>+'[6]LINEA DE CONDUCCIÓN'!C14</f>
        <v>M3</v>
      </c>
    </row>
    <row r="149" spans="1:6" ht="14" hidden="1" thickTop="1">
      <c r="A149" s="14"/>
      <c r="B149" s="15"/>
      <c r="C149" s="15"/>
      <c r="D149" s="15"/>
      <c r="E149" s="16"/>
      <c r="F149" s="17"/>
    </row>
    <row r="150" spans="1:6" ht="15" hidden="1" thickTop="1" thickBot="1">
      <c r="A150" s="846" t="s">
        <v>18</v>
      </c>
      <c r="B150" s="847"/>
      <c r="C150" s="847"/>
      <c r="D150" s="847"/>
      <c r="E150" s="847"/>
      <c r="F150" s="848"/>
    </row>
    <row r="151" spans="1:6" ht="14" hidden="1" thickTop="1">
      <c r="A151" s="856" t="s">
        <v>19</v>
      </c>
      <c r="B151" s="857"/>
      <c r="C151" s="18" t="s">
        <v>20</v>
      </c>
      <c r="D151" s="18" t="s">
        <v>21</v>
      </c>
      <c r="E151" s="19" t="s">
        <v>22</v>
      </c>
      <c r="F151" s="20" t="s">
        <v>23</v>
      </c>
    </row>
    <row r="152" spans="1:6" ht="14" hidden="1" thickTop="1">
      <c r="A152" s="849" t="s">
        <v>24</v>
      </c>
      <c r="B152" s="850"/>
      <c r="C152" s="23" t="s">
        <v>25</v>
      </c>
      <c r="D152" s="24">
        <f>+F169</f>
        <v>190264.07766990285</v>
      </c>
      <c r="E152" s="25">
        <v>0.03</v>
      </c>
      <c r="F152" s="26">
        <f>+D152*E152</f>
        <v>5707.9223300970853</v>
      </c>
    </row>
    <row r="153" spans="1:6" ht="14" hidden="1" thickTop="1">
      <c r="A153" s="21"/>
      <c r="B153" s="22"/>
      <c r="C153" s="23"/>
      <c r="D153" s="27"/>
      <c r="E153" s="25"/>
      <c r="F153" s="28"/>
    </row>
    <row r="154" spans="1:6" ht="14" hidden="1" thickTop="1">
      <c r="A154" s="21"/>
      <c r="B154" s="22"/>
      <c r="C154" s="23"/>
      <c r="D154" s="24"/>
      <c r="E154" s="25"/>
      <c r="F154" s="28"/>
    </row>
    <row r="155" spans="1:6" ht="15" hidden="1" thickTop="1" thickBot="1">
      <c r="A155" s="14"/>
      <c r="B155" s="15"/>
      <c r="C155" s="15"/>
      <c r="D155" s="851" t="s">
        <v>26</v>
      </c>
      <c r="E155" s="852"/>
      <c r="F155" s="29">
        <f>SUM(F152:F154)</f>
        <v>5707.9223300970853</v>
      </c>
    </row>
    <row r="156" spans="1:6" ht="15" hidden="1" thickTop="1" thickBot="1">
      <c r="A156" s="846" t="s">
        <v>27</v>
      </c>
      <c r="B156" s="847"/>
      <c r="C156" s="847"/>
      <c r="D156" s="847"/>
      <c r="E156" s="847"/>
      <c r="F156" s="848"/>
    </row>
    <row r="157" spans="1:6" ht="14" hidden="1" thickTop="1">
      <c r="A157" s="856" t="s">
        <v>19</v>
      </c>
      <c r="B157" s="857"/>
      <c r="C157" s="18" t="s">
        <v>28</v>
      </c>
      <c r="D157" s="18" t="s">
        <v>29</v>
      </c>
      <c r="E157" s="19" t="s">
        <v>30</v>
      </c>
      <c r="F157" s="20" t="s">
        <v>23</v>
      </c>
    </row>
    <row r="158" spans="1:6" ht="14" hidden="1" thickTop="1">
      <c r="A158" s="39" t="s">
        <v>43</v>
      </c>
      <c r="B158" s="22"/>
      <c r="C158" s="23" t="s">
        <v>8</v>
      </c>
      <c r="D158" s="24">
        <f>+'[7]Base Datos'!$C$17</f>
        <v>680</v>
      </c>
      <c r="E158" s="25">
        <v>350</v>
      </c>
      <c r="F158" s="28">
        <f>D158*E158</f>
        <v>238000</v>
      </c>
    </row>
    <row r="159" spans="1:6" ht="14" hidden="1" thickTop="1">
      <c r="A159" s="39" t="s">
        <v>44</v>
      </c>
      <c r="B159" s="22"/>
      <c r="C159" s="23" t="s">
        <v>45</v>
      </c>
      <c r="D159" s="24">
        <f>'[7]Base Datos'!$C$18</f>
        <v>75000</v>
      </c>
      <c r="E159" s="25">
        <v>0.85</v>
      </c>
      <c r="F159" s="28">
        <f t="shared" ref="F159:F164" si="1">D159*E159</f>
        <v>63750</v>
      </c>
    </row>
    <row r="160" spans="1:6" ht="14" hidden="1" thickTop="1">
      <c r="A160" s="39" t="s">
        <v>46</v>
      </c>
      <c r="B160" s="22"/>
      <c r="C160" s="23" t="s">
        <v>45</v>
      </c>
      <c r="D160" s="24">
        <f>'[7]Base Datos'!$C$19</f>
        <v>60000</v>
      </c>
      <c r="E160" s="25">
        <v>0.65</v>
      </c>
      <c r="F160" s="28">
        <f t="shared" si="1"/>
        <v>39000</v>
      </c>
    </row>
    <row r="161" spans="1:6" ht="14" hidden="1" thickTop="1">
      <c r="A161" s="39" t="s">
        <v>41</v>
      </c>
      <c r="B161" s="22"/>
      <c r="C161" s="23" t="s">
        <v>47</v>
      </c>
      <c r="D161" s="24">
        <f>+'[7]Base Datos'!$C$16</f>
        <v>30</v>
      </c>
      <c r="E161" s="25">
        <v>180</v>
      </c>
      <c r="F161" s="28">
        <f t="shared" si="1"/>
        <v>5400</v>
      </c>
    </row>
    <row r="162" spans="1:6" ht="14" hidden="1" thickTop="1">
      <c r="A162" s="39" t="s">
        <v>48</v>
      </c>
      <c r="B162" s="22"/>
      <c r="C162" s="23" t="s">
        <v>49</v>
      </c>
      <c r="D162" s="24">
        <v>1</v>
      </c>
      <c r="E162" s="25">
        <v>80000</v>
      </c>
      <c r="F162" s="28">
        <f t="shared" si="1"/>
        <v>80000</v>
      </c>
    </row>
    <row r="163" spans="1:6" ht="14" hidden="1" thickTop="1">
      <c r="A163" s="39" t="s">
        <v>50</v>
      </c>
      <c r="B163" s="22"/>
      <c r="C163" s="23" t="s">
        <v>49</v>
      </c>
      <c r="D163" s="24">
        <v>1</v>
      </c>
      <c r="E163" s="25">
        <v>80000</v>
      </c>
      <c r="F163" s="28">
        <f t="shared" si="1"/>
        <v>80000</v>
      </c>
    </row>
    <row r="164" spans="1:6" ht="14" hidden="1" thickTop="1">
      <c r="A164" s="39" t="s">
        <v>41</v>
      </c>
      <c r="B164" s="22"/>
      <c r="C164" s="23" t="s">
        <v>47</v>
      </c>
      <c r="D164" s="24">
        <f>+'[7]Base Datos'!$C$16</f>
        <v>30</v>
      </c>
      <c r="E164" s="25">
        <v>160</v>
      </c>
      <c r="F164" s="28">
        <f t="shared" si="1"/>
        <v>4800</v>
      </c>
    </row>
    <row r="165" spans="1:6" ht="14" hidden="1" thickTop="1">
      <c r="A165" s="862"/>
      <c r="B165" s="863"/>
      <c r="C165" s="23"/>
      <c r="D165" s="24"/>
      <c r="E165" s="25"/>
      <c r="F165" s="28"/>
    </row>
    <row r="166" spans="1:6" ht="15" hidden="1" thickTop="1" thickBot="1">
      <c r="A166" s="14"/>
      <c r="B166" s="15"/>
      <c r="C166" s="15"/>
      <c r="D166" s="851" t="s">
        <v>26</v>
      </c>
      <c r="E166" s="852"/>
      <c r="F166" s="31">
        <f>SUM(F158:F165)</f>
        <v>510950</v>
      </c>
    </row>
    <row r="167" spans="1:6" ht="15" hidden="1" thickTop="1" thickBot="1">
      <c r="A167" s="846" t="s">
        <v>31</v>
      </c>
      <c r="B167" s="847"/>
      <c r="C167" s="847"/>
      <c r="D167" s="847"/>
      <c r="E167" s="847"/>
      <c r="F167" s="848"/>
    </row>
    <row r="168" spans="1:6" ht="14" hidden="1" thickTop="1">
      <c r="A168" s="32" t="s">
        <v>30</v>
      </c>
      <c r="B168" s="18" t="s">
        <v>32</v>
      </c>
      <c r="C168" s="18" t="s">
        <v>33</v>
      </c>
      <c r="D168" s="18" t="s">
        <v>34</v>
      </c>
      <c r="E168" s="19" t="s">
        <v>22</v>
      </c>
      <c r="F168" s="20" t="s">
        <v>23</v>
      </c>
    </row>
    <row r="169" spans="1:6" ht="14" hidden="1" thickTop="1">
      <c r="A169" s="849" t="s">
        <v>35</v>
      </c>
      <c r="B169" s="850"/>
      <c r="C169" s="24"/>
      <c r="D169" s="24">
        <f>+[6]MO!D76</f>
        <v>169766.99325073973</v>
      </c>
      <c r="E169" s="25">
        <v>1.1207365697340805</v>
      </c>
      <c r="F169" s="28">
        <f>+D169*E169</f>
        <v>190264.07766990285</v>
      </c>
    </row>
    <row r="170" spans="1:6" ht="14" hidden="1" thickTop="1">
      <c r="A170" s="849"/>
      <c r="B170" s="850"/>
      <c r="C170" s="24"/>
      <c r="D170" s="24"/>
      <c r="E170" s="25"/>
      <c r="F170" s="28"/>
    </row>
    <row r="171" spans="1:6" ht="15" hidden="1" thickTop="1" thickBot="1">
      <c r="A171" s="14"/>
      <c r="B171" s="15"/>
      <c r="C171" s="15"/>
      <c r="D171" s="851" t="s">
        <v>26</v>
      </c>
      <c r="E171" s="852"/>
      <c r="F171" s="28">
        <f>SUM(F169:F170)</f>
        <v>190264.07766990285</v>
      </c>
    </row>
    <row r="172" spans="1:6" ht="15" hidden="1" thickTop="1" thickBot="1">
      <c r="A172" s="853" t="s">
        <v>36</v>
      </c>
      <c r="B172" s="854"/>
      <c r="C172" s="854"/>
      <c r="D172" s="854"/>
      <c r="E172" s="855"/>
      <c r="F172" s="33">
        <f>+F171+F166+F155</f>
        <v>706921.99999999988</v>
      </c>
    </row>
    <row r="173" spans="1:6" ht="14" hidden="1" thickTop="1">
      <c r="A173" s="34"/>
      <c r="B173" s="34"/>
      <c r="C173" s="34"/>
      <c r="D173" s="34"/>
      <c r="E173" s="34"/>
      <c r="F173" s="34"/>
    </row>
    <row r="174" spans="1:6" ht="14" hidden="1" thickTop="1">
      <c r="A174" s="35" t="s">
        <v>16</v>
      </c>
      <c r="B174" s="36"/>
      <c r="C174" s="36"/>
      <c r="D174" s="36"/>
      <c r="E174" s="36"/>
      <c r="F174" s="37"/>
    </row>
    <row r="175" spans="1:6" ht="16" hidden="1" thickTop="1" thickBot="1">
      <c r="A175" s="38">
        <f>+'[6]LINEA DE CONDUCCIÓN'!A15</f>
        <v>3.4</v>
      </c>
      <c r="B175" s="860" t="str">
        <f>+'[6]LINEA DE CONDUCCIÓN'!B15</f>
        <v>ACERO DE REFUERZO DE 60,000 PSI</v>
      </c>
      <c r="C175" s="860"/>
      <c r="D175" s="860"/>
      <c r="E175" s="12" t="s">
        <v>17</v>
      </c>
      <c r="F175" s="13" t="str">
        <f>+'[6]LINEA DE CONDUCCIÓN'!C15</f>
        <v>Kg</v>
      </c>
    </row>
    <row r="176" spans="1:6" ht="14" hidden="1" thickTop="1">
      <c r="A176" s="14"/>
      <c r="B176" s="15"/>
      <c r="C176" s="15"/>
      <c r="D176" s="15"/>
      <c r="E176" s="16"/>
      <c r="F176" s="17"/>
    </row>
    <row r="177" spans="1:6" ht="15" hidden="1" thickTop="1" thickBot="1">
      <c r="A177" s="846" t="s">
        <v>18</v>
      </c>
      <c r="B177" s="847"/>
      <c r="C177" s="847"/>
      <c r="D177" s="847"/>
      <c r="E177" s="847"/>
      <c r="F177" s="848"/>
    </row>
    <row r="178" spans="1:6" ht="14" hidden="1" thickTop="1">
      <c r="A178" s="856" t="s">
        <v>19</v>
      </c>
      <c r="B178" s="857"/>
      <c r="C178" s="18" t="s">
        <v>20</v>
      </c>
      <c r="D178" s="18" t="s">
        <v>21</v>
      </c>
      <c r="E178" s="19" t="s">
        <v>22</v>
      </c>
      <c r="F178" s="20" t="s">
        <v>23</v>
      </c>
    </row>
    <row r="179" spans="1:6" ht="14" hidden="1" thickTop="1">
      <c r="A179" s="849" t="s">
        <v>24</v>
      </c>
      <c r="B179" s="850"/>
      <c r="C179" s="23" t="s">
        <v>25</v>
      </c>
      <c r="D179" s="24">
        <f>+F191</f>
        <v>1061.0437078171233</v>
      </c>
      <c r="E179" s="25">
        <v>0.03</v>
      </c>
      <c r="F179" s="26">
        <f>+D179*E179</f>
        <v>31.831311234513699</v>
      </c>
    </row>
    <row r="180" spans="1:6" ht="14" hidden="1" thickTop="1">
      <c r="A180" s="21"/>
      <c r="B180" s="22"/>
      <c r="C180" s="23"/>
      <c r="D180" s="27"/>
      <c r="E180" s="25"/>
      <c r="F180" s="28"/>
    </row>
    <row r="181" spans="1:6" ht="14" hidden="1" thickTop="1">
      <c r="A181" s="21"/>
      <c r="B181" s="22"/>
      <c r="C181" s="23"/>
      <c r="D181" s="24"/>
      <c r="E181" s="25"/>
      <c r="F181" s="28"/>
    </row>
    <row r="182" spans="1:6" ht="15" hidden="1" thickTop="1" thickBot="1">
      <c r="A182" s="14"/>
      <c r="B182" s="15"/>
      <c r="C182" s="15"/>
      <c r="D182" s="851" t="s">
        <v>26</v>
      </c>
      <c r="E182" s="852"/>
      <c r="F182" s="29">
        <f>SUM(F179:F181)</f>
        <v>31.831311234513699</v>
      </c>
    </row>
    <row r="183" spans="1:6" ht="15" hidden="1" thickTop="1" thickBot="1">
      <c r="A183" s="846" t="s">
        <v>27</v>
      </c>
      <c r="B183" s="847"/>
      <c r="C183" s="847"/>
      <c r="D183" s="847"/>
      <c r="E183" s="847"/>
      <c r="F183" s="848"/>
    </row>
    <row r="184" spans="1:6" ht="14" hidden="1" thickTop="1">
      <c r="A184" s="856" t="s">
        <v>19</v>
      </c>
      <c r="B184" s="857"/>
      <c r="C184" s="18" t="s">
        <v>28</v>
      </c>
      <c r="D184" s="18" t="s">
        <v>29</v>
      </c>
      <c r="E184" s="19" t="s">
        <v>30</v>
      </c>
      <c r="F184" s="20" t="s">
        <v>23</v>
      </c>
    </row>
    <row r="185" spans="1:6" ht="14" hidden="1" thickTop="1">
      <c r="A185" s="39" t="s">
        <v>51</v>
      </c>
      <c r="B185" s="22"/>
      <c r="C185" s="23" t="s">
        <v>8</v>
      </c>
      <c r="D185" s="24">
        <f>'[7]Base Datos'!$C$22</f>
        <v>3610</v>
      </c>
      <c r="E185" s="25">
        <v>1</v>
      </c>
      <c r="F185" s="28">
        <f>D185*E185</f>
        <v>3610</v>
      </c>
    </row>
    <row r="186" spans="1:6" ht="14" hidden="1" thickTop="1">
      <c r="A186" s="39" t="s">
        <v>52</v>
      </c>
      <c r="B186" s="22"/>
      <c r="C186" s="23" t="s">
        <v>8</v>
      </c>
      <c r="D186" s="24">
        <f>'[7]Base Datos'!$C$23</f>
        <v>3200</v>
      </c>
      <c r="E186" s="25">
        <v>0.05</v>
      </c>
      <c r="F186" s="28">
        <f>D186*E186</f>
        <v>160</v>
      </c>
    </row>
    <row r="187" spans="1:6" ht="14" hidden="1" thickTop="1">
      <c r="A187" s="862"/>
      <c r="B187" s="863"/>
      <c r="C187" s="23"/>
      <c r="D187" s="24"/>
      <c r="E187" s="25"/>
      <c r="F187" s="28"/>
    </row>
    <row r="188" spans="1:6" ht="15" hidden="1" thickTop="1" thickBot="1">
      <c r="A188" s="14"/>
      <c r="B188" s="15"/>
      <c r="C188" s="15"/>
      <c r="D188" s="851" t="s">
        <v>26</v>
      </c>
      <c r="E188" s="852"/>
      <c r="F188" s="31">
        <f>SUM(F185:F187)</f>
        <v>3770</v>
      </c>
    </row>
    <row r="189" spans="1:6" ht="15" hidden="1" thickTop="1" thickBot="1">
      <c r="A189" s="846" t="s">
        <v>31</v>
      </c>
      <c r="B189" s="847"/>
      <c r="C189" s="847"/>
      <c r="D189" s="847"/>
      <c r="E189" s="847"/>
      <c r="F189" s="848"/>
    </row>
    <row r="190" spans="1:6" ht="14" hidden="1" thickTop="1">
      <c r="A190" s="32" t="s">
        <v>30</v>
      </c>
      <c r="B190" s="18" t="s">
        <v>32</v>
      </c>
      <c r="C190" s="18" t="s">
        <v>33</v>
      </c>
      <c r="D190" s="18" t="s">
        <v>34</v>
      </c>
      <c r="E190" s="19" t="s">
        <v>22</v>
      </c>
      <c r="F190" s="20" t="s">
        <v>23</v>
      </c>
    </row>
    <row r="191" spans="1:6" ht="14" hidden="1" thickTop="1">
      <c r="A191" s="849" t="s">
        <v>35</v>
      </c>
      <c r="B191" s="850"/>
      <c r="C191" s="24">
        <f>+[6]MO!D77</f>
        <v>21220.874156342466</v>
      </c>
      <c r="D191" s="24"/>
      <c r="E191" s="25">
        <v>0.05</v>
      </c>
      <c r="F191" s="28">
        <f>+C191*E191</f>
        <v>1061.0437078171233</v>
      </c>
    </row>
    <row r="192" spans="1:6" ht="14" hidden="1" thickTop="1">
      <c r="A192" s="849"/>
      <c r="B192" s="850"/>
      <c r="C192" s="24"/>
      <c r="D192" s="24"/>
      <c r="E192" s="25"/>
      <c r="F192" s="28"/>
    </row>
    <row r="193" spans="1:6" ht="15" hidden="1" thickTop="1" thickBot="1">
      <c r="A193" s="14"/>
      <c r="B193" s="15"/>
      <c r="C193" s="15"/>
      <c r="D193" s="851" t="s">
        <v>26</v>
      </c>
      <c r="E193" s="852"/>
      <c r="F193" s="28">
        <f>SUM(F191:F192)</f>
        <v>1061.0437078171233</v>
      </c>
    </row>
    <row r="194" spans="1:6" ht="15" hidden="1" thickTop="1" thickBot="1">
      <c r="A194" s="853" t="s">
        <v>36</v>
      </c>
      <c r="B194" s="854"/>
      <c r="C194" s="854"/>
      <c r="D194" s="854"/>
      <c r="E194" s="855"/>
      <c r="F194" s="33">
        <f>+F193+F188+F182</f>
        <v>4862.8750190516375</v>
      </c>
    </row>
    <row r="195" spans="1:6" ht="15" thickTop="1" thickBot="1">
      <c r="A195" s="34"/>
      <c r="B195" s="34"/>
      <c r="C195" s="34"/>
      <c r="D195" s="34"/>
      <c r="E195" s="34"/>
      <c r="F195" s="34"/>
    </row>
    <row r="196" spans="1:6" ht="14" thickBot="1">
      <c r="A196" s="35" t="s">
        <v>16</v>
      </c>
      <c r="B196" s="36"/>
      <c r="C196" s="36"/>
      <c r="D196" s="36"/>
      <c r="E196" s="36"/>
      <c r="F196" s="37"/>
    </row>
    <row r="197" spans="1:6" ht="25.5" customHeight="1" thickBot="1">
      <c r="A197" s="38" t="e">
        <f>+#REF!</f>
        <v>#REF!</v>
      </c>
      <c r="B197" s="866" t="e">
        <f>+#REF!</f>
        <v>#REF!</v>
      </c>
      <c r="C197" s="867"/>
      <c r="D197" s="868"/>
      <c r="E197" s="12" t="s">
        <v>17</v>
      </c>
      <c r="F197" s="13" t="e">
        <f>+#REF!</f>
        <v>#REF!</v>
      </c>
    </row>
    <row r="198" spans="1:6" ht="14" thickBot="1">
      <c r="A198" s="14"/>
      <c r="B198" s="15"/>
      <c r="C198" s="15"/>
      <c r="D198" s="15"/>
      <c r="E198" s="16"/>
      <c r="F198" s="17"/>
    </row>
    <row r="199" spans="1:6" ht="14" thickBot="1">
      <c r="A199" s="846" t="s">
        <v>18</v>
      </c>
      <c r="B199" s="847"/>
      <c r="C199" s="847"/>
      <c r="D199" s="847"/>
      <c r="E199" s="847"/>
      <c r="F199" s="848"/>
    </row>
    <row r="200" spans="1:6">
      <c r="A200" s="864" t="s">
        <v>19</v>
      </c>
      <c r="B200" s="865"/>
      <c r="C200" s="18" t="s">
        <v>20</v>
      </c>
      <c r="D200" s="18" t="s">
        <v>21</v>
      </c>
      <c r="E200" s="19" t="s">
        <v>22</v>
      </c>
      <c r="F200" s="20" t="s">
        <v>23</v>
      </c>
    </row>
    <row r="201" spans="1:6">
      <c r="A201" s="849" t="s">
        <v>24</v>
      </c>
      <c r="B201" s="850"/>
      <c r="C201" s="23" t="s">
        <v>25</v>
      </c>
      <c r="D201" s="24">
        <f>+F210</f>
        <v>274.97829763714566</v>
      </c>
      <c r="E201" s="25">
        <v>0.03</v>
      </c>
      <c r="F201" s="26">
        <f>+D201*E201</f>
        <v>8.2493489291143689</v>
      </c>
    </row>
    <row r="202" spans="1:6">
      <c r="A202" s="21"/>
      <c r="B202" s="22"/>
      <c r="C202" s="23"/>
      <c r="D202" s="24"/>
      <c r="E202" s="25"/>
      <c r="F202" s="28"/>
    </row>
    <row r="203" spans="1:6" ht="14" thickBot="1">
      <c r="A203" s="14"/>
      <c r="B203" s="15"/>
      <c r="C203" s="15"/>
      <c r="D203" s="851" t="s">
        <v>26</v>
      </c>
      <c r="E203" s="852"/>
      <c r="F203" s="29">
        <f>SUM(F201:F202)</f>
        <v>8.2493489291143689</v>
      </c>
    </row>
    <row r="204" spans="1:6" ht="14" thickBot="1">
      <c r="A204" s="846" t="s">
        <v>27</v>
      </c>
      <c r="B204" s="847"/>
      <c r="C204" s="847"/>
      <c r="D204" s="847"/>
      <c r="E204" s="847"/>
      <c r="F204" s="848"/>
    </row>
    <row r="205" spans="1:6">
      <c r="A205" s="864" t="s">
        <v>19</v>
      </c>
      <c r="B205" s="865"/>
      <c r="C205" s="18" t="s">
        <v>28</v>
      </c>
      <c r="D205" s="18" t="s">
        <v>29</v>
      </c>
      <c r="E205" s="19" t="s">
        <v>30</v>
      </c>
      <c r="F205" s="20" t="s">
        <v>23</v>
      </c>
    </row>
    <row r="206" spans="1:6">
      <c r="A206" s="858" t="s">
        <v>61</v>
      </c>
      <c r="B206" s="859"/>
      <c r="C206" s="23" t="s">
        <v>28</v>
      </c>
      <c r="D206" s="24">
        <f>'ANALISIS BASICOS E INSUMOS'!C461</f>
        <v>2850</v>
      </c>
      <c r="E206" s="25">
        <v>1</v>
      </c>
      <c r="F206" s="28">
        <f>D206*E206</f>
        <v>2850</v>
      </c>
    </row>
    <row r="207" spans="1:6" ht="14" thickBot="1">
      <c r="A207" s="14"/>
      <c r="B207" s="15"/>
      <c r="C207" s="15"/>
      <c r="D207" s="851" t="s">
        <v>26</v>
      </c>
      <c r="E207" s="852"/>
      <c r="F207" s="31">
        <f>SUM(F206:F206)</f>
        <v>2850</v>
      </c>
    </row>
    <row r="208" spans="1:6" ht="14" thickBot="1">
      <c r="A208" s="846" t="s">
        <v>31</v>
      </c>
      <c r="B208" s="847"/>
      <c r="C208" s="847"/>
      <c r="D208" s="847"/>
      <c r="E208" s="847"/>
      <c r="F208" s="848"/>
    </row>
    <row r="209" spans="1:6">
      <c r="A209" s="32" t="s">
        <v>30</v>
      </c>
      <c r="B209" s="18" t="s">
        <v>32</v>
      </c>
      <c r="C209" s="18" t="s">
        <v>33</v>
      </c>
      <c r="D209" s="18" t="s">
        <v>34</v>
      </c>
      <c r="E209" s="19" t="s">
        <v>22</v>
      </c>
      <c r="F209" s="20" t="s">
        <v>23</v>
      </c>
    </row>
    <row r="210" spans="1:6">
      <c r="A210" s="849" t="s">
        <v>57</v>
      </c>
      <c r="B210" s="850"/>
      <c r="C210" s="24">
        <v>27775.585619913698</v>
      </c>
      <c r="D210" s="24"/>
      <c r="E210" s="30">
        <v>9.9000000000000008E-3</v>
      </c>
      <c r="F210" s="28">
        <f>+E210*C210</f>
        <v>274.97829763714566</v>
      </c>
    </row>
    <row r="211" spans="1:6">
      <c r="A211" s="849"/>
      <c r="B211" s="850"/>
      <c r="C211" s="24"/>
      <c r="D211" s="24"/>
      <c r="E211" s="25"/>
      <c r="F211" s="28"/>
    </row>
    <row r="212" spans="1:6" ht="14" thickBot="1">
      <c r="A212" s="14"/>
      <c r="B212" s="15"/>
      <c r="C212" s="15"/>
      <c r="D212" s="851" t="s">
        <v>26</v>
      </c>
      <c r="E212" s="852"/>
      <c r="F212" s="28">
        <f>SUM(F210:F211)</f>
        <v>274.97829763714566</v>
      </c>
    </row>
    <row r="213" spans="1:6" ht="14" thickBot="1">
      <c r="A213" s="853" t="s">
        <v>36</v>
      </c>
      <c r="B213" s="854"/>
      <c r="C213" s="854"/>
      <c r="D213" s="854"/>
      <c r="E213" s="855"/>
      <c r="F213" s="33">
        <f>+F212+F207+F203</f>
        <v>3133.2276465662599</v>
      </c>
    </row>
    <row r="214" spans="1:6" ht="14" thickBot="1">
      <c r="A214" s="34"/>
      <c r="B214" s="34"/>
      <c r="C214" s="34"/>
      <c r="D214" s="34"/>
      <c r="E214" s="34"/>
      <c r="F214" s="34"/>
    </row>
    <row r="215" spans="1:6" ht="14" thickBot="1">
      <c r="A215" s="35" t="s">
        <v>16</v>
      </c>
      <c r="B215" s="36"/>
      <c r="C215" s="36"/>
      <c r="D215" s="36"/>
      <c r="E215" s="36"/>
      <c r="F215" s="37"/>
    </row>
    <row r="216" spans="1:6" ht="49.5" customHeight="1" thickBot="1">
      <c r="A216" s="38" t="e">
        <f>+#REF!</f>
        <v>#REF!</v>
      </c>
      <c r="B216" s="860" t="e">
        <f>+#REF!</f>
        <v>#REF!</v>
      </c>
      <c r="C216" s="860"/>
      <c r="D216" s="860"/>
      <c r="E216" s="12" t="s">
        <v>17</v>
      </c>
      <c r="F216" s="13" t="e">
        <f>+#REF!</f>
        <v>#REF!</v>
      </c>
    </row>
    <row r="217" spans="1:6" ht="14" thickBot="1">
      <c r="A217" s="14"/>
      <c r="B217" s="15"/>
      <c r="C217" s="15"/>
      <c r="D217" s="15"/>
      <c r="E217" s="16"/>
      <c r="F217" s="17"/>
    </row>
    <row r="218" spans="1:6" ht="14" thickBot="1">
      <c r="A218" s="846" t="s">
        <v>18</v>
      </c>
      <c r="B218" s="847"/>
      <c r="C218" s="847"/>
      <c r="D218" s="847"/>
      <c r="E218" s="847"/>
      <c r="F218" s="848"/>
    </row>
    <row r="219" spans="1:6">
      <c r="A219" s="856" t="s">
        <v>19</v>
      </c>
      <c r="B219" s="857"/>
      <c r="C219" s="18" t="s">
        <v>20</v>
      </c>
      <c r="D219" s="18" t="s">
        <v>21</v>
      </c>
      <c r="E219" s="19" t="s">
        <v>22</v>
      </c>
      <c r="F219" s="20" t="s">
        <v>23</v>
      </c>
    </row>
    <row r="220" spans="1:6">
      <c r="A220" s="849" t="s">
        <v>24</v>
      </c>
      <c r="B220" s="850"/>
      <c r="C220" s="23" t="s">
        <v>25</v>
      </c>
      <c r="D220" s="24">
        <f>+F232</f>
        <v>27775.585619913698</v>
      </c>
      <c r="E220" s="25">
        <v>0.03</v>
      </c>
      <c r="F220" s="26">
        <f>+D220*E220</f>
        <v>833.2675685974109</v>
      </c>
    </row>
    <row r="221" spans="1:6">
      <c r="A221" s="862" t="s">
        <v>53</v>
      </c>
      <c r="B221" s="863"/>
      <c r="C221" s="23" t="s">
        <v>54</v>
      </c>
      <c r="D221" s="24">
        <v>67300</v>
      </c>
      <c r="E221" s="25">
        <v>50</v>
      </c>
      <c r="F221" s="28">
        <f>+D221/E221</f>
        <v>1346</v>
      </c>
    </row>
    <row r="222" spans="1:6">
      <c r="A222" s="21"/>
      <c r="B222" s="22"/>
      <c r="C222" s="23"/>
      <c r="D222" s="24"/>
      <c r="E222" s="25"/>
      <c r="F222" s="28"/>
    </row>
    <row r="223" spans="1:6" ht="14" thickBot="1">
      <c r="A223" s="14"/>
      <c r="B223" s="15"/>
      <c r="C223" s="15"/>
      <c r="D223" s="851" t="s">
        <v>26</v>
      </c>
      <c r="E223" s="852"/>
      <c r="F223" s="29">
        <f>SUM(F220:F222)</f>
        <v>2179.2675685974109</v>
      </c>
    </row>
    <row r="224" spans="1:6" ht="14" thickBot="1">
      <c r="A224" s="846" t="s">
        <v>27</v>
      </c>
      <c r="B224" s="847"/>
      <c r="C224" s="847"/>
      <c r="D224" s="847"/>
      <c r="E224" s="847"/>
      <c r="F224" s="848"/>
    </row>
    <row r="225" spans="1:6">
      <c r="A225" s="856" t="s">
        <v>19</v>
      </c>
      <c r="B225" s="857"/>
      <c r="C225" s="18" t="s">
        <v>28</v>
      </c>
      <c r="D225" s="18" t="s">
        <v>29</v>
      </c>
      <c r="E225" s="19" t="s">
        <v>30</v>
      </c>
      <c r="F225" s="20" t="s">
        <v>23</v>
      </c>
    </row>
    <row r="226" spans="1:6" ht="23.25" customHeight="1">
      <c r="A226" s="861" t="s">
        <v>64</v>
      </c>
      <c r="B226" s="859"/>
      <c r="C226" s="23" t="s">
        <v>56</v>
      </c>
      <c r="D226" s="24">
        <f>'ANALISIS BASICOS E INSUMOS'!C464</f>
        <v>26700</v>
      </c>
      <c r="E226" s="25">
        <v>1.05</v>
      </c>
      <c r="F226" s="28">
        <f>D226*E226</f>
        <v>28035</v>
      </c>
    </row>
    <row r="227" spans="1:6">
      <c r="A227" s="39"/>
      <c r="B227" s="22"/>
      <c r="C227" s="23"/>
      <c r="D227" s="24"/>
      <c r="E227" s="25"/>
      <c r="F227" s="28">
        <f>D227*E227</f>
        <v>0</v>
      </c>
    </row>
    <row r="228" spans="1:6">
      <c r="A228" s="862"/>
      <c r="B228" s="863"/>
      <c r="C228" s="23"/>
      <c r="D228" s="24"/>
      <c r="E228" s="25"/>
      <c r="F228" s="28"/>
    </row>
    <row r="229" spans="1:6" ht="14" thickBot="1">
      <c r="A229" s="14"/>
      <c r="B229" s="15"/>
      <c r="C229" s="15"/>
      <c r="D229" s="851" t="s">
        <v>26</v>
      </c>
      <c r="E229" s="852"/>
      <c r="F229" s="31">
        <f>SUM(F226:F228)</f>
        <v>28035</v>
      </c>
    </row>
    <row r="230" spans="1:6" ht="14" thickBot="1">
      <c r="A230" s="846" t="s">
        <v>31</v>
      </c>
      <c r="B230" s="847"/>
      <c r="C230" s="847"/>
      <c r="D230" s="847"/>
      <c r="E230" s="847"/>
      <c r="F230" s="848"/>
    </row>
    <row r="231" spans="1:6">
      <c r="A231" s="32" t="s">
        <v>30</v>
      </c>
      <c r="B231" s="18" t="s">
        <v>32</v>
      </c>
      <c r="C231" s="18" t="s">
        <v>33</v>
      </c>
      <c r="D231" s="18" t="s">
        <v>34</v>
      </c>
      <c r="E231" s="19" t="s">
        <v>22</v>
      </c>
      <c r="F231" s="20" t="s">
        <v>23</v>
      </c>
    </row>
    <row r="232" spans="1:6">
      <c r="A232" s="849" t="s">
        <v>57</v>
      </c>
      <c r="B232" s="850"/>
      <c r="C232" s="24">
        <v>27775.585619913698</v>
      </c>
      <c r="D232" s="24"/>
      <c r="E232" s="25">
        <v>1</v>
      </c>
      <c r="F232" s="28">
        <f>+E232*C232</f>
        <v>27775.585619913698</v>
      </c>
    </row>
    <row r="233" spans="1:6">
      <c r="A233" s="849"/>
      <c r="B233" s="850"/>
      <c r="C233" s="24"/>
      <c r="D233" s="24"/>
      <c r="E233" s="25"/>
      <c r="F233" s="28"/>
    </row>
    <row r="234" spans="1:6" ht="14" thickBot="1">
      <c r="A234" s="14"/>
      <c r="B234" s="15"/>
      <c r="C234" s="15"/>
      <c r="D234" s="851" t="s">
        <v>26</v>
      </c>
      <c r="E234" s="852"/>
      <c r="F234" s="28">
        <f>SUM(F232:F233)</f>
        <v>27775.585619913698</v>
      </c>
    </row>
    <row r="235" spans="1:6" ht="14" thickBot="1">
      <c r="A235" s="853" t="s">
        <v>36</v>
      </c>
      <c r="B235" s="854"/>
      <c r="C235" s="854"/>
      <c r="D235" s="854"/>
      <c r="E235" s="855"/>
      <c r="F235" s="33">
        <f>+F234+F229+F223</f>
        <v>57989.853188511108</v>
      </c>
    </row>
    <row r="236" spans="1:6" ht="14" thickBot="1">
      <c r="A236" s="34"/>
      <c r="B236" s="34"/>
      <c r="C236" s="34"/>
      <c r="D236" s="34"/>
      <c r="E236" s="34"/>
      <c r="F236" s="34"/>
    </row>
    <row r="237" spans="1:6" ht="14" thickBot="1">
      <c r="A237" s="35" t="s">
        <v>16</v>
      </c>
      <c r="B237" s="36"/>
      <c r="C237" s="36"/>
      <c r="D237" s="36"/>
      <c r="E237" s="36"/>
      <c r="F237" s="37"/>
    </row>
    <row r="238" spans="1:6" ht="40.5" customHeight="1" thickBot="1">
      <c r="A238" s="38" t="e">
        <f>+#REF!</f>
        <v>#REF!</v>
      </c>
      <c r="B238" s="860" t="e">
        <f>+#REF!</f>
        <v>#REF!</v>
      </c>
      <c r="C238" s="860"/>
      <c r="D238" s="860"/>
      <c r="E238" s="12" t="s">
        <v>17</v>
      </c>
      <c r="F238" s="13" t="e">
        <f>+#REF!</f>
        <v>#REF!</v>
      </c>
    </row>
    <row r="239" spans="1:6" ht="14" thickBot="1">
      <c r="A239" s="14"/>
      <c r="B239" s="15"/>
      <c r="C239" s="15"/>
      <c r="D239" s="15"/>
      <c r="E239" s="16"/>
      <c r="F239" s="17"/>
    </row>
    <row r="240" spans="1:6" ht="14" thickBot="1">
      <c r="A240" s="846" t="s">
        <v>18</v>
      </c>
      <c r="B240" s="847"/>
      <c r="C240" s="847"/>
      <c r="D240" s="847"/>
      <c r="E240" s="847"/>
      <c r="F240" s="848"/>
    </row>
    <row r="241" spans="1:6">
      <c r="A241" s="856" t="s">
        <v>19</v>
      </c>
      <c r="B241" s="857"/>
      <c r="C241" s="18" t="s">
        <v>20</v>
      </c>
      <c r="D241" s="18" t="s">
        <v>21</v>
      </c>
      <c r="E241" s="19" t="s">
        <v>22</v>
      </c>
      <c r="F241" s="20" t="s">
        <v>23</v>
      </c>
    </row>
    <row r="242" spans="1:6">
      <c r="A242" s="849" t="s">
        <v>24</v>
      </c>
      <c r="B242" s="850"/>
      <c r="C242" s="23" t="s">
        <v>25</v>
      </c>
      <c r="D242" s="24">
        <f>+F251</f>
        <v>6943.8964049784245</v>
      </c>
      <c r="E242" s="25">
        <v>0.03</v>
      </c>
      <c r="F242" s="26">
        <f>+D242*E242</f>
        <v>208.31689214935273</v>
      </c>
    </row>
    <row r="243" spans="1:6">
      <c r="A243" s="21"/>
      <c r="B243" s="22"/>
      <c r="C243" s="23"/>
      <c r="D243" s="24"/>
      <c r="E243" s="25"/>
      <c r="F243" s="28"/>
    </row>
    <row r="244" spans="1:6" ht="14" thickBot="1">
      <c r="A244" s="14"/>
      <c r="B244" s="15"/>
      <c r="C244" s="15"/>
      <c r="D244" s="851" t="s">
        <v>26</v>
      </c>
      <c r="E244" s="852"/>
      <c r="F244" s="29">
        <f>SUM(F242:F243)</f>
        <v>208.31689214935273</v>
      </c>
    </row>
    <row r="245" spans="1:6" ht="14" thickBot="1">
      <c r="A245" s="846" t="s">
        <v>27</v>
      </c>
      <c r="B245" s="847"/>
      <c r="C245" s="847"/>
      <c r="D245" s="847"/>
      <c r="E245" s="847"/>
      <c r="F245" s="848"/>
    </row>
    <row r="246" spans="1:6">
      <c r="A246" s="856" t="s">
        <v>19</v>
      </c>
      <c r="B246" s="857"/>
      <c r="C246" s="18" t="s">
        <v>28</v>
      </c>
      <c r="D246" s="18" t="s">
        <v>29</v>
      </c>
      <c r="E246" s="19" t="s">
        <v>30</v>
      </c>
      <c r="F246" s="20" t="s">
        <v>23</v>
      </c>
    </row>
    <row r="247" spans="1:6">
      <c r="A247" s="849" t="s">
        <v>66</v>
      </c>
      <c r="B247" s="850"/>
      <c r="C247" s="23" t="s">
        <v>28</v>
      </c>
      <c r="D247" s="24">
        <f>'ANALISIS BASICOS E INSUMOS'!C466</f>
        <v>12600</v>
      </c>
      <c r="E247" s="25">
        <v>1</v>
      </c>
      <c r="F247" s="28">
        <f>D247*E247</f>
        <v>12600</v>
      </c>
    </row>
    <row r="248" spans="1:6" ht="14" thickBot="1">
      <c r="A248" s="14"/>
      <c r="B248" s="15"/>
      <c r="C248" s="15"/>
      <c r="D248" s="851" t="s">
        <v>26</v>
      </c>
      <c r="E248" s="852"/>
      <c r="F248" s="31">
        <f>SUM(F247:F247)</f>
        <v>12600</v>
      </c>
    </row>
    <row r="249" spans="1:6" ht="14" thickBot="1">
      <c r="A249" s="846" t="s">
        <v>31</v>
      </c>
      <c r="B249" s="847"/>
      <c r="C249" s="847"/>
      <c r="D249" s="847"/>
      <c r="E249" s="847"/>
      <c r="F249" s="848"/>
    </row>
    <row r="250" spans="1:6">
      <c r="A250" s="32" t="s">
        <v>30</v>
      </c>
      <c r="B250" s="18" t="s">
        <v>32</v>
      </c>
      <c r="C250" s="18" t="s">
        <v>33</v>
      </c>
      <c r="D250" s="18" t="s">
        <v>34</v>
      </c>
      <c r="E250" s="19" t="s">
        <v>22</v>
      </c>
      <c r="F250" s="20" t="s">
        <v>23</v>
      </c>
    </row>
    <row r="251" spans="1:6">
      <c r="A251" s="849" t="s">
        <v>57</v>
      </c>
      <c r="B251" s="850"/>
      <c r="C251" s="24">
        <v>27775.585619913698</v>
      </c>
      <c r="D251" s="24"/>
      <c r="E251" s="25">
        <v>0.25</v>
      </c>
      <c r="F251" s="28">
        <f>+E251*C251</f>
        <v>6943.8964049784245</v>
      </c>
    </row>
    <row r="252" spans="1:6">
      <c r="A252" s="849"/>
      <c r="B252" s="850"/>
      <c r="C252" s="24"/>
      <c r="D252" s="24"/>
      <c r="E252" s="25"/>
      <c r="F252" s="28"/>
    </row>
    <row r="253" spans="1:6" ht="14" thickBot="1">
      <c r="A253" s="14"/>
      <c r="B253" s="15"/>
      <c r="C253" s="15"/>
      <c r="D253" s="851" t="s">
        <v>26</v>
      </c>
      <c r="E253" s="852"/>
      <c r="F253" s="28">
        <f>SUM(F251:F252)</f>
        <v>6943.8964049784245</v>
      </c>
    </row>
    <row r="254" spans="1:6" ht="14" thickBot="1">
      <c r="A254" s="853" t="s">
        <v>36</v>
      </c>
      <c r="B254" s="854"/>
      <c r="C254" s="854"/>
      <c r="D254" s="854"/>
      <c r="E254" s="855"/>
      <c r="F254" s="33">
        <f>+F253+F248+F244</f>
        <v>19752.213297127779</v>
      </c>
    </row>
    <row r="255" spans="1:6" ht="14" thickBot="1">
      <c r="A255" s="34"/>
      <c r="B255" s="34"/>
      <c r="C255" s="34"/>
      <c r="D255" s="34"/>
      <c r="E255" s="34"/>
      <c r="F255" s="34"/>
    </row>
    <row r="256" spans="1:6" ht="14" thickBot="1">
      <c r="A256" s="35" t="s">
        <v>16</v>
      </c>
      <c r="B256" s="36"/>
      <c r="C256" s="36"/>
      <c r="D256" s="36"/>
      <c r="E256" s="36"/>
      <c r="F256" s="37"/>
    </row>
    <row r="257" spans="1:6" ht="34.5" customHeight="1" thickBot="1">
      <c r="A257" s="38" t="e">
        <f>+#REF!</f>
        <v>#REF!</v>
      </c>
      <c r="B257" s="860" t="e">
        <f>+#REF!</f>
        <v>#REF!</v>
      </c>
      <c r="C257" s="860"/>
      <c r="D257" s="860"/>
      <c r="E257" s="12" t="s">
        <v>17</v>
      </c>
      <c r="F257" s="13" t="e">
        <f>+#REF!</f>
        <v>#REF!</v>
      </c>
    </row>
    <row r="258" spans="1:6" ht="14" thickBot="1">
      <c r="A258" s="14"/>
      <c r="B258" s="15"/>
      <c r="C258" s="15"/>
      <c r="D258" s="15"/>
      <c r="E258" s="16"/>
      <c r="F258" s="17"/>
    </row>
    <row r="259" spans="1:6" ht="14" thickBot="1">
      <c r="A259" s="846" t="s">
        <v>18</v>
      </c>
      <c r="B259" s="847"/>
      <c r="C259" s="847"/>
      <c r="D259" s="847"/>
      <c r="E259" s="847"/>
      <c r="F259" s="848"/>
    </row>
    <row r="260" spans="1:6">
      <c r="A260" s="856" t="s">
        <v>19</v>
      </c>
      <c r="B260" s="857"/>
      <c r="C260" s="18" t="s">
        <v>20</v>
      </c>
      <c r="D260" s="18" t="s">
        <v>21</v>
      </c>
      <c r="E260" s="19" t="s">
        <v>22</v>
      </c>
      <c r="F260" s="20" t="s">
        <v>23</v>
      </c>
    </row>
    <row r="261" spans="1:6">
      <c r="A261" s="849" t="s">
        <v>24</v>
      </c>
      <c r="B261" s="850"/>
      <c r="C261" s="23" t="s">
        <v>25</v>
      </c>
      <c r="D261" s="24">
        <f>+F270</f>
        <v>152.76572090952533</v>
      </c>
      <c r="E261" s="25">
        <v>0.03</v>
      </c>
      <c r="F261" s="26">
        <f>+D261*E261</f>
        <v>4.5829716272857599</v>
      </c>
    </row>
    <row r="262" spans="1:6">
      <c r="A262" s="21"/>
      <c r="B262" s="22"/>
      <c r="C262" s="23"/>
      <c r="D262" s="24"/>
      <c r="E262" s="25"/>
      <c r="F262" s="28"/>
    </row>
    <row r="263" spans="1:6" ht="14" thickBot="1">
      <c r="A263" s="14"/>
      <c r="B263" s="15"/>
      <c r="C263" s="15"/>
      <c r="D263" s="851" t="s">
        <v>26</v>
      </c>
      <c r="E263" s="852"/>
      <c r="F263" s="29">
        <f>SUM(F261:F262)</f>
        <v>4.5829716272857599</v>
      </c>
    </row>
    <row r="264" spans="1:6" ht="14" thickBot="1">
      <c r="A264" s="846" t="s">
        <v>27</v>
      </c>
      <c r="B264" s="847"/>
      <c r="C264" s="847"/>
      <c r="D264" s="847"/>
      <c r="E264" s="847"/>
      <c r="F264" s="848"/>
    </row>
    <row r="265" spans="1:6">
      <c r="A265" s="856" t="s">
        <v>19</v>
      </c>
      <c r="B265" s="857"/>
      <c r="C265" s="18" t="s">
        <v>28</v>
      </c>
      <c r="D265" s="18" t="s">
        <v>29</v>
      </c>
      <c r="E265" s="19" t="s">
        <v>30</v>
      </c>
      <c r="F265" s="20" t="s">
        <v>23</v>
      </c>
    </row>
    <row r="266" spans="1:6" ht="26.25" customHeight="1">
      <c r="A266" s="858" t="s">
        <v>67</v>
      </c>
      <c r="B266" s="859"/>
      <c r="C266" s="23" t="s">
        <v>28</v>
      </c>
      <c r="D266" s="24">
        <f>'ANALISIS BASICOS E INSUMOS'!C467</f>
        <v>4560</v>
      </c>
      <c r="E266" s="25">
        <v>1</v>
      </c>
      <c r="F266" s="28">
        <f>D266*E266</f>
        <v>4560</v>
      </c>
    </row>
    <row r="267" spans="1:6" ht="14" thickBot="1">
      <c r="A267" s="14"/>
      <c r="B267" s="15"/>
      <c r="C267" s="15"/>
      <c r="D267" s="851" t="s">
        <v>26</v>
      </c>
      <c r="E267" s="852"/>
      <c r="F267" s="31">
        <f>SUM(F266:F266)</f>
        <v>4560</v>
      </c>
    </row>
    <row r="268" spans="1:6" ht="14" thickBot="1">
      <c r="A268" s="846" t="s">
        <v>31</v>
      </c>
      <c r="B268" s="847"/>
      <c r="C268" s="847"/>
      <c r="D268" s="847"/>
      <c r="E268" s="847"/>
      <c r="F268" s="848"/>
    </row>
    <row r="269" spans="1:6">
      <c r="A269" s="32" t="s">
        <v>30</v>
      </c>
      <c r="B269" s="18" t="s">
        <v>32</v>
      </c>
      <c r="C269" s="18" t="s">
        <v>33</v>
      </c>
      <c r="D269" s="18" t="s">
        <v>34</v>
      </c>
      <c r="E269" s="19" t="s">
        <v>22</v>
      </c>
      <c r="F269" s="20" t="s">
        <v>23</v>
      </c>
    </row>
    <row r="270" spans="1:6">
      <c r="A270" s="849" t="s">
        <v>57</v>
      </c>
      <c r="B270" s="850"/>
      <c r="C270" s="24">
        <v>27775.585619913698</v>
      </c>
      <c r="D270" s="24"/>
      <c r="E270" s="30">
        <v>5.4999999999999997E-3</v>
      </c>
      <c r="F270" s="26">
        <f>+E270*C270</f>
        <v>152.76572090952533</v>
      </c>
    </row>
    <row r="271" spans="1:6">
      <c r="A271" s="849"/>
      <c r="B271" s="850"/>
      <c r="C271" s="24"/>
      <c r="D271" s="24"/>
      <c r="E271" s="25"/>
      <c r="F271" s="28"/>
    </row>
    <row r="272" spans="1:6" ht="14" thickBot="1">
      <c r="A272" s="14"/>
      <c r="B272" s="15"/>
      <c r="C272" s="15"/>
      <c r="D272" s="851" t="s">
        <v>26</v>
      </c>
      <c r="E272" s="852"/>
      <c r="F272" s="26">
        <f>SUM(F270:F271)</f>
        <v>152.76572090952533</v>
      </c>
    </row>
    <row r="273" spans="1:6" ht="14" thickBot="1">
      <c r="A273" s="853" t="s">
        <v>36</v>
      </c>
      <c r="B273" s="854"/>
      <c r="C273" s="854"/>
      <c r="D273" s="854"/>
      <c r="E273" s="855"/>
      <c r="F273" s="33">
        <f>+F272+F267+F263</f>
        <v>4717.3486925368106</v>
      </c>
    </row>
    <row r="274" spans="1:6" ht="14" thickBot="1">
      <c r="A274" s="34"/>
      <c r="B274" s="34"/>
      <c r="C274" s="34"/>
      <c r="D274" s="34"/>
      <c r="E274" s="34"/>
      <c r="F274" s="34"/>
    </row>
    <row r="275" spans="1:6" ht="14" thickBot="1">
      <c r="A275" s="35" t="s">
        <v>16</v>
      </c>
      <c r="B275" s="36"/>
      <c r="C275" s="36"/>
      <c r="D275" s="36"/>
      <c r="E275" s="36"/>
      <c r="F275" s="37"/>
    </row>
    <row r="276" spans="1:6" ht="15" thickBot="1">
      <c r="A276" s="38" t="e">
        <f>+#REF!</f>
        <v>#REF!</v>
      </c>
      <c r="B276" s="860" t="e">
        <f>+#REF!</f>
        <v>#REF!</v>
      </c>
      <c r="C276" s="860"/>
      <c r="D276" s="860"/>
      <c r="E276" s="12" t="s">
        <v>17</v>
      </c>
      <c r="F276" s="13" t="e">
        <f>+#REF!</f>
        <v>#REF!</v>
      </c>
    </row>
    <row r="277" spans="1:6" ht="14" thickBot="1">
      <c r="A277" s="14"/>
      <c r="B277" s="15"/>
      <c r="C277" s="15"/>
      <c r="D277" s="15"/>
      <c r="E277" s="16"/>
      <c r="F277" s="17"/>
    </row>
    <row r="278" spans="1:6" ht="14" thickBot="1">
      <c r="A278" s="846" t="s">
        <v>18</v>
      </c>
      <c r="B278" s="847"/>
      <c r="C278" s="847"/>
      <c r="D278" s="847"/>
      <c r="E278" s="847"/>
      <c r="F278" s="848"/>
    </row>
    <row r="279" spans="1:6">
      <c r="A279" s="856" t="s">
        <v>19</v>
      </c>
      <c r="B279" s="857"/>
      <c r="C279" s="18" t="s">
        <v>20</v>
      </c>
      <c r="D279" s="18" t="s">
        <v>21</v>
      </c>
      <c r="E279" s="19" t="s">
        <v>22</v>
      </c>
      <c r="F279" s="20" t="s">
        <v>23</v>
      </c>
    </row>
    <row r="280" spans="1:6">
      <c r="A280" s="849" t="s">
        <v>24</v>
      </c>
      <c r="B280" s="850"/>
      <c r="C280" s="23" t="s">
        <v>25</v>
      </c>
      <c r="D280" s="24">
        <f>+F289</f>
        <v>222.20468495930959</v>
      </c>
      <c r="E280" s="25">
        <v>0.03</v>
      </c>
      <c r="F280" s="26">
        <f>+D280*E280</f>
        <v>6.6661405487792873</v>
      </c>
    </row>
    <row r="281" spans="1:6">
      <c r="A281" s="21"/>
      <c r="B281" s="22"/>
      <c r="C281" s="23"/>
      <c r="D281" s="24"/>
      <c r="E281" s="25"/>
      <c r="F281" s="28"/>
    </row>
    <row r="282" spans="1:6" ht="14" thickBot="1">
      <c r="A282" s="14"/>
      <c r="B282" s="15"/>
      <c r="C282" s="15"/>
      <c r="D282" s="851" t="s">
        <v>26</v>
      </c>
      <c r="E282" s="852"/>
      <c r="F282" s="29">
        <f>SUM(F280:F281)</f>
        <v>6.6661405487792873</v>
      </c>
    </row>
    <row r="283" spans="1:6" ht="14" thickBot="1">
      <c r="A283" s="846" t="s">
        <v>27</v>
      </c>
      <c r="B283" s="847"/>
      <c r="C283" s="847"/>
      <c r="D283" s="847"/>
      <c r="E283" s="847"/>
      <c r="F283" s="848"/>
    </row>
    <row r="284" spans="1:6">
      <c r="A284" s="856" t="s">
        <v>19</v>
      </c>
      <c r="B284" s="857"/>
      <c r="C284" s="18" t="s">
        <v>28</v>
      </c>
      <c r="D284" s="18" t="s">
        <v>29</v>
      </c>
      <c r="E284" s="19" t="s">
        <v>30</v>
      </c>
      <c r="F284" s="20" t="s">
        <v>23</v>
      </c>
    </row>
    <row r="285" spans="1:6">
      <c r="A285" s="858" t="s">
        <v>68</v>
      </c>
      <c r="B285" s="859"/>
      <c r="C285" s="23" t="s">
        <v>28</v>
      </c>
      <c r="D285" s="24">
        <f>'ANALISIS BASICOS E INSUMOS'!C468</f>
        <v>4950</v>
      </c>
      <c r="E285" s="25">
        <v>1</v>
      </c>
      <c r="F285" s="28">
        <f>D285*E285</f>
        <v>4950</v>
      </c>
    </row>
    <row r="286" spans="1:6" ht="14" thickBot="1">
      <c r="A286" s="14"/>
      <c r="B286" s="15"/>
      <c r="C286" s="15"/>
      <c r="D286" s="851" t="s">
        <v>26</v>
      </c>
      <c r="E286" s="852"/>
      <c r="F286" s="31">
        <f>SUM(F285:F285)</f>
        <v>4950</v>
      </c>
    </row>
    <row r="287" spans="1:6" ht="14" thickBot="1">
      <c r="A287" s="846" t="s">
        <v>31</v>
      </c>
      <c r="B287" s="847"/>
      <c r="C287" s="847"/>
      <c r="D287" s="847"/>
      <c r="E287" s="847"/>
      <c r="F287" s="848"/>
    </row>
    <row r="288" spans="1:6">
      <c r="A288" s="32" t="s">
        <v>30</v>
      </c>
      <c r="B288" s="18" t="s">
        <v>32</v>
      </c>
      <c r="C288" s="18" t="s">
        <v>33</v>
      </c>
      <c r="D288" s="18" t="s">
        <v>34</v>
      </c>
      <c r="E288" s="19" t="s">
        <v>22</v>
      </c>
      <c r="F288" s="20" t="s">
        <v>23</v>
      </c>
    </row>
    <row r="289" spans="1:6">
      <c r="A289" s="849" t="s">
        <v>57</v>
      </c>
      <c r="B289" s="850"/>
      <c r="C289" s="24">
        <v>27775.585619913698</v>
      </c>
      <c r="D289" s="24"/>
      <c r="E289" s="30">
        <v>8.0000000000000002E-3</v>
      </c>
      <c r="F289" s="26">
        <f>+E289*C289</f>
        <v>222.20468495930959</v>
      </c>
    </row>
    <row r="290" spans="1:6">
      <c r="A290" s="849"/>
      <c r="B290" s="850"/>
      <c r="C290" s="24"/>
      <c r="D290" s="24"/>
      <c r="E290" s="25"/>
      <c r="F290" s="28"/>
    </row>
    <row r="291" spans="1:6" ht="14" thickBot="1">
      <c r="A291" s="14"/>
      <c r="B291" s="15"/>
      <c r="C291" s="15"/>
      <c r="D291" s="851" t="s">
        <v>26</v>
      </c>
      <c r="E291" s="852"/>
      <c r="F291" s="26">
        <f>SUM(F289:F290)</f>
        <v>222.20468495930959</v>
      </c>
    </row>
    <row r="292" spans="1:6" ht="14" thickBot="1">
      <c r="A292" s="853" t="s">
        <v>36</v>
      </c>
      <c r="B292" s="854"/>
      <c r="C292" s="854"/>
      <c r="D292" s="854"/>
      <c r="E292" s="855"/>
      <c r="F292" s="33">
        <f>+F291+F286+F282</f>
        <v>5178.8708255080892</v>
      </c>
    </row>
    <row r="293" spans="1:6" ht="14" thickBot="1">
      <c r="A293" s="34"/>
      <c r="B293" s="34"/>
      <c r="C293" s="34"/>
      <c r="D293" s="34"/>
      <c r="E293" s="34"/>
      <c r="F293" s="34"/>
    </row>
    <row r="294" spans="1:6" ht="14" thickBot="1">
      <c r="A294" s="35" t="s">
        <v>16</v>
      </c>
      <c r="B294" s="36"/>
      <c r="C294" s="36"/>
      <c r="D294" s="36"/>
      <c r="E294" s="36"/>
      <c r="F294" s="37"/>
    </row>
    <row r="295" spans="1:6" ht="28.5" customHeight="1" thickBot="1">
      <c r="A295" s="38" t="e">
        <f>+#REF!</f>
        <v>#REF!</v>
      </c>
      <c r="B295" s="860" t="e">
        <f>+#REF!</f>
        <v>#REF!</v>
      </c>
      <c r="C295" s="860"/>
      <c r="D295" s="860"/>
      <c r="E295" s="12" t="s">
        <v>17</v>
      </c>
      <c r="F295" s="13" t="e">
        <f>+#REF!</f>
        <v>#REF!</v>
      </c>
    </row>
    <row r="296" spans="1:6" ht="14" thickBot="1">
      <c r="A296" s="14"/>
      <c r="B296" s="15"/>
      <c r="C296" s="15"/>
      <c r="D296" s="15"/>
      <c r="E296" s="16"/>
      <c r="F296" s="17"/>
    </row>
    <row r="297" spans="1:6" ht="14" thickBot="1">
      <c r="A297" s="846" t="s">
        <v>18</v>
      </c>
      <c r="B297" s="847"/>
      <c r="C297" s="847"/>
      <c r="D297" s="847"/>
      <c r="E297" s="847"/>
      <c r="F297" s="848"/>
    </row>
    <row r="298" spans="1:6">
      <c r="A298" s="856" t="s">
        <v>19</v>
      </c>
      <c r="B298" s="857"/>
      <c r="C298" s="18" t="s">
        <v>20</v>
      </c>
      <c r="D298" s="18" t="s">
        <v>21</v>
      </c>
      <c r="E298" s="19" t="s">
        <v>22</v>
      </c>
      <c r="F298" s="20" t="s">
        <v>23</v>
      </c>
    </row>
    <row r="299" spans="1:6">
      <c r="A299" s="849" t="s">
        <v>24</v>
      </c>
      <c r="B299" s="850"/>
      <c r="C299" s="23" t="s">
        <v>25</v>
      </c>
      <c r="D299" s="24">
        <f>+F309</f>
        <v>15276.572090952535</v>
      </c>
      <c r="E299" s="25">
        <v>0.03</v>
      </c>
      <c r="F299" s="26">
        <f>+D299*E299</f>
        <v>458.29716272857604</v>
      </c>
    </row>
    <row r="300" spans="1:6">
      <c r="A300" s="21"/>
      <c r="B300" s="22"/>
      <c r="C300" s="23"/>
      <c r="D300" s="24"/>
      <c r="E300" s="25"/>
      <c r="F300" s="28"/>
    </row>
    <row r="301" spans="1:6" ht="14" thickBot="1">
      <c r="A301" s="14"/>
      <c r="B301" s="15"/>
      <c r="C301" s="15"/>
      <c r="D301" s="851" t="s">
        <v>26</v>
      </c>
      <c r="E301" s="852"/>
      <c r="F301" s="29">
        <f>SUM(F299:F300)</f>
        <v>458.29716272857604</v>
      </c>
    </row>
    <row r="302" spans="1:6" ht="14" thickBot="1">
      <c r="A302" s="846" t="s">
        <v>27</v>
      </c>
      <c r="B302" s="847"/>
      <c r="C302" s="847"/>
      <c r="D302" s="847"/>
      <c r="E302" s="847"/>
      <c r="F302" s="848"/>
    </row>
    <row r="303" spans="1:6">
      <c r="A303" s="856" t="s">
        <v>19</v>
      </c>
      <c r="B303" s="857"/>
      <c r="C303" s="18" t="s">
        <v>28</v>
      </c>
      <c r="D303" s="18" t="s">
        <v>29</v>
      </c>
      <c r="E303" s="19" t="s">
        <v>30</v>
      </c>
      <c r="F303" s="20" t="s">
        <v>23</v>
      </c>
    </row>
    <row r="304" spans="1:6" ht="38.25" customHeight="1">
      <c r="A304" s="858" t="s">
        <v>70</v>
      </c>
      <c r="B304" s="859"/>
      <c r="C304" s="23" t="s">
        <v>28</v>
      </c>
      <c r="D304" s="24">
        <f>'ANALISIS BASICOS E INSUMOS'!C470</f>
        <v>56000</v>
      </c>
      <c r="E304" s="25">
        <v>1</v>
      </c>
      <c r="F304" s="28">
        <f>D304*E304</f>
        <v>56000</v>
      </c>
    </row>
    <row r="305" spans="1:6" ht="19.5" customHeight="1">
      <c r="A305" s="858" t="s">
        <v>71</v>
      </c>
      <c r="B305" s="859"/>
      <c r="C305" s="23" t="s">
        <v>72</v>
      </c>
      <c r="D305" s="24">
        <f>'ANALISIS BASICOS E INSUMOS'!C471</f>
        <v>38000</v>
      </c>
      <c r="E305" s="25">
        <v>5.0000000000000001E-3</v>
      </c>
      <c r="F305" s="28">
        <f>D305*E305</f>
        <v>190</v>
      </c>
    </row>
    <row r="306" spans="1:6" ht="14" thickBot="1">
      <c r="A306" s="14"/>
      <c r="B306" s="15"/>
      <c r="C306" s="15"/>
      <c r="D306" s="844" t="s">
        <v>26</v>
      </c>
      <c r="E306" s="845"/>
      <c r="F306" s="40">
        <f>SUM(F304:F305)</f>
        <v>56190</v>
      </c>
    </row>
    <row r="307" spans="1:6" ht="14" thickBot="1">
      <c r="A307" s="846" t="s">
        <v>31</v>
      </c>
      <c r="B307" s="847"/>
      <c r="C307" s="847"/>
      <c r="D307" s="847"/>
      <c r="E307" s="847"/>
      <c r="F307" s="848"/>
    </row>
    <row r="308" spans="1:6">
      <c r="A308" s="32" t="s">
        <v>30</v>
      </c>
      <c r="B308" s="18" t="s">
        <v>32</v>
      </c>
      <c r="C308" s="18" t="s">
        <v>33</v>
      </c>
      <c r="D308" s="18" t="s">
        <v>34</v>
      </c>
      <c r="E308" s="19" t="s">
        <v>22</v>
      </c>
      <c r="F308" s="20" t="s">
        <v>23</v>
      </c>
    </row>
    <row r="309" spans="1:6">
      <c r="A309" s="849" t="s">
        <v>57</v>
      </c>
      <c r="B309" s="850"/>
      <c r="C309" s="24">
        <v>27775.585619913698</v>
      </c>
      <c r="D309" s="24"/>
      <c r="E309" s="30">
        <v>0.55000000000000004</v>
      </c>
      <c r="F309" s="26">
        <f>+E309*C309</f>
        <v>15276.572090952535</v>
      </c>
    </row>
    <row r="310" spans="1:6">
      <c r="A310" s="849"/>
      <c r="B310" s="850"/>
      <c r="C310" s="24"/>
      <c r="D310" s="24"/>
      <c r="E310" s="25"/>
      <c r="F310" s="28"/>
    </row>
    <row r="311" spans="1:6" ht="14" thickBot="1">
      <c r="A311" s="14"/>
      <c r="B311" s="15"/>
      <c r="C311" s="15"/>
      <c r="D311" s="851" t="s">
        <v>26</v>
      </c>
      <c r="E311" s="852"/>
      <c r="F311" s="26">
        <f>SUM(F309:F310)</f>
        <v>15276.572090952535</v>
      </c>
    </row>
    <row r="312" spans="1:6" ht="14" thickBot="1">
      <c r="A312" s="853" t="s">
        <v>36</v>
      </c>
      <c r="B312" s="854"/>
      <c r="C312" s="854"/>
      <c r="D312" s="854"/>
      <c r="E312" s="855"/>
      <c r="F312" s="33">
        <f>+F311+F306+F301</f>
        <v>71924.869253681114</v>
      </c>
    </row>
    <row r="313" spans="1:6">
      <c r="A313" s="34"/>
      <c r="B313" s="34"/>
      <c r="C313" s="34"/>
      <c r="D313" s="34"/>
      <c r="E313" s="34"/>
      <c r="F313" s="34"/>
    </row>
    <row r="318" spans="1:6" ht="14" thickBot="1">
      <c r="A318" s="307"/>
      <c r="B318" s="307"/>
      <c r="C318" s="307"/>
      <c r="D318" s="307"/>
      <c r="E318" s="307"/>
    </row>
    <row r="319" spans="1:6" ht="16">
      <c r="A319" s="6" t="e">
        <f>+#REF!</f>
        <v>#REF!</v>
      </c>
      <c r="B319" s="6"/>
      <c r="C319" s="6"/>
      <c r="D319" s="6"/>
    </row>
    <row r="320" spans="1:6" ht="16">
      <c r="A320" s="6" t="e">
        <f>+#REF!</f>
        <v>#REF!</v>
      </c>
      <c r="B320" s="6"/>
      <c r="C320" s="6"/>
      <c r="D320" s="6"/>
    </row>
    <row r="321" spans="1:4" ht="16">
      <c r="A321" s="6" t="e">
        <f>+#REF!</f>
        <v>#REF!</v>
      </c>
      <c r="B321" s="6"/>
      <c r="C321" s="6"/>
      <c r="D321" s="6"/>
    </row>
    <row r="322" spans="1:4" ht="16">
      <c r="A322" s="800"/>
      <c r="B322" s="800"/>
      <c r="C322" s="800"/>
      <c r="D322" s="800"/>
    </row>
  </sheetData>
  <mergeCells count="206">
    <mergeCell ref="A1:F1"/>
    <mergeCell ref="A2:F2"/>
    <mergeCell ref="B3:F3"/>
    <mergeCell ref="B5:D5"/>
    <mergeCell ref="A7:F7"/>
    <mergeCell ref="A8:B8"/>
    <mergeCell ref="A18:B18"/>
    <mergeCell ref="D19:E19"/>
    <mergeCell ref="A20:F20"/>
    <mergeCell ref="A22:B22"/>
    <mergeCell ref="A23:B23"/>
    <mergeCell ref="D24:E24"/>
    <mergeCell ref="D12:E12"/>
    <mergeCell ref="A13:F13"/>
    <mergeCell ref="A14:B14"/>
    <mergeCell ref="A15:B15"/>
    <mergeCell ref="A16:B16"/>
    <mergeCell ref="A17:B17"/>
    <mergeCell ref="A37:B37"/>
    <mergeCell ref="A38:B38"/>
    <mergeCell ref="A39:B39"/>
    <mergeCell ref="A40:B40"/>
    <mergeCell ref="A41:B41"/>
    <mergeCell ref="D42:E42"/>
    <mergeCell ref="A25:E25"/>
    <mergeCell ref="B28:D28"/>
    <mergeCell ref="A30:F30"/>
    <mergeCell ref="A31:B31"/>
    <mergeCell ref="D35:E35"/>
    <mergeCell ref="A36:F36"/>
    <mergeCell ref="A53:F53"/>
    <mergeCell ref="A54:B54"/>
    <mergeCell ref="D58:E58"/>
    <mergeCell ref="A59:F59"/>
    <mergeCell ref="A60:B60"/>
    <mergeCell ref="A64:B64"/>
    <mergeCell ref="A43:F43"/>
    <mergeCell ref="A45:B45"/>
    <mergeCell ref="A46:B46"/>
    <mergeCell ref="D47:E47"/>
    <mergeCell ref="A48:E48"/>
    <mergeCell ref="B51:D51"/>
    <mergeCell ref="B74:D74"/>
    <mergeCell ref="A76:F76"/>
    <mergeCell ref="A77:B77"/>
    <mergeCell ref="A78:B78"/>
    <mergeCell ref="D81:E81"/>
    <mergeCell ref="A82:F82"/>
    <mergeCell ref="D65:E65"/>
    <mergeCell ref="A66:F66"/>
    <mergeCell ref="A68:B68"/>
    <mergeCell ref="A69:B69"/>
    <mergeCell ref="D70:E70"/>
    <mergeCell ref="A71:E71"/>
    <mergeCell ref="D93:E93"/>
    <mergeCell ref="A94:E94"/>
    <mergeCell ref="B97:D97"/>
    <mergeCell ref="A99:F99"/>
    <mergeCell ref="A100:B100"/>
    <mergeCell ref="A101:B101"/>
    <mergeCell ref="A83:B83"/>
    <mergeCell ref="A87:B87"/>
    <mergeCell ref="D88:E88"/>
    <mergeCell ref="A89:F89"/>
    <mergeCell ref="A91:B91"/>
    <mergeCell ref="A92:B92"/>
    <mergeCell ref="A115:B115"/>
    <mergeCell ref="A116:B116"/>
    <mergeCell ref="D117:E117"/>
    <mergeCell ref="A118:E118"/>
    <mergeCell ref="B121:D121"/>
    <mergeCell ref="A123:F123"/>
    <mergeCell ref="D104:E104"/>
    <mergeCell ref="A105:F105"/>
    <mergeCell ref="A106:B106"/>
    <mergeCell ref="A111:B111"/>
    <mergeCell ref="D112:E112"/>
    <mergeCell ref="A113:F113"/>
    <mergeCell ref="D139:E139"/>
    <mergeCell ref="A140:F140"/>
    <mergeCell ref="A142:B142"/>
    <mergeCell ref="A143:B143"/>
    <mergeCell ref="D144:E144"/>
    <mergeCell ref="A145:E145"/>
    <mergeCell ref="A124:B124"/>
    <mergeCell ref="A125:B125"/>
    <mergeCell ref="D128:E128"/>
    <mergeCell ref="A129:F129"/>
    <mergeCell ref="A130:B130"/>
    <mergeCell ref="A138:B138"/>
    <mergeCell ref="A157:B157"/>
    <mergeCell ref="A165:B165"/>
    <mergeCell ref="D166:E166"/>
    <mergeCell ref="A167:F167"/>
    <mergeCell ref="A169:B169"/>
    <mergeCell ref="A170:B170"/>
    <mergeCell ref="B148:D148"/>
    <mergeCell ref="A150:F150"/>
    <mergeCell ref="A151:B151"/>
    <mergeCell ref="A152:B152"/>
    <mergeCell ref="D155:E155"/>
    <mergeCell ref="A156:F156"/>
    <mergeCell ref="D182:E182"/>
    <mergeCell ref="A183:F183"/>
    <mergeCell ref="A184:B184"/>
    <mergeCell ref="A187:B187"/>
    <mergeCell ref="D188:E188"/>
    <mergeCell ref="A189:F189"/>
    <mergeCell ref="D171:E171"/>
    <mergeCell ref="A172:E172"/>
    <mergeCell ref="B175:D175"/>
    <mergeCell ref="A177:F177"/>
    <mergeCell ref="A178:B178"/>
    <mergeCell ref="A179:B179"/>
    <mergeCell ref="B197:D197"/>
    <mergeCell ref="A199:F199"/>
    <mergeCell ref="A200:B200"/>
    <mergeCell ref="A201:B201"/>
    <mergeCell ref="D203:E203"/>
    <mergeCell ref="A204:F204"/>
    <mergeCell ref="A191:B191"/>
    <mergeCell ref="A192:B192"/>
    <mergeCell ref="D193:E193"/>
    <mergeCell ref="A194:E194"/>
    <mergeCell ref="B216:D216"/>
    <mergeCell ref="A218:F218"/>
    <mergeCell ref="A219:B219"/>
    <mergeCell ref="A220:B220"/>
    <mergeCell ref="A221:B221"/>
    <mergeCell ref="D223:E223"/>
    <mergeCell ref="D212:E212"/>
    <mergeCell ref="A213:E213"/>
    <mergeCell ref="A205:B205"/>
    <mergeCell ref="A206:B206"/>
    <mergeCell ref="D207:E207"/>
    <mergeCell ref="A208:F208"/>
    <mergeCell ref="A210:B210"/>
    <mergeCell ref="A211:B211"/>
    <mergeCell ref="A232:B232"/>
    <mergeCell ref="A233:B233"/>
    <mergeCell ref="D234:E234"/>
    <mergeCell ref="A235:E235"/>
    <mergeCell ref="A224:F224"/>
    <mergeCell ref="A225:B225"/>
    <mergeCell ref="A226:B226"/>
    <mergeCell ref="A228:B228"/>
    <mergeCell ref="D229:E229"/>
    <mergeCell ref="A230:F230"/>
    <mergeCell ref="A245:F245"/>
    <mergeCell ref="A246:B246"/>
    <mergeCell ref="A247:B247"/>
    <mergeCell ref="D248:E248"/>
    <mergeCell ref="A249:F249"/>
    <mergeCell ref="A251:B251"/>
    <mergeCell ref="B238:D238"/>
    <mergeCell ref="A240:F240"/>
    <mergeCell ref="A241:B241"/>
    <mergeCell ref="A242:B242"/>
    <mergeCell ref="D244:E244"/>
    <mergeCell ref="A261:B261"/>
    <mergeCell ref="D263:E263"/>
    <mergeCell ref="A264:F264"/>
    <mergeCell ref="A265:B265"/>
    <mergeCell ref="A266:B266"/>
    <mergeCell ref="D267:E267"/>
    <mergeCell ref="A252:B252"/>
    <mergeCell ref="D253:E253"/>
    <mergeCell ref="A254:E254"/>
    <mergeCell ref="B257:D257"/>
    <mergeCell ref="A259:F259"/>
    <mergeCell ref="A260:B260"/>
    <mergeCell ref="A278:F278"/>
    <mergeCell ref="A279:B279"/>
    <mergeCell ref="A280:B280"/>
    <mergeCell ref="D282:E282"/>
    <mergeCell ref="A283:F283"/>
    <mergeCell ref="A284:B284"/>
    <mergeCell ref="A268:F268"/>
    <mergeCell ref="A270:B270"/>
    <mergeCell ref="A271:B271"/>
    <mergeCell ref="D272:E272"/>
    <mergeCell ref="A273:E273"/>
    <mergeCell ref="B276:D276"/>
    <mergeCell ref="B295:D295"/>
    <mergeCell ref="A297:F297"/>
    <mergeCell ref="A298:B298"/>
    <mergeCell ref="A292:E292"/>
    <mergeCell ref="A285:B285"/>
    <mergeCell ref="D286:E286"/>
    <mergeCell ref="A287:F287"/>
    <mergeCell ref="A289:B289"/>
    <mergeCell ref="A290:B290"/>
    <mergeCell ref="D291:E291"/>
    <mergeCell ref="A322:D322"/>
    <mergeCell ref="D306:E306"/>
    <mergeCell ref="A307:F307"/>
    <mergeCell ref="A309:B309"/>
    <mergeCell ref="A310:B310"/>
    <mergeCell ref="D311:E311"/>
    <mergeCell ref="A312:E312"/>
    <mergeCell ref="A299:B299"/>
    <mergeCell ref="D301:E301"/>
    <mergeCell ref="A302:F302"/>
    <mergeCell ref="A303:B303"/>
    <mergeCell ref="A304:B304"/>
    <mergeCell ref="A305:B305"/>
  </mergeCells>
  <pageMargins left="0.9055118110236221" right="0.9055118110236221" top="2.3228346456692917" bottom="0.74803149606299213" header="0.31496062992125984" footer="0.31496062992125984"/>
  <pageSetup scale="85" orientation="portrait" r:id="rId1"/>
  <headerFooter>
    <oddHeader xml:space="preserve">&amp;L&amp;"-,Normal"&amp;12&amp;G
Corregimiento de San José de Oriente - Municipio de La Paz – Cesar&amp;R&amp;"-,Normal"&amp;12&amp;G
email: gestiproltda@gmail.com
celular: 3116625686
</oddHeader>
  </headerFooter>
  <rowBreaks count="5" manualBreakCount="5">
    <brk id="214" max="16383" man="1"/>
    <brk id="236" max="16383" man="1"/>
    <brk id="255" max="16383" man="1"/>
    <brk id="274" max="16383" man="1"/>
    <brk id="293" max="5" man="1"/>
  </rowBreaks>
  <legacyDrawingHF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rgb="FFFF0000"/>
  </sheetPr>
  <dimension ref="A1:K586"/>
  <sheetViews>
    <sheetView zoomScale="83" zoomScaleNormal="83" zoomScaleSheetLayoutView="67" workbookViewId="0">
      <selection sqref="A1:E1"/>
    </sheetView>
  </sheetViews>
  <sheetFormatPr baseColWidth="10" defaultRowHeight="13"/>
  <cols>
    <col min="1" max="1" width="73" customWidth="1"/>
    <col min="2" max="2" width="9.19921875" style="229" customWidth="1"/>
    <col min="3" max="3" width="19.19921875" style="41" customWidth="1"/>
    <col min="4" max="4" width="21.796875" style="41" customWidth="1"/>
    <col min="5" max="5" width="17.3984375" style="41" customWidth="1"/>
    <col min="6" max="6" width="34.19921875" customWidth="1"/>
    <col min="7" max="7" width="17.19921875" customWidth="1"/>
    <col min="8" max="8" width="10.3984375" bestFit="1" customWidth="1"/>
    <col min="9" max="10" width="11.59765625" bestFit="1" customWidth="1"/>
    <col min="11" max="11" width="12.19921875" bestFit="1" customWidth="1"/>
    <col min="12" max="12" width="11.59765625" bestFit="1" customWidth="1"/>
    <col min="13" max="13" width="13.19921875" bestFit="1" customWidth="1"/>
    <col min="257" max="257" width="73" customWidth="1"/>
    <col min="258" max="258" width="9.19921875" customWidth="1"/>
    <col min="259" max="259" width="19.19921875" customWidth="1"/>
    <col min="260" max="260" width="21.796875" customWidth="1"/>
    <col min="261" max="261" width="17.3984375" customWidth="1"/>
    <col min="262" max="262" width="34.19921875" customWidth="1"/>
    <col min="263" max="263" width="17.19921875" customWidth="1"/>
    <col min="264" max="264" width="10.3984375" bestFit="1" customWidth="1"/>
    <col min="265" max="266" width="11.59765625" bestFit="1" customWidth="1"/>
    <col min="267" max="267" width="12.19921875" bestFit="1" customWidth="1"/>
    <col min="268" max="268" width="11.59765625" bestFit="1" customWidth="1"/>
    <col min="269" max="269" width="13.19921875" bestFit="1" customWidth="1"/>
    <col min="513" max="513" width="73" customWidth="1"/>
    <col min="514" max="514" width="9.19921875" customWidth="1"/>
    <col min="515" max="515" width="19.19921875" customWidth="1"/>
    <col min="516" max="516" width="21.796875" customWidth="1"/>
    <col min="517" max="517" width="17.3984375" customWidth="1"/>
    <col min="518" max="518" width="34.19921875" customWidth="1"/>
    <col min="519" max="519" width="17.19921875" customWidth="1"/>
    <col min="520" max="520" width="10.3984375" bestFit="1" customWidth="1"/>
    <col min="521" max="522" width="11.59765625" bestFit="1" customWidth="1"/>
    <col min="523" max="523" width="12.19921875" bestFit="1" customWidth="1"/>
    <col min="524" max="524" width="11.59765625" bestFit="1" customWidth="1"/>
    <col min="525" max="525" width="13.19921875" bestFit="1" customWidth="1"/>
    <col min="769" max="769" width="73" customWidth="1"/>
    <col min="770" max="770" width="9.19921875" customWidth="1"/>
    <col min="771" max="771" width="19.19921875" customWidth="1"/>
    <col min="772" max="772" width="21.796875" customWidth="1"/>
    <col min="773" max="773" width="17.3984375" customWidth="1"/>
    <col min="774" max="774" width="34.19921875" customWidth="1"/>
    <col min="775" max="775" width="17.19921875" customWidth="1"/>
    <col min="776" max="776" width="10.3984375" bestFit="1" customWidth="1"/>
    <col min="777" max="778" width="11.59765625" bestFit="1" customWidth="1"/>
    <col min="779" max="779" width="12.19921875" bestFit="1" customWidth="1"/>
    <col min="780" max="780" width="11.59765625" bestFit="1" customWidth="1"/>
    <col min="781" max="781" width="13.19921875" bestFit="1" customWidth="1"/>
    <col min="1025" max="1025" width="73" customWidth="1"/>
    <col min="1026" max="1026" width="9.19921875" customWidth="1"/>
    <col min="1027" max="1027" width="19.19921875" customWidth="1"/>
    <col min="1028" max="1028" width="21.796875" customWidth="1"/>
    <col min="1029" max="1029" width="17.3984375" customWidth="1"/>
    <col min="1030" max="1030" width="34.19921875" customWidth="1"/>
    <col min="1031" max="1031" width="17.19921875" customWidth="1"/>
    <col min="1032" max="1032" width="10.3984375" bestFit="1" customWidth="1"/>
    <col min="1033" max="1034" width="11.59765625" bestFit="1" customWidth="1"/>
    <col min="1035" max="1035" width="12.19921875" bestFit="1" customWidth="1"/>
    <col min="1036" max="1036" width="11.59765625" bestFit="1" customWidth="1"/>
    <col min="1037" max="1037" width="13.19921875" bestFit="1" customWidth="1"/>
    <col min="1281" max="1281" width="73" customWidth="1"/>
    <col min="1282" max="1282" width="9.19921875" customWidth="1"/>
    <col min="1283" max="1283" width="19.19921875" customWidth="1"/>
    <col min="1284" max="1284" width="21.796875" customWidth="1"/>
    <col min="1285" max="1285" width="17.3984375" customWidth="1"/>
    <col min="1286" max="1286" width="34.19921875" customWidth="1"/>
    <col min="1287" max="1287" width="17.19921875" customWidth="1"/>
    <col min="1288" max="1288" width="10.3984375" bestFit="1" customWidth="1"/>
    <col min="1289" max="1290" width="11.59765625" bestFit="1" customWidth="1"/>
    <col min="1291" max="1291" width="12.19921875" bestFit="1" customWidth="1"/>
    <col min="1292" max="1292" width="11.59765625" bestFit="1" customWidth="1"/>
    <col min="1293" max="1293" width="13.19921875" bestFit="1" customWidth="1"/>
    <col min="1537" max="1537" width="73" customWidth="1"/>
    <col min="1538" max="1538" width="9.19921875" customWidth="1"/>
    <col min="1539" max="1539" width="19.19921875" customWidth="1"/>
    <col min="1540" max="1540" width="21.796875" customWidth="1"/>
    <col min="1541" max="1541" width="17.3984375" customWidth="1"/>
    <col min="1542" max="1542" width="34.19921875" customWidth="1"/>
    <col min="1543" max="1543" width="17.19921875" customWidth="1"/>
    <col min="1544" max="1544" width="10.3984375" bestFit="1" customWidth="1"/>
    <col min="1545" max="1546" width="11.59765625" bestFit="1" customWidth="1"/>
    <col min="1547" max="1547" width="12.19921875" bestFit="1" customWidth="1"/>
    <col min="1548" max="1548" width="11.59765625" bestFit="1" customWidth="1"/>
    <col min="1549" max="1549" width="13.19921875" bestFit="1" customWidth="1"/>
    <col min="1793" max="1793" width="73" customWidth="1"/>
    <col min="1794" max="1794" width="9.19921875" customWidth="1"/>
    <col min="1795" max="1795" width="19.19921875" customWidth="1"/>
    <col min="1796" max="1796" width="21.796875" customWidth="1"/>
    <col min="1797" max="1797" width="17.3984375" customWidth="1"/>
    <col min="1798" max="1798" width="34.19921875" customWidth="1"/>
    <col min="1799" max="1799" width="17.19921875" customWidth="1"/>
    <col min="1800" max="1800" width="10.3984375" bestFit="1" customWidth="1"/>
    <col min="1801" max="1802" width="11.59765625" bestFit="1" customWidth="1"/>
    <col min="1803" max="1803" width="12.19921875" bestFit="1" customWidth="1"/>
    <col min="1804" max="1804" width="11.59765625" bestFit="1" customWidth="1"/>
    <col min="1805" max="1805" width="13.19921875" bestFit="1" customWidth="1"/>
    <col min="2049" max="2049" width="73" customWidth="1"/>
    <col min="2050" max="2050" width="9.19921875" customWidth="1"/>
    <col min="2051" max="2051" width="19.19921875" customWidth="1"/>
    <col min="2052" max="2052" width="21.796875" customWidth="1"/>
    <col min="2053" max="2053" width="17.3984375" customWidth="1"/>
    <col min="2054" max="2054" width="34.19921875" customWidth="1"/>
    <col min="2055" max="2055" width="17.19921875" customWidth="1"/>
    <col min="2056" max="2056" width="10.3984375" bestFit="1" customWidth="1"/>
    <col min="2057" max="2058" width="11.59765625" bestFit="1" customWidth="1"/>
    <col min="2059" max="2059" width="12.19921875" bestFit="1" customWidth="1"/>
    <col min="2060" max="2060" width="11.59765625" bestFit="1" customWidth="1"/>
    <col min="2061" max="2061" width="13.19921875" bestFit="1" customWidth="1"/>
    <col min="2305" max="2305" width="73" customWidth="1"/>
    <col min="2306" max="2306" width="9.19921875" customWidth="1"/>
    <col min="2307" max="2307" width="19.19921875" customWidth="1"/>
    <col min="2308" max="2308" width="21.796875" customWidth="1"/>
    <col min="2309" max="2309" width="17.3984375" customWidth="1"/>
    <col min="2310" max="2310" width="34.19921875" customWidth="1"/>
    <col min="2311" max="2311" width="17.19921875" customWidth="1"/>
    <col min="2312" max="2312" width="10.3984375" bestFit="1" customWidth="1"/>
    <col min="2313" max="2314" width="11.59765625" bestFit="1" customWidth="1"/>
    <col min="2315" max="2315" width="12.19921875" bestFit="1" customWidth="1"/>
    <col min="2316" max="2316" width="11.59765625" bestFit="1" customWidth="1"/>
    <col min="2317" max="2317" width="13.19921875" bestFit="1" customWidth="1"/>
    <col min="2561" max="2561" width="73" customWidth="1"/>
    <col min="2562" max="2562" width="9.19921875" customWidth="1"/>
    <col min="2563" max="2563" width="19.19921875" customWidth="1"/>
    <col min="2564" max="2564" width="21.796875" customWidth="1"/>
    <col min="2565" max="2565" width="17.3984375" customWidth="1"/>
    <col min="2566" max="2566" width="34.19921875" customWidth="1"/>
    <col min="2567" max="2567" width="17.19921875" customWidth="1"/>
    <col min="2568" max="2568" width="10.3984375" bestFit="1" customWidth="1"/>
    <col min="2569" max="2570" width="11.59765625" bestFit="1" customWidth="1"/>
    <col min="2571" max="2571" width="12.19921875" bestFit="1" customWidth="1"/>
    <col min="2572" max="2572" width="11.59765625" bestFit="1" customWidth="1"/>
    <col min="2573" max="2573" width="13.19921875" bestFit="1" customWidth="1"/>
    <col min="2817" max="2817" width="73" customWidth="1"/>
    <col min="2818" max="2818" width="9.19921875" customWidth="1"/>
    <col min="2819" max="2819" width="19.19921875" customWidth="1"/>
    <col min="2820" max="2820" width="21.796875" customWidth="1"/>
    <col min="2821" max="2821" width="17.3984375" customWidth="1"/>
    <col min="2822" max="2822" width="34.19921875" customWidth="1"/>
    <col min="2823" max="2823" width="17.19921875" customWidth="1"/>
    <col min="2824" max="2824" width="10.3984375" bestFit="1" customWidth="1"/>
    <col min="2825" max="2826" width="11.59765625" bestFit="1" customWidth="1"/>
    <col min="2827" max="2827" width="12.19921875" bestFit="1" customWidth="1"/>
    <col min="2828" max="2828" width="11.59765625" bestFit="1" customWidth="1"/>
    <col min="2829" max="2829" width="13.19921875" bestFit="1" customWidth="1"/>
    <col min="3073" max="3073" width="73" customWidth="1"/>
    <col min="3074" max="3074" width="9.19921875" customWidth="1"/>
    <col min="3075" max="3075" width="19.19921875" customWidth="1"/>
    <col min="3076" max="3076" width="21.796875" customWidth="1"/>
    <col min="3077" max="3077" width="17.3984375" customWidth="1"/>
    <col min="3078" max="3078" width="34.19921875" customWidth="1"/>
    <col min="3079" max="3079" width="17.19921875" customWidth="1"/>
    <col min="3080" max="3080" width="10.3984375" bestFit="1" customWidth="1"/>
    <col min="3081" max="3082" width="11.59765625" bestFit="1" customWidth="1"/>
    <col min="3083" max="3083" width="12.19921875" bestFit="1" customWidth="1"/>
    <col min="3084" max="3084" width="11.59765625" bestFit="1" customWidth="1"/>
    <col min="3085" max="3085" width="13.19921875" bestFit="1" customWidth="1"/>
    <col min="3329" max="3329" width="73" customWidth="1"/>
    <col min="3330" max="3330" width="9.19921875" customWidth="1"/>
    <col min="3331" max="3331" width="19.19921875" customWidth="1"/>
    <col min="3332" max="3332" width="21.796875" customWidth="1"/>
    <col min="3333" max="3333" width="17.3984375" customWidth="1"/>
    <col min="3334" max="3334" width="34.19921875" customWidth="1"/>
    <col min="3335" max="3335" width="17.19921875" customWidth="1"/>
    <col min="3336" max="3336" width="10.3984375" bestFit="1" customWidth="1"/>
    <col min="3337" max="3338" width="11.59765625" bestFit="1" customWidth="1"/>
    <col min="3339" max="3339" width="12.19921875" bestFit="1" customWidth="1"/>
    <col min="3340" max="3340" width="11.59765625" bestFit="1" customWidth="1"/>
    <col min="3341" max="3341" width="13.19921875" bestFit="1" customWidth="1"/>
    <col min="3585" max="3585" width="73" customWidth="1"/>
    <col min="3586" max="3586" width="9.19921875" customWidth="1"/>
    <col min="3587" max="3587" width="19.19921875" customWidth="1"/>
    <col min="3588" max="3588" width="21.796875" customWidth="1"/>
    <col min="3589" max="3589" width="17.3984375" customWidth="1"/>
    <col min="3590" max="3590" width="34.19921875" customWidth="1"/>
    <col min="3591" max="3591" width="17.19921875" customWidth="1"/>
    <col min="3592" max="3592" width="10.3984375" bestFit="1" customWidth="1"/>
    <col min="3593" max="3594" width="11.59765625" bestFit="1" customWidth="1"/>
    <col min="3595" max="3595" width="12.19921875" bestFit="1" customWidth="1"/>
    <col min="3596" max="3596" width="11.59765625" bestFit="1" customWidth="1"/>
    <col min="3597" max="3597" width="13.19921875" bestFit="1" customWidth="1"/>
    <col min="3841" max="3841" width="73" customWidth="1"/>
    <col min="3842" max="3842" width="9.19921875" customWidth="1"/>
    <col min="3843" max="3843" width="19.19921875" customWidth="1"/>
    <col min="3844" max="3844" width="21.796875" customWidth="1"/>
    <col min="3845" max="3845" width="17.3984375" customWidth="1"/>
    <col min="3846" max="3846" width="34.19921875" customWidth="1"/>
    <col min="3847" max="3847" width="17.19921875" customWidth="1"/>
    <col min="3848" max="3848" width="10.3984375" bestFit="1" customWidth="1"/>
    <col min="3849" max="3850" width="11.59765625" bestFit="1" customWidth="1"/>
    <col min="3851" max="3851" width="12.19921875" bestFit="1" customWidth="1"/>
    <col min="3852" max="3852" width="11.59765625" bestFit="1" customWidth="1"/>
    <col min="3853" max="3853" width="13.19921875" bestFit="1" customWidth="1"/>
    <col min="4097" max="4097" width="73" customWidth="1"/>
    <col min="4098" max="4098" width="9.19921875" customWidth="1"/>
    <col min="4099" max="4099" width="19.19921875" customWidth="1"/>
    <col min="4100" max="4100" width="21.796875" customWidth="1"/>
    <col min="4101" max="4101" width="17.3984375" customWidth="1"/>
    <col min="4102" max="4102" width="34.19921875" customWidth="1"/>
    <col min="4103" max="4103" width="17.19921875" customWidth="1"/>
    <col min="4104" max="4104" width="10.3984375" bestFit="1" customWidth="1"/>
    <col min="4105" max="4106" width="11.59765625" bestFit="1" customWidth="1"/>
    <col min="4107" max="4107" width="12.19921875" bestFit="1" customWidth="1"/>
    <col min="4108" max="4108" width="11.59765625" bestFit="1" customWidth="1"/>
    <col min="4109" max="4109" width="13.19921875" bestFit="1" customWidth="1"/>
    <col min="4353" max="4353" width="73" customWidth="1"/>
    <col min="4354" max="4354" width="9.19921875" customWidth="1"/>
    <col min="4355" max="4355" width="19.19921875" customWidth="1"/>
    <col min="4356" max="4356" width="21.796875" customWidth="1"/>
    <col min="4357" max="4357" width="17.3984375" customWidth="1"/>
    <col min="4358" max="4358" width="34.19921875" customWidth="1"/>
    <col min="4359" max="4359" width="17.19921875" customWidth="1"/>
    <col min="4360" max="4360" width="10.3984375" bestFit="1" customWidth="1"/>
    <col min="4361" max="4362" width="11.59765625" bestFit="1" customWidth="1"/>
    <col min="4363" max="4363" width="12.19921875" bestFit="1" customWidth="1"/>
    <col min="4364" max="4364" width="11.59765625" bestFit="1" customWidth="1"/>
    <col min="4365" max="4365" width="13.19921875" bestFit="1" customWidth="1"/>
    <col min="4609" max="4609" width="73" customWidth="1"/>
    <col min="4610" max="4610" width="9.19921875" customWidth="1"/>
    <col min="4611" max="4611" width="19.19921875" customWidth="1"/>
    <col min="4612" max="4612" width="21.796875" customWidth="1"/>
    <col min="4613" max="4613" width="17.3984375" customWidth="1"/>
    <col min="4614" max="4614" width="34.19921875" customWidth="1"/>
    <col min="4615" max="4615" width="17.19921875" customWidth="1"/>
    <col min="4616" max="4616" width="10.3984375" bestFit="1" customWidth="1"/>
    <col min="4617" max="4618" width="11.59765625" bestFit="1" customWidth="1"/>
    <col min="4619" max="4619" width="12.19921875" bestFit="1" customWidth="1"/>
    <col min="4620" max="4620" width="11.59765625" bestFit="1" customWidth="1"/>
    <col min="4621" max="4621" width="13.19921875" bestFit="1" customWidth="1"/>
    <col min="4865" max="4865" width="73" customWidth="1"/>
    <col min="4866" max="4866" width="9.19921875" customWidth="1"/>
    <col min="4867" max="4867" width="19.19921875" customWidth="1"/>
    <col min="4868" max="4868" width="21.796875" customWidth="1"/>
    <col min="4869" max="4869" width="17.3984375" customWidth="1"/>
    <col min="4870" max="4870" width="34.19921875" customWidth="1"/>
    <col min="4871" max="4871" width="17.19921875" customWidth="1"/>
    <col min="4872" max="4872" width="10.3984375" bestFit="1" customWidth="1"/>
    <col min="4873" max="4874" width="11.59765625" bestFit="1" customWidth="1"/>
    <col min="4875" max="4875" width="12.19921875" bestFit="1" customWidth="1"/>
    <col min="4876" max="4876" width="11.59765625" bestFit="1" customWidth="1"/>
    <col min="4877" max="4877" width="13.19921875" bestFit="1" customWidth="1"/>
    <col min="5121" max="5121" width="73" customWidth="1"/>
    <col min="5122" max="5122" width="9.19921875" customWidth="1"/>
    <col min="5123" max="5123" width="19.19921875" customWidth="1"/>
    <col min="5124" max="5124" width="21.796875" customWidth="1"/>
    <col min="5125" max="5125" width="17.3984375" customWidth="1"/>
    <col min="5126" max="5126" width="34.19921875" customWidth="1"/>
    <col min="5127" max="5127" width="17.19921875" customWidth="1"/>
    <col min="5128" max="5128" width="10.3984375" bestFit="1" customWidth="1"/>
    <col min="5129" max="5130" width="11.59765625" bestFit="1" customWidth="1"/>
    <col min="5131" max="5131" width="12.19921875" bestFit="1" customWidth="1"/>
    <col min="5132" max="5132" width="11.59765625" bestFit="1" customWidth="1"/>
    <col min="5133" max="5133" width="13.19921875" bestFit="1" customWidth="1"/>
    <col min="5377" max="5377" width="73" customWidth="1"/>
    <col min="5378" max="5378" width="9.19921875" customWidth="1"/>
    <col min="5379" max="5379" width="19.19921875" customWidth="1"/>
    <col min="5380" max="5380" width="21.796875" customWidth="1"/>
    <col min="5381" max="5381" width="17.3984375" customWidth="1"/>
    <col min="5382" max="5382" width="34.19921875" customWidth="1"/>
    <col min="5383" max="5383" width="17.19921875" customWidth="1"/>
    <col min="5384" max="5384" width="10.3984375" bestFit="1" customWidth="1"/>
    <col min="5385" max="5386" width="11.59765625" bestFit="1" customWidth="1"/>
    <col min="5387" max="5387" width="12.19921875" bestFit="1" customWidth="1"/>
    <col min="5388" max="5388" width="11.59765625" bestFit="1" customWidth="1"/>
    <col min="5389" max="5389" width="13.19921875" bestFit="1" customWidth="1"/>
    <col min="5633" max="5633" width="73" customWidth="1"/>
    <col min="5634" max="5634" width="9.19921875" customWidth="1"/>
    <col min="5635" max="5635" width="19.19921875" customWidth="1"/>
    <col min="5636" max="5636" width="21.796875" customWidth="1"/>
    <col min="5637" max="5637" width="17.3984375" customWidth="1"/>
    <col min="5638" max="5638" width="34.19921875" customWidth="1"/>
    <col min="5639" max="5639" width="17.19921875" customWidth="1"/>
    <col min="5640" max="5640" width="10.3984375" bestFit="1" customWidth="1"/>
    <col min="5641" max="5642" width="11.59765625" bestFit="1" customWidth="1"/>
    <col min="5643" max="5643" width="12.19921875" bestFit="1" customWidth="1"/>
    <col min="5644" max="5644" width="11.59765625" bestFit="1" customWidth="1"/>
    <col min="5645" max="5645" width="13.19921875" bestFit="1" customWidth="1"/>
    <col min="5889" max="5889" width="73" customWidth="1"/>
    <col min="5890" max="5890" width="9.19921875" customWidth="1"/>
    <col min="5891" max="5891" width="19.19921875" customWidth="1"/>
    <col min="5892" max="5892" width="21.796875" customWidth="1"/>
    <col min="5893" max="5893" width="17.3984375" customWidth="1"/>
    <col min="5894" max="5894" width="34.19921875" customWidth="1"/>
    <col min="5895" max="5895" width="17.19921875" customWidth="1"/>
    <col min="5896" max="5896" width="10.3984375" bestFit="1" customWidth="1"/>
    <col min="5897" max="5898" width="11.59765625" bestFit="1" customWidth="1"/>
    <col min="5899" max="5899" width="12.19921875" bestFit="1" customWidth="1"/>
    <col min="5900" max="5900" width="11.59765625" bestFit="1" customWidth="1"/>
    <col min="5901" max="5901" width="13.19921875" bestFit="1" customWidth="1"/>
    <col min="6145" max="6145" width="73" customWidth="1"/>
    <col min="6146" max="6146" width="9.19921875" customWidth="1"/>
    <col min="6147" max="6147" width="19.19921875" customWidth="1"/>
    <col min="6148" max="6148" width="21.796875" customWidth="1"/>
    <col min="6149" max="6149" width="17.3984375" customWidth="1"/>
    <col min="6150" max="6150" width="34.19921875" customWidth="1"/>
    <col min="6151" max="6151" width="17.19921875" customWidth="1"/>
    <col min="6152" max="6152" width="10.3984375" bestFit="1" customWidth="1"/>
    <col min="6153" max="6154" width="11.59765625" bestFit="1" customWidth="1"/>
    <col min="6155" max="6155" width="12.19921875" bestFit="1" customWidth="1"/>
    <col min="6156" max="6156" width="11.59765625" bestFit="1" customWidth="1"/>
    <col min="6157" max="6157" width="13.19921875" bestFit="1" customWidth="1"/>
    <col min="6401" max="6401" width="73" customWidth="1"/>
    <col min="6402" max="6402" width="9.19921875" customWidth="1"/>
    <col min="6403" max="6403" width="19.19921875" customWidth="1"/>
    <col min="6404" max="6404" width="21.796875" customWidth="1"/>
    <col min="6405" max="6405" width="17.3984375" customWidth="1"/>
    <col min="6406" max="6406" width="34.19921875" customWidth="1"/>
    <col min="6407" max="6407" width="17.19921875" customWidth="1"/>
    <col min="6408" max="6408" width="10.3984375" bestFit="1" customWidth="1"/>
    <col min="6409" max="6410" width="11.59765625" bestFit="1" customWidth="1"/>
    <col min="6411" max="6411" width="12.19921875" bestFit="1" customWidth="1"/>
    <col min="6412" max="6412" width="11.59765625" bestFit="1" customWidth="1"/>
    <col min="6413" max="6413" width="13.19921875" bestFit="1" customWidth="1"/>
    <col min="6657" max="6657" width="73" customWidth="1"/>
    <col min="6658" max="6658" width="9.19921875" customWidth="1"/>
    <col min="6659" max="6659" width="19.19921875" customWidth="1"/>
    <col min="6660" max="6660" width="21.796875" customWidth="1"/>
    <col min="6661" max="6661" width="17.3984375" customWidth="1"/>
    <col min="6662" max="6662" width="34.19921875" customWidth="1"/>
    <col min="6663" max="6663" width="17.19921875" customWidth="1"/>
    <col min="6664" max="6664" width="10.3984375" bestFit="1" customWidth="1"/>
    <col min="6665" max="6666" width="11.59765625" bestFit="1" customWidth="1"/>
    <col min="6667" max="6667" width="12.19921875" bestFit="1" customWidth="1"/>
    <col min="6668" max="6668" width="11.59765625" bestFit="1" customWidth="1"/>
    <col min="6669" max="6669" width="13.19921875" bestFit="1" customWidth="1"/>
    <col min="6913" max="6913" width="73" customWidth="1"/>
    <col min="6914" max="6914" width="9.19921875" customWidth="1"/>
    <col min="6915" max="6915" width="19.19921875" customWidth="1"/>
    <col min="6916" max="6916" width="21.796875" customWidth="1"/>
    <col min="6917" max="6917" width="17.3984375" customWidth="1"/>
    <col min="6918" max="6918" width="34.19921875" customWidth="1"/>
    <col min="6919" max="6919" width="17.19921875" customWidth="1"/>
    <col min="6920" max="6920" width="10.3984375" bestFit="1" customWidth="1"/>
    <col min="6921" max="6922" width="11.59765625" bestFit="1" customWidth="1"/>
    <col min="6923" max="6923" width="12.19921875" bestFit="1" customWidth="1"/>
    <col min="6924" max="6924" width="11.59765625" bestFit="1" customWidth="1"/>
    <col min="6925" max="6925" width="13.19921875" bestFit="1" customWidth="1"/>
    <col min="7169" max="7169" width="73" customWidth="1"/>
    <col min="7170" max="7170" width="9.19921875" customWidth="1"/>
    <col min="7171" max="7171" width="19.19921875" customWidth="1"/>
    <col min="7172" max="7172" width="21.796875" customWidth="1"/>
    <col min="7173" max="7173" width="17.3984375" customWidth="1"/>
    <col min="7174" max="7174" width="34.19921875" customWidth="1"/>
    <col min="7175" max="7175" width="17.19921875" customWidth="1"/>
    <col min="7176" max="7176" width="10.3984375" bestFit="1" customWidth="1"/>
    <col min="7177" max="7178" width="11.59765625" bestFit="1" customWidth="1"/>
    <col min="7179" max="7179" width="12.19921875" bestFit="1" customWidth="1"/>
    <col min="7180" max="7180" width="11.59765625" bestFit="1" customWidth="1"/>
    <col min="7181" max="7181" width="13.19921875" bestFit="1" customWidth="1"/>
    <col min="7425" max="7425" width="73" customWidth="1"/>
    <col min="7426" max="7426" width="9.19921875" customWidth="1"/>
    <col min="7427" max="7427" width="19.19921875" customWidth="1"/>
    <col min="7428" max="7428" width="21.796875" customWidth="1"/>
    <col min="7429" max="7429" width="17.3984375" customWidth="1"/>
    <col min="7430" max="7430" width="34.19921875" customWidth="1"/>
    <col min="7431" max="7431" width="17.19921875" customWidth="1"/>
    <col min="7432" max="7432" width="10.3984375" bestFit="1" customWidth="1"/>
    <col min="7433" max="7434" width="11.59765625" bestFit="1" customWidth="1"/>
    <col min="7435" max="7435" width="12.19921875" bestFit="1" customWidth="1"/>
    <col min="7436" max="7436" width="11.59765625" bestFit="1" customWidth="1"/>
    <col min="7437" max="7437" width="13.19921875" bestFit="1" customWidth="1"/>
    <col min="7681" max="7681" width="73" customWidth="1"/>
    <col min="7682" max="7682" width="9.19921875" customWidth="1"/>
    <col min="7683" max="7683" width="19.19921875" customWidth="1"/>
    <col min="7684" max="7684" width="21.796875" customWidth="1"/>
    <col min="7685" max="7685" width="17.3984375" customWidth="1"/>
    <col min="7686" max="7686" width="34.19921875" customWidth="1"/>
    <col min="7687" max="7687" width="17.19921875" customWidth="1"/>
    <col min="7688" max="7688" width="10.3984375" bestFit="1" customWidth="1"/>
    <col min="7689" max="7690" width="11.59765625" bestFit="1" customWidth="1"/>
    <col min="7691" max="7691" width="12.19921875" bestFit="1" customWidth="1"/>
    <col min="7692" max="7692" width="11.59765625" bestFit="1" customWidth="1"/>
    <col min="7693" max="7693" width="13.19921875" bestFit="1" customWidth="1"/>
    <col min="7937" max="7937" width="73" customWidth="1"/>
    <col min="7938" max="7938" width="9.19921875" customWidth="1"/>
    <col min="7939" max="7939" width="19.19921875" customWidth="1"/>
    <col min="7940" max="7940" width="21.796875" customWidth="1"/>
    <col min="7941" max="7941" width="17.3984375" customWidth="1"/>
    <col min="7942" max="7942" width="34.19921875" customWidth="1"/>
    <col min="7943" max="7943" width="17.19921875" customWidth="1"/>
    <col min="7944" max="7944" width="10.3984375" bestFit="1" customWidth="1"/>
    <col min="7945" max="7946" width="11.59765625" bestFit="1" customWidth="1"/>
    <col min="7947" max="7947" width="12.19921875" bestFit="1" customWidth="1"/>
    <col min="7948" max="7948" width="11.59765625" bestFit="1" customWidth="1"/>
    <col min="7949" max="7949" width="13.19921875" bestFit="1" customWidth="1"/>
    <col min="8193" max="8193" width="73" customWidth="1"/>
    <col min="8194" max="8194" width="9.19921875" customWidth="1"/>
    <col min="8195" max="8195" width="19.19921875" customWidth="1"/>
    <col min="8196" max="8196" width="21.796875" customWidth="1"/>
    <col min="8197" max="8197" width="17.3984375" customWidth="1"/>
    <col min="8198" max="8198" width="34.19921875" customWidth="1"/>
    <col min="8199" max="8199" width="17.19921875" customWidth="1"/>
    <col min="8200" max="8200" width="10.3984375" bestFit="1" customWidth="1"/>
    <col min="8201" max="8202" width="11.59765625" bestFit="1" customWidth="1"/>
    <col min="8203" max="8203" width="12.19921875" bestFit="1" customWidth="1"/>
    <col min="8204" max="8204" width="11.59765625" bestFit="1" customWidth="1"/>
    <col min="8205" max="8205" width="13.19921875" bestFit="1" customWidth="1"/>
    <col min="8449" max="8449" width="73" customWidth="1"/>
    <col min="8450" max="8450" width="9.19921875" customWidth="1"/>
    <col min="8451" max="8451" width="19.19921875" customWidth="1"/>
    <col min="8452" max="8452" width="21.796875" customWidth="1"/>
    <col min="8453" max="8453" width="17.3984375" customWidth="1"/>
    <col min="8454" max="8454" width="34.19921875" customWidth="1"/>
    <col min="8455" max="8455" width="17.19921875" customWidth="1"/>
    <col min="8456" max="8456" width="10.3984375" bestFit="1" customWidth="1"/>
    <col min="8457" max="8458" width="11.59765625" bestFit="1" customWidth="1"/>
    <col min="8459" max="8459" width="12.19921875" bestFit="1" customWidth="1"/>
    <col min="8460" max="8460" width="11.59765625" bestFit="1" customWidth="1"/>
    <col min="8461" max="8461" width="13.19921875" bestFit="1" customWidth="1"/>
    <col min="8705" max="8705" width="73" customWidth="1"/>
    <col min="8706" max="8706" width="9.19921875" customWidth="1"/>
    <col min="8707" max="8707" width="19.19921875" customWidth="1"/>
    <col min="8708" max="8708" width="21.796875" customWidth="1"/>
    <col min="8709" max="8709" width="17.3984375" customWidth="1"/>
    <col min="8710" max="8710" width="34.19921875" customWidth="1"/>
    <col min="8711" max="8711" width="17.19921875" customWidth="1"/>
    <col min="8712" max="8712" width="10.3984375" bestFit="1" customWidth="1"/>
    <col min="8713" max="8714" width="11.59765625" bestFit="1" customWidth="1"/>
    <col min="8715" max="8715" width="12.19921875" bestFit="1" customWidth="1"/>
    <col min="8716" max="8716" width="11.59765625" bestFit="1" customWidth="1"/>
    <col min="8717" max="8717" width="13.19921875" bestFit="1" customWidth="1"/>
    <col min="8961" max="8961" width="73" customWidth="1"/>
    <col min="8962" max="8962" width="9.19921875" customWidth="1"/>
    <col min="8963" max="8963" width="19.19921875" customWidth="1"/>
    <col min="8964" max="8964" width="21.796875" customWidth="1"/>
    <col min="8965" max="8965" width="17.3984375" customWidth="1"/>
    <col min="8966" max="8966" width="34.19921875" customWidth="1"/>
    <col min="8967" max="8967" width="17.19921875" customWidth="1"/>
    <col min="8968" max="8968" width="10.3984375" bestFit="1" customWidth="1"/>
    <col min="8969" max="8970" width="11.59765625" bestFit="1" customWidth="1"/>
    <col min="8971" max="8971" width="12.19921875" bestFit="1" customWidth="1"/>
    <col min="8972" max="8972" width="11.59765625" bestFit="1" customWidth="1"/>
    <col min="8973" max="8973" width="13.19921875" bestFit="1" customWidth="1"/>
    <col min="9217" max="9217" width="73" customWidth="1"/>
    <col min="9218" max="9218" width="9.19921875" customWidth="1"/>
    <col min="9219" max="9219" width="19.19921875" customWidth="1"/>
    <col min="9220" max="9220" width="21.796875" customWidth="1"/>
    <col min="9221" max="9221" width="17.3984375" customWidth="1"/>
    <col min="9222" max="9222" width="34.19921875" customWidth="1"/>
    <col min="9223" max="9223" width="17.19921875" customWidth="1"/>
    <col min="9224" max="9224" width="10.3984375" bestFit="1" customWidth="1"/>
    <col min="9225" max="9226" width="11.59765625" bestFit="1" customWidth="1"/>
    <col min="9227" max="9227" width="12.19921875" bestFit="1" customWidth="1"/>
    <col min="9228" max="9228" width="11.59765625" bestFit="1" customWidth="1"/>
    <col min="9229" max="9229" width="13.19921875" bestFit="1" customWidth="1"/>
    <col min="9473" max="9473" width="73" customWidth="1"/>
    <col min="9474" max="9474" width="9.19921875" customWidth="1"/>
    <col min="9475" max="9475" width="19.19921875" customWidth="1"/>
    <col min="9476" max="9476" width="21.796875" customWidth="1"/>
    <col min="9477" max="9477" width="17.3984375" customWidth="1"/>
    <col min="9478" max="9478" width="34.19921875" customWidth="1"/>
    <col min="9479" max="9479" width="17.19921875" customWidth="1"/>
    <col min="9480" max="9480" width="10.3984375" bestFit="1" customWidth="1"/>
    <col min="9481" max="9482" width="11.59765625" bestFit="1" customWidth="1"/>
    <col min="9483" max="9483" width="12.19921875" bestFit="1" customWidth="1"/>
    <col min="9484" max="9484" width="11.59765625" bestFit="1" customWidth="1"/>
    <col min="9485" max="9485" width="13.19921875" bestFit="1" customWidth="1"/>
    <col min="9729" max="9729" width="73" customWidth="1"/>
    <col min="9730" max="9730" width="9.19921875" customWidth="1"/>
    <col min="9731" max="9731" width="19.19921875" customWidth="1"/>
    <col min="9732" max="9732" width="21.796875" customWidth="1"/>
    <col min="9733" max="9733" width="17.3984375" customWidth="1"/>
    <col min="9734" max="9734" width="34.19921875" customWidth="1"/>
    <col min="9735" max="9735" width="17.19921875" customWidth="1"/>
    <col min="9736" max="9736" width="10.3984375" bestFit="1" customWidth="1"/>
    <col min="9737" max="9738" width="11.59765625" bestFit="1" customWidth="1"/>
    <col min="9739" max="9739" width="12.19921875" bestFit="1" customWidth="1"/>
    <col min="9740" max="9740" width="11.59765625" bestFit="1" customWidth="1"/>
    <col min="9741" max="9741" width="13.19921875" bestFit="1" customWidth="1"/>
    <col min="9985" max="9985" width="73" customWidth="1"/>
    <col min="9986" max="9986" width="9.19921875" customWidth="1"/>
    <col min="9987" max="9987" width="19.19921875" customWidth="1"/>
    <col min="9988" max="9988" width="21.796875" customWidth="1"/>
    <col min="9989" max="9989" width="17.3984375" customWidth="1"/>
    <col min="9990" max="9990" width="34.19921875" customWidth="1"/>
    <col min="9991" max="9991" width="17.19921875" customWidth="1"/>
    <col min="9992" max="9992" width="10.3984375" bestFit="1" customWidth="1"/>
    <col min="9993" max="9994" width="11.59765625" bestFit="1" customWidth="1"/>
    <col min="9995" max="9995" width="12.19921875" bestFit="1" customWidth="1"/>
    <col min="9996" max="9996" width="11.59765625" bestFit="1" customWidth="1"/>
    <col min="9997" max="9997" width="13.19921875" bestFit="1" customWidth="1"/>
    <col min="10241" max="10241" width="73" customWidth="1"/>
    <col min="10242" max="10242" width="9.19921875" customWidth="1"/>
    <col min="10243" max="10243" width="19.19921875" customWidth="1"/>
    <col min="10244" max="10244" width="21.796875" customWidth="1"/>
    <col min="10245" max="10245" width="17.3984375" customWidth="1"/>
    <col min="10246" max="10246" width="34.19921875" customWidth="1"/>
    <col min="10247" max="10247" width="17.19921875" customWidth="1"/>
    <col min="10248" max="10248" width="10.3984375" bestFit="1" customWidth="1"/>
    <col min="10249" max="10250" width="11.59765625" bestFit="1" customWidth="1"/>
    <col min="10251" max="10251" width="12.19921875" bestFit="1" customWidth="1"/>
    <col min="10252" max="10252" width="11.59765625" bestFit="1" customWidth="1"/>
    <col min="10253" max="10253" width="13.19921875" bestFit="1" customWidth="1"/>
    <col min="10497" max="10497" width="73" customWidth="1"/>
    <col min="10498" max="10498" width="9.19921875" customWidth="1"/>
    <col min="10499" max="10499" width="19.19921875" customWidth="1"/>
    <col min="10500" max="10500" width="21.796875" customWidth="1"/>
    <col min="10501" max="10501" width="17.3984375" customWidth="1"/>
    <col min="10502" max="10502" width="34.19921875" customWidth="1"/>
    <col min="10503" max="10503" width="17.19921875" customWidth="1"/>
    <col min="10504" max="10504" width="10.3984375" bestFit="1" customWidth="1"/>
    <col min="10505" max="10506" width="11.59765625" bestFit="1" customWidth="1"/>
    <col min="10507" max="10507" width="12.19921875" bestFit="1" customWidth="1"/>
    <col min="10508" max="10508" width="11.59765625" bestFit="1" customWidth="1"/>
    <col min="10509" max="10509" width="13.19921875" bestFit="1" customWidth="1"/>
    <col min="10753" max="10753" width="73" customWidth="1"/>
    <col min="10754" max="10754" width="9.19921875" customWidth="1"/>
    <col min="10755" max="10755" width="19.19921875" customWidth="1"/>
    <col min="10756" max="10756" width="21.796875" customWidth="1"/>
    <col min="10757" max="10757" width="17.3984375" customWidth="1"/>
    <col min="10758" max="10758" width="34.19921875" customWidth="1"/>
    <col min="10759" max="10759" width="17.19921875" customWidth="1"/>
    <col min="10760" max="10760" width="10.3984375" bestFit="1" customWidth="1"/>
    <col min="10761" max="10762" width="11.59765625" bestFit="1" customWidth="1"/>
    <col min="10763" max="10763" width="12.19921875" bestFit="1" customWidth="1"/>
    <col min="10764" max="10764" width="11.59765625" bestFit="1" customWidth="1"/>
    <col min="10765" max="10765" width="13.19921875" bestFit="1" customWidth="1"/>
    <col min="11009" max="11009" width="73" customWidth="1"/>
    <col min="11010" max="11010" width="9.19921875" customWidth="1"/>
    <col min="11011" max="11011" width="19.19921875" customWidth="1"/>
    <col min="11012" max="11012" width="21.796875" customWidth="1"/>
    <col min="11013" max="11013" width="17.3984375" customWidth="1"/>
    <col min="11014" max="11014" width="34.19921875" customWidth="1"/>
    <col min="11015" max="11015" width="17.19921875" customWidth="1"/>
    <col min="11016" max="11016" width="10.3984375" bestFit="1" customWidth="1"/>
    <col min="11017" max="11018" width="11.59765625" bestFit="1" customWidth="1"/>
    <col min="11019" max="11019" width="12.19921875" bestFit="1" customWidth="1"/>
    <col min="11020" max="11020" width="11.59765625" bestFit="1" customWidth="1"/>
    <col min="11021" max="11021" width="13.19921875" bestFit="1" customWidth="1"/>
    <col min="11265" max="11265" width="73" customWidth="1"/>
    <col min="11266" max="11266" width="9.19921875" customWidth="1"/>
    <col min="11267" max="11267" width="19.19921875" customWidth="1"/>
    <col min="11268" max="11268" width="21.796875" customWidth="1"/>
    <col min="11269" max="11269" width="17.3984375" customWidth="1"/>
    <col min="11270" max="11270" width="34.19921875" customWidth="1"/>
    <col min="11271" max="11271" width="17.19921875" customWidth="1"/>
    <col min="11272" max="11272" width="10.3984375" bestFit="1" customWidth="1"/>
    <col min="11273" max="11274" width="11.59765625" bestFit="1" customWidth="1"/>
    <col min="11275" max="11275" width="12.19921875" bestFit="1" customWidth="1"/>
    <col min="11276" max="11276" width="11.59765625" bestFit="1" customWidth="1"/>
    <col min="11277" max="11277" width="13.19921875" bestFit="1" customWidth="1"/>
    <col min="11521" max="11521" width="73" customWidth="1"/>
    <col min="11522" max="11522" width="9.19921875" customWidth="1"/>
    <col min="11523" max="11523" width="19.19921875" customWidth="1"/>
    <col min="11524" max="11524" width="21.796875" customWidth="1"/>
    <col min="11525" max="11525" width="17.3984375" customWidth="1"/>
    <col min="11526" max="11526" width="34.19921875" customWidth="1"/>
    <col min="11527" max="11527" width="17.19921875" customWidth="1"/>
    <col min="11528" max="11528" width="10.3984375" bestFit="1" customWidth="1"/>
    <col min="11529" max="11530" width="11.59765625" bestFit="1" customWidth="1"/>
    <col min="11531" max="11531" width="12.19921875" bestFit="1" customWidth="1"/>
    <col min="11532" max="11532" width="11.59765625" bestFit="1" customWidth="1"/>
    <col min="11533" max="11533" width="13.19921875" bestFit="1" customWidth="1"/>
    <col min="11777" max="11777" width="73" customWidth="1"/>
    <col min="11778" max="11778" width="9.19921875" customWidth="1"/>
    <col min="11779" max="11779" width="19.19921875" customWidth="1"/>
    <col min="11780" max="11780" width="21.796875" customWidth="1"/>
    <col min="11781" max="11781" width="17.3984375" customWidth="1"/>
    <col min="11782" max="11782" width="34.19921875" customWidth="1"/>
    <col min="11783" max="11783" width="17.19921875" customWidth="1"/>
    <col min="11784" max="11784" width="10.3984375" bestFit="1" customWidth="1"/>
    <col min="11785" max="11786" width="11.59765625" bestFit="1" customWidth="1"/>
    <col min="11787" max="11787" width="12.19921875" bestFit="1" customWidth="1"/>
    <col min="11788" max="11788" width="11.59765625" bestFit="1" customWidth="1"/>
    <col min="11789" max="11789" width="13.19921875" bestFit="1" customWidth="1"/>
    <col min="12033" max="12033" width="73" customWidth="1"/>
    <col min="12034" max="12034" width="9.19921875" customWidth="1"/>
    <col min="12035" max="12035" width="19.19921875" customWidth="1"/>
    <col min="12036" max="12036" width="21.796875" customWidth="1"/>
    <col min="12037" max="12037" width="17.3984375" customWidth="1"/>
    <col min="12038" max="12038" width="34.19921875" customWidth="1"/>
    <col min="12039" max="12039" width="17.19921875" customWidth="1"/>
    <col min="12040" max="12040" width="10.3984375" bestFit="1" customWidth="1"/>
    <col min="12041" max="12042" width="11.59765625" bestFit="1" customWidth="1"/>
    <col min="12043" max="12043" width="12.19921875" bestFit="1" customWidth="1"/>
    <col min="12044" max="12044" width="11.59765625" bestFit="1" customWidth="1"/>
    <col min="12045" max="12045" width="13.19921875" bestFit="1" customWidth="1"/>
    <col min="12289" max="12289" width="73" customWidth="1"/>
    <col min="12290" max="12290" width="9.19921875" customWidth="1"/>
    <col min="12291" max="12291" width="19.19921875" customWidth="1"/>
    <col min="12292" max="12292" width="21.796875" customWidth="1"/>
    <col min="12293" max="12293" width="17.3984375" customWidth="1"/>
    <col min="12294" max="12294" width="34.19921875" customWidth="1"/>
    <col min="12295" max="12295" width="17.19921875" customWidth="1"/>
    <col min="12296" max="12296" width="10.3984375" bestFit="1" customWidth="1"/>
    <col min="12297" max="12298" width="11.59765625" bestFit="1" customWidth="1"/>
    <col min="12299" max="12299" width="12.19921875" bestFit="1" customWidth="1"/>
    <col min="12300" max="12300" width="11.59765625" bestFit="1" customWidth="1"/>
    <col min="12301" max="12301" width="13.19921875" bestFit="1" customWidth="1"/>
    <col min="12545" max="12545" width="73" customWidth="1"/>
    <col min="12546" max="12546" width="9.19921875" customWidth="1"/>
    <col min="12547" max="12547" width="19.19921875" customWidth="1"/>
    <col min="12548" max="12548" width="21.796875" customWidth="1"/>
    <col min="12549" max="12549" width="17.3984375" customWidth="1"/>
    <col min="12550" max="12550" width="34.19921875" customWidth="1"/>
    <col min="12551" max="12551" width="17.19921875" customWidth="1"/>
    <col min="12552" max="12552" width="10.3984375" bestFit="1" customWidth="1"/>
    <col min="12553" max="12554" width="11.59765625" bestFit="1" customWidth="1"/>
    <col min="12555" max="12555" width="12.19921875" bestFit="1" customWidth="1"/>
    <col min="12556" max="12556" width="11.59765625" bestFit="1" customWidth="1"/>
    <col min="12557" max="12557" width="13.19921875" bestFit="1" customWidth="1"/>
    <col min="12801" max="12801" width="73" customWidth="1"/>
    <col min="12802" max="12802" width="9.19921875" customWidth="1"/>
    <col min="12803" max="12803" width="19.19921875" customWidth="1"/>
    <col min="12804" max="12804" width="21.796875" customWidth="1"/>
    <col min="12805" max="12805" width="17.3984375" customWidth="1"/>
    <col min="12806" max="12806" width="34.19921875" customWidth="1"/>
    <col min="12807" max="12807" width="17.19921875" customWidth="1"/>
    <col min="12808" max="12808" width="10.3984375" bestFit="1" customWidth="1"/>
    <col min="12809" max="12810" width="11.59765625" bestFit="1" customWidth="1"/>
    <col min="12811" max="12811" width="12.19921875" bestFit="1" customWidth="1"/>
    <col min="12812" max="12812" width="11.59765625" bestFit="1" customWidth="1"/>
    <col min="12813" max="12813" width="13.19921875" bestFit="1" customWidth="1"/>
    <col min="13057" max="13057" width="73" customWidth="1"/>
    <col min="13058" max="13058" width="9.19921875" customWidth="1"/>
    <col min="13059" max="13059" width="19.19921875" customWidth="1"/>
    <col min="13060" max="13060" width="21.796875" customWidth="1"/>
    <col min="13061" max="13061" width="17.3984375" customWidth="1"/>
    <col min="13062" max="13062" width="34.19921875" customWidth="1"/>
    <col min="13063" max="13063" width="17.19921875" customWidth="1"/>
    <col min="13064" max="13064" width="10.3984375" bestFit="1" customWidth="1"/>
    <col min="13065" max="13066" width="11.59765625" bestFit="1" customWidth="1"/>
    <col min="13067" max="13067" width="12.19921875" bestFit="1" customWidth="1"/>
    <col min="13068" max="13068" width="11.59765625" bestFit="1" customWidth="1"/>
    <col min="13069" max="13069" width="13.19921875" bestFit="1" customWidth="1"/>
    <col min="13313" max="13313" width="73" customWidth="1"/>
    <col min="13314" max="13314" width="9.19921875" customWidth="1"/>
    <col min="13315" max="13315" width="19.19921875" customWidth="1"/>
    <col min="13316" max="13316" width="21.796875" customWidth="1"/>
    <col min="13317" max="13317" width="17.3984375" customWidth="1"/>
    <col min="13318" max="13318" width="34.19921875" customWidth="1"/>
    <col min="13319" max="13319" width="17.19921875" customWidth="1"/>
    <col min="13320" max="13320" width="10.3984375" bestFit="1" customWidth="1"/>
    <col min="13321" max="13322" width="11.59765625" bestFit="1" customWidth="1"/>
    <col min="13323" max="13323" width="12.19921875" bestFit="1" customWidth="1"/>
    <col min="13324" max="13324" width="11.59765625" bestFit="1" customWidth="1"/>
    <col min="13325" max="13325" width="13.19921875" bestFit="1" customWidth="1"/>
    <col min="13569" max="13569" width="73" customWidth="1"/>
    <col min="13570" max="13570" width="9.19921875" customWidth="1"/>
    <col min="13571" max="13571" width="19.19921875" customWidth="1"/>
    <col min="13572" max="13572" width="21.796875" customWidth="1"/>
    <col min="13573" max="13573" width="17.3984375" customWidth="1"/>
    <col min="13574" max="13574" width="34.19921875" customWidth="1"/>
    <col min="13575" max="13575" width="17.19921875" customWidth="1"/>
    <col min="13576" max="13576" width="10.3984375" bestFit="1" customWidth="1"/>
    <col min="13577" max="13578" width="11.59765625" bestFit="1" customWidth="1"/>
    <col min="13579" max="13579" width="12.19921875" bestFit="1" customWidth="1"/>
    <col min="13580" max="13580" width="11.59765625" bestFit="1" customWidth="1"/>
    <col min="13581" max="13581" width="13.19921875" bestFit="1" customWidth="1"/>
    <col min="13825" max="13825" width="73" customWidth="1"/>
    <col min="13826" max="13826" width="9.19921875" customWidth="1"/>
    <col min="13827" max="13827" width="19.19921875" customWidth="1"/>
    <col min="13828" max="13828" width="21.796875" customWidth="1"/>
    <col min="13829" max="13829" width="17.3984375" customWidth="1"/>
    <col min="13830" max="13830" width="34.19921875" customWidth="1"/>
    <col min="13831" max="13831" width="17.19921875" customWidth="1"/>
    <col min="13832" max="13832" width="10.3984375" bestFit="1" customWidth="1"/>
    <col min="13833" max="13834" width="11.59765625" bestFit="1" customWidth="1"/>
    <col min="13835" max="13835" width="12.19921875" bestFit="1" customWidth="1"/>
    <col min="13836" max="13836" width="11.59765625" bestFit="1" customWidth="1"/>
    <col min="13837" max="13837" width="13.19921875" bestFit="1" customWidth="1"/>
    <col min="14081" max="14081" width="73" customWidth="1"/>
    <col min="14082" max="14082" width="9.19921875" customWidth="1"/>
    <col min="14083" max="14083" width="19.19921875" customWidth="1"/>
    <col min="14084" max="14084" width="21.796875" customWidth="1"/>
    <col min="14085" max="14085" width="17.3984375" customWidth="1"/>
    <col min="14086" max="14086" width="34.19921875" customWidth="1"/>
    <col min="14087" max="14087" width="17.19921875" customWidth="1"/>
    <col min="14088" max="14088" width="10.3984375" bestFit="1" customWidth="1"/>
    <col min="14089" max="14090" width="11.59765625" bestFit="1" customWidth="1"/>
    <col min="14091" max="14091" width="12.19921875" bestFit="1" customWidth="1"/>
    <col min="14092" max="14092" width="11.59765625" bestFit="1" customWidth="1"/>
    <col min="14093" max="14093" width="13.19921875" bestFit="1" customWidth="1"/>
    <col min="14337" max="14337" width="73" customWidth="1"/>
    <col min="14338" max="14338" width="9.19921875" customWidth="1"/>
    <col min="14339" max="14339" width="19.19921875" customWidth="1"/>
    <col min="14340" max="14340" width="21.796875" customWidth="1"/>
    <col min="14341" max="14341" width="17.3984375" customWidth="1"/>
    <col min="14342" max="14342" width="34.19921875" customWidth="1"/>
    <col min="14343" max="14343" width="17.19921875" customWidth="1"/>
    <col min="14344" max="14344" width="10.3984375" bestFit="1" customWidth="1"/>
    <col min="14345" max="14346" width="11.59765625" bestFit="1" customWidth="1"/>
    <col min="14347" max="14347" width="12.19921875" bestFit="1" customWidth="1"/>
    <col min="14348" max="14348" width="11.59765625" bestFit="1" customWidth="1"/>
    <col min="14349" max="14349" width="13.19921875" bestFit="1" customWidth="1"/>
    <col min="14593" max="14593" width="73" customWidth="1"/>
    <col min="14594" max="14594" width="9.19921875" customWidth="1"/>
    <col min="14595" max="14595" width="19.19921875" customWidth="1"/>
    <col min="14596" max="14596" width="21.796875" customWidth="1"/>
    <col min="14597" max="14597" width="17.3984375" customWidth="1"/>
    <col min="14598" max="14598" width="34.19921875" customWidth="1"/>
    <col min="14599" max="14599" width="17.19921875" customWidth="1"/>
    <col min="14600" max="14600" width="10.3984375" bestFit="1" customWidth="1"/>
    <col min="14601" max="14602" width="11.59765625" bestFit="1" customWidth="1"/>
    <col min="14603" max="14603" width="12.19921875" bestFit="1" customWidth="1"/>
    <col min="14604" max="14604" width="11.59765625" bestFit="1" customWidth="1"/>
    <col min="14605" max="14605" width="13.19921875" bestFit="1" customWidth="1"/>
    <col min="14849" max="14849" width="73" customWidth="1"/>
    <col min="14850" max="14850" width="9.19921875" customWidth="1"/>
    <col min="14851" max="14851" width="19.19921875" customWidth="1"/>
    <col min="14852" max="14852" width="21.796875" customWidth="1"/>
    <col min="14853" max="14853" width="17.3984375" customWidth="1"/>
    <col min="14854" max="14854" width="34.19921875" customWidth="1"/>
    <col min="14855" max="14855" width="17.19921875" customWidth="1"/>
    <col min="14856" max="14856" width="10.3984375" bestFit="1" customWidth="1"/>
    <col min="14857" max="14858" width="11.59765625" bestFit="1" customWidth="1"/>
    <col min="14859" max="14859" width="12.19921875" bestFit="1" customWidth="1"/>
    <col min="14860" max="14860" width="11.59765625" bestFit="1" customWidth="1"/>
    <col min="14861" max="14861" width="13.19921875" bestFit="1" customWidth="1"/>
    <col min="15105" max="15105" width="73" customWidth="1"/>
    <col min="15106" max="15106" width="9.19921875" customWidth="1"/>
    <col min="15107" max="15107" width="19.19921875" customWidth="1"/>
    <col min="15108" max="15108" width="21.796875" customWidth="1"/>
    <col min="15109" max="15109" width="17.3984375" customWidth="1"/>
    <col min="15110" max="15110" width="34.19921875" customWidth="1"/>
    <col min="15111" max="15111" width="17.19921875" customWidth="1"/>
    <col min="15112" max="15112" width="10.3984375" bestFit="1" customWidth="1"/>
    <col min="15113" max="15114" width="11.59765625" bestFit="1" customWidth="1"/>
    <col min="15115" max="15115" width="12.19921875" bestFit="1" customWidth="1"/>
    <col min="15116" max="15116" width="11.59765625" bestFit="1" customWidth="1"/>
    <col min="15117" max="15117" width="13.19921875" bestFit="1" customWidth="1"/>
    <col min="15361" max="15361" width="73" customWidth="1"/>
    <col min="15362" max="15362" width="9.19921875" customWidth="1"/>
    <col min="15363" max="15363" width="19.19921875" customWidth="1"/>
    <col min="15364" max="15364" width="21.796875" customWidth="1"/>
    <col min="15365" max="15365" width="17.3984375" customWidth="1"/>
    <col min="15366" max="15366" width="34.19921875" customWidth="1"/>
    <col min="15367" max="15367" width="17.19921875" customWidth="1"/>
    <col min="15368" max="15368" width="10.3984375" bestFit="1" customWidth="1"/>
    <col min="15369" max="15370" width="11.59765625" bestFit="1" customWidth="1"/>
    <col min="15371" max="15371" width="12.19921875" bestFit="1" customWidth="1"/>
    <col min="15372" max="15372" width="11.59765625" bestFit="1" customWidth="1"/>
    <col min="15373" max="15373" width="13.19921875" bestFit="1" customWidth="1"/>
    <col min="15617" max="15617" width="73" customWidth="1"/>
    <col min="15618" max="15618" width="9.19921875" customWidth="1"/>
    <col min="15619" max="15619" width="19.19921875" customWidth="1"/>
    <col min="15620" max="15620" width="21.796875" customWidth="1"/>
    <col min="15621" max="15621" width="17.3984375" customWidth="1"/>
    <col min="15622" max="15622" width="34.19921875" customWidth="1"/>
    <col min="15623" max="15623" width="17.19921875" customWidth="1"/>
    <col min="15624" max="15624" width="10.3984375" bestFit="1" customWidth="1"/>
    <col min="15625" max="15626" width="11.59765625" bestFit="1" customWidth="1"/>
    <col min="15627" max="15627" width="12.19921875" bestFit="1" customWidth="1"/>
    <col min="15628" max="15628" width="11.59765625" bestFit="1" customWidth="1"/>
    <col min="15629" max="15629" width="13.19921875" bestFit="1" customWidth="1"/>
    <col min="15873" max="15873" width="73" customWidth="1"/>
    <col min="15874" max="15874" width="9.19921875" customWidth="1"/>
    <col min="15875" max="15875" width="19.19921875" customWidth="1"/>
    <col min="15876" max="15876" width="21.796875" customWidth="1"/>
    <col min="15877" max="15877" width="17.3984375" customWidth="1"/>
    <col min="15878" max="15878" width="34.19921875" customWidth="1"/>
    <col min="15879" max="15879" width="17.19921875" customWidth="1"/>
    <col min="15880" max="15880" width="10.3984375" bestFit="1" customWidth="1"/>
    <col min="15881" max="15882" width="11.59765625" bestFit="1" customWidth="1"/>
    <col min="15883" max="15883" width="12.19921875" bestFit="1" customWidth="1"/>
    <col min="15884" max="15884" width="11.59765625" bestFit="1" customWidth="1"/>
    <col min="15885" max="15885" width="13.19921875" bestFit="1" customWidth="1"/>
    <col min="16129" max="16129" width="73" customWidth="1"/>
    <col min="16130" max="16130" width="9.19921875" customWidth="1"/>
    <col min="16131" max="16131" width="19.19921875" customWidth="1"/>
    <col min="16132" max="16132" width="21.796875" customWidth="1"/>
    <col min="16133" max="16133" width="17.3984375" customWidth="1"/>
    <col min="16134" max="16134" width="34.19921875" customWidth="1"/>
    <col min="16135" max="16135" width="17.19921875" customWidth="1"/>
    <col min="16136" max="16136" width="10.3984375" bestFit="1" customWidth="1"/>
    <col min="16137" max="16138" width="11.59765625" bestFit="1" customWidth="1"/>
    <col min="16139" max="16139" width="12.19921875" bestFit="1" customWidth="1"/>
    <col min="16140" max="16140" width="11.59765625" bestFit="1" customWidth="1"/>
    <col min="16141" max="16141" width="13.19921875" bestFit="1" customWidth="1"/>
  </cols>
  <sheetData>
    <row r="1" spans="1:9" ht="27.75" customHeight="1">
      <c r="A1" s="876" t="s">
        <v>121</v>
      </c>
      <c r="B1" s="876"/>
      <c r="C1" s="876"/>
      <c r="D1" s="876"/>
      <c r="E1" s="876"/>
      <c r="F1" s="126"/>
    </row>
    <row r="2" spans="1:9" ht="45.75" customHeight="1">
      <c r="A2" s="877" t="s">
        <v>122</v>
      </c>
      <c r="B2" s="878"/>
      <c r="C2" s="878"/>
      <c r="D2" s="878"/>
      <c r="E2" s="127"/>
      <c r="F2" s="127"/>
    </row>
    <row r="3" spans="1:9" ht="15.75" customHeight="1">
      <c r="A3" s="128"/>
      <c r="B3" s="129"/>
      <c r="C3" s="127"/>
      <c r="D3" s="127"/>
      <c r="E3" s="127"/>
      <c r="F3" s="127"/>
    </row>
    <row r="4" spans="1:9" ht="15.75" customHeight="1">
      <c r="A4" s="879" t="s">
        <v>123</v>
      </c>
      <c r="B4" s="879"/>
      <c r="C4" s="879"/>
      <c r="D4" s="879"/>
      <c r="E4" s="879"/>
      <c r="F4" s="130"/>
    </row>
    <row r="5" spans="1:9" ht="16">
      <c r="A5" s="879" t="s">
        <v>124</v>
      </c>
      <c r="B5" s="879"/>
      <c r="C5" s="879"/>
      <c r="D5" s="879"/>
      <c r="E5" s="879"/>
      <c r="F5" s="130"/>
    </row>
    <row r="6" spans="1:9" ht="16" hidden="1">
      <c r="A6" s="131"/>
      <c r="B6" s="131"/>
      <c r="C6" s="131"/>
      <c r="D6" s="132"/>
      <c r="E6" s="131"/>
      <c r="F6" s="130"/>
    </row>
    <row r="7" spans="1:9" ht="62.25" hidden="1" customHeight="1">
      <c r="A7" s="133" t="s">
        <v>125</v>
      </c>
      <c r="B7" s="131" t="s">
        <v>88</v>
      </c>
      <c r="C7" s="131"/>
      <c r="D7" s="132">
        <f>135000*1.1</f>
        <v>148500</v>
      </c>
      <c r="E7" s="131"/>
      <c r="F7" s="130"/>
    </row>
    <row r="8" spans="1:9" ht="58.5" hidden="1" customHeight="1">
      <c r="A8" s="133" t="s">
        <v>126</v>
      </c>
      <c r="B8" s="131" t="s">
        <v>88</v>
      </c>
      <c r="C8" s="131"/>
      <c r="D8" s="132">
        <f>280000*1.1</f>
        <v>308000</v>
      </c>
      <c r="E8" s="131"/>
      <c r="F8" s="130"/>
    </row>
    <row r="9" spans="1:9" ht="54.75" hidden="1" customHeight="1">
      <c r="A9" s="133" t="s">
        <v>127</v>
      </c>
      <c r="B9" s="131" t="s">
        <v>88</v>
      </c>
      <c r="C9" s="131"/>
      <c r="D9" s="132">
        <f>360000*1.1</f>
        <v>396000.00000000006</v>
      </c>
      <c r="E9" s="131"/>
      <c r="F9" s="130"/>
    </row>
    <row r="10" spans="1:9" ht="51" hidden="1">
      <c r="A10" s="134" t="s">
        <v>128</v>
      </c>
      <c r="B10" s="131" t="s">
        <v>88</v>
      </c>
      <c r="C10" s="131"/>
      <c r="D10" s="132">
        <f>125000*1.1</f>
        <v>137500</v>
      </c>
      <c r="E10" s="131"/>
      <c r="F10" s="130"/>
    </row>
    <row r="11" spans="1:9" ht="51" hidden="1" customHeight="1">
      <c r="A11" s="134" t="s">
        <v>129</v>
      </c>
      <c r="B11" s="135" t="s">
        <v>88</v>
      </c>
      <c r="C11" s="136"/>
      <c r="D11" s="137">
        <f>115000*1.1</f>
        <v>126500.00000000001</v>
      </c>
      <c r="E11" s="136"/>
      <c r="F11" s="138"/>
    </row>
    <row r="12" spans="1:9" ht="57.75" hidden="1" customHeight="1">
      <c r="A12" s="134" t="s">
        <v>130</v>
      </c>
      <c r="B12" s="135" t="s">
        <v>88</v>
      </c>
      <c r="C12" s="136"/>
      <c r="D12" s="137">
        <f>105000*1.1</f>
        <v>115500.00000000001</v>
      </c>
      <c r="E12" s="136"/>
      <c r="F12" s="138"/>
    </row>
    <row r="13" spans="1:9" ht="34" hidden="1">
      <c r="A13" s="139" t="s">
        <v>131</v>
      </c>
      <c r="B13" s="140" t="s">
        <v>88</v>
      </c>
      <c r="D13" s="141">
        <f>98000*1.1</f>
        <v>107800.00000000001</v>
      </c>
      <c r="F13" s="138"/>
    </row>
    <row r="14" spans="1:9" ht="16">
      <c r="A14" s="142" t="s">
        <v>132</v>
      </c>
      <c r="B14" s="143" t="s">
        <v>133</v>
      </c>
      <c r="C14" s="144"/>
      <c r="D14" s="145">
        <f>(25000/50)+(E14)+(30*200)/50+(6*750)/50</f>
        <v>710</v>
      </c>
      <c r="E14" s="146"/>
      <c r="F14" s="138" t="s">
        <v>134</v>
      </c>
      <c r="G14" s="137" t="s">
        <v>135</v>
      </c>
      <c r="H14" s="137"/>
      <c r="I14" s="137"/>
    </row>
    <row r="15" spans="1:9" ht="16">
      <c r="A15" s="142" t="s">
        <v>136</v>
      </c>
      <c r="B15" s="143" t="s">
        <v>6</v>
      </c>
      <c r="C15" s="144"/>
      <c r="D15" s="145">
        <f>48000</f>
        <v>48000</v>
      </c>
      <c r="E15" s="146"/>
      <c r="F15" s="138" t="s">
        <v>137</v>
      </c>
      <c r="G15" s="137" t="s">
        <v>138</v>
      </c>
      <c r="H15" s="137"/>
      <c r="I15" s="137"/>
    </row>
    <row r="16" spans="1:9" ht="16">
      <c r="A16" s="142" t="s">
        <v>139</v>
      </c>
      <c r="B16" s="143" t="s">
        <v>6</v>
      </c>
      <c r="C16" s="144"/>
      <c r="D16" s="145">
        <f>51170</f>
        <v>51170</v>
      </c>
      <c r="E16" s="146"/>
      <c r="F16" s="138" t="s">
        <v>137</v>
      </c>
      <c r="G16" s="137" t="s">
        <v>138</v>
      </c>
      <c r="H16" s="137"/>
      <c r="I16" s="137"/>
    </row>
    <row r="17" spans="1:9" ht="16">
      <c r="A17" s="142" t="s">
        <v>140</v>
      </c>
      <c r="B17" s="143" t="s">
        <v>6</v>
      </c>
      <c r="C17" s="144"/>
      <c r="D17" s="145">
        <f>86870</f>
        <v>86870</v>
      </c>
      <c r="E17" s="146"/>
      <c r="F17" s="138" t="s">
        <v>137</v>
      </c>
      <c r="G17" s="137" t="s">
        <v>138</v>
      </c>
      <c r="H17" s="137"/>
      <c r="I17" s="137"/>
    </row>
    <row r="18" spans="1:9" ht="16">
      <c r="A18" s="142" t="s">
        <v>141</v>
      </c>
      <c r="B18" s="143" t="s">
        <v>142</v>
      </c>
      <c r="C18" s="144"/>
      <c r="D18" s="145">
        <v>50</v>
      </c>
      <c r="E18" s="146"/>
      <c r="F18" s="138"/>
      <c r="G18" s="137"/>
      <c r="H18" s="137"/>
      <c r="I18" s="137"/>
    </row>
    <row r="19" spans="1:9" ht="16">
      <c r="A19" s="142" t="s">
        <v>143</v>
      </c>
      <c r="B19" s="143" t="s">
        <v>6</v>
      </c>
      <c r="C19" s="144"/>
      <c r="D19" s="145">
        <f>+D17</f>
        <v>86870</v>
      </c>
      <c r="E19" s="146"/>
      <c r="F19" s="138" t="s">
        <v>137</v>
      </c>
      <c r="G19" s="137" t="s">
        <v>138</v>
      </c>
      <c r="H19" s="137"/>
      <c r="I19" s="137"/>
    </row>
    <row r="20" spans="1:9" ht="16">
      <c r="A20" s="142" t="s">
        <v>144</v>
      </c>
      <c r="B20" s="143" t="s">
        <v>6</v>
      </c>
      <c r="C20" s="144"/>
      <c r="D20" s="145">
        <v>50400</v>
      </c>
      <c r="E20" s="146"/>
      <c r="F20" s="138" t="s">
        <v>137</v>
      </c>
    </row>
    <row r="21" spans="1:9" ht="16">
      <c r="A21" s="142" t="s">
        <v>145</v>
      </c>
      <c r="B21" s="143" t="s">
        <v>6</v>
      </c>
      <c r="C21" s="144"/>
      <c r="D21" s="145">
        <f>60000+(20*1580)</f>
        <v>91600</v>
      </c>
      <c r="E21" s="146"/>
      <c r="F21" s="138" t="s">
        <v>137</v>
      </c>
      <c r="G21" s="137" t="s">
        <v>138</v>
      </c>
    </row>
    <row r="22" spans="1:9" ht="16">
      <c r="A22" s="142" t="s">
        <v>146</v>
      </c>
      <c r="B22" s="143" t="s">
        <v>6</v>
      </c>
      <c r="C22" s="144"/>
      <c r="D22" s="145">
        <f>50000+(30*1580)+(6*3000)</f>
        <v>115400</v>
      </c>
      <c r="E22" s="146"/>
      <c r="F22" s="138" t="s">
        <v>137</v>
      </c>
      <c r="G22" s="137" t="s">
        <v>135</v>
      </c>
    </row>
    <row r="23" spans="1:9" ht="16">
      <c r="A23" s="142" t="s">
        <v>147</v>
      </c>
      <c r="B23" s="143" t="s">
        <v>6</v>
      </c>
      <c r="C23" s="144"/>
      <c r="D23" s="145">
        <f>D22</f>
        <v>115400</v>
      </c>
      <c r="E23" s="146"/>
      <c r="F23" s="138" t="s">
        <v>137</v>
      </c>
      <c r="G23" s="137" t="s">
        <v>135</v>
      </c>
    </row>
    <row r="24" spans="1:9" ht="16">
      <c r="A24" s="142" t="s">
        <v>148</v>
      </c>
      <c r="B24" s="143" t="s">
        <v>88</v>
      </c>
      <c r="C24" s="144"/>
      <c r="D24" s="147">
        <v>770</v>
      </c>
      <c r="E24" s="146"/>
      <c r="F24" s="138" t="s">
        <v>134</v>
      </c>
    </row>
    <row r="25" spans="1:9" ht="16">
      <c r="A25" s="142" t="s">
        <v>149</v>
      </c>
      <c r="B25" s="143" t="s">
        <v>88</v>
      </c>
      <c r="C25" s="144"/>
      <c r="D25" s="148">
        <v>770</v>
      </c>
      <c r="E25" s="146"/>
      <c r="F25" s="138" t="s">
        <v>134</v>
      </c>
    </row>
    <row r="26" spans="1:9" ht="16">
      <c r="A26" s="142" t="s">
        <v>150</v>
      </c>
      <c r="B26" s="143" t="s">
        <v>106</v>
      </c>
      <c r="C26" s="144"/>
      <c r="D26" s="145">
        <v>6440</v>
      </c>
      <c r="E26" s="146"/>
      <c r="F26" s="138" t="s">
        <v>134</v>
      </c>
    </row>
    <row r="27" spans="1:9" ht="16">
      <c r="A27" s="142" t="s">
        <v>151</v>
      </c>
      <c r="B27" s="143" t="s">
        <v>152</v>
      </c>
      <c r="C27" s="144"/>
      <c r="D27" s="145">
        <v>2185</v>
      </c>
      <c r="E27" s="149"/>
      <c r="F27" s="138" t="s">
        <v>153</v>
      </c>
    </row>
    <row r="28" spans="1:9" ht="16">
      <c r="A28" s="142" t="s">
        <v>154</v>
      </c>
      <c r="B28" s="143" t="s">
        <v>6</v>
      </c>
      <c r="C28" s="144"/>
      <c r="D28" s="145">
        <v>20400</v>
      </c>
      <c r="E28" s="146"/>
      <c r="F28" s="138" t="str">
        <f>F23</f>
        <v>MEGASFALTO</v>
      </c>
    </row>
    <row r="29" spans="1:9" ht="16">
      <c r="A29" s="142" t="s">
        <v>155</v>
      </c>
      <c r="B29" s="143" t="s">
        <v>6</v>
      </c>
      <c r="C29" s="150"/>
      <c r="D29" s="145">
        <f>47000+(36*1580)</f>
        <v>103880</v>
      </c>
      <c r="E29" s="146"/>
      <c r="F29" s="138" t="str">
        <f>F24</f>
        <v>FERROCALES Y CARBUROS</v>
      </c>
      <c r="G29" s="137" t="s">
        <v>135</v>
      </c>
    </row>
    <row r="30" spans="1:9" ht="16">
      <c r="A30" s="142" t="s">
        <v>156</v>
      </c>
      <c r="B30" s="143" t="s">
        <v>6</v>
      </c>
      <c r="C30" s="150"/>
      <c r="D30" s="145">
        <v>12500</v>
      </c>
      <c r="E30" s="146"/>
      <c r="F30" s="138" t="s">
        <v>134</v>
      </c>
      <c r="G30" s="137" t="s">
        <v>138</v>
      </c>
    </row>
    <row r="31" spans="1:9" ht="16">
      <c r="A31" s="142" t="s">
        <v>157</v>
      </c>
      <c r="B31" s="143" t="s">
        <v>95</v>
      </c>
      <c r="C31" s="150"/>
      <c r="D31" s="151">
        <v>3900</v>
      </c>
      <c r="E31" s="146"/>
      <c r="F31" s="138" t="s">
        <v>134</v>
      </c>
    </row>
    <row r="32" spans="1:9" ht="17">
      <c r="A32" s="152" t="s">
        <v>158</v>
      </c>
      <c r="B32" s="143" t="s">
        <v>133</v>
      </c>
      <c r="C32" s="150"/>
      <c r="D32" s="151">
        <v>5500</v>
      </c>
      <c r="E32" s="146">
        <v>4152</v>
      </c>
      <c r="F32" s="138" t="s">
        <v>134</v>
      </c>
      <c r="G32" s="137" t="s">
        <v>135</v>
      </c>
    </row>
    <row r="33" spans="1:7" ht="16">
      <c r="A33" s="153" t="s">
        <v>113</v>
      </c>
      <c r="B33" s="154" t="s">
        <v>95</v>
      </c>
      <c r="C33" s="150"/>
      <c r="D33" s="151">
        <f>D32*2.23*1.25</f>
        <v>15331.25</v>
      </c>
      <c r="E33" s="146"/>
      <c r="F33" s="138"/>
      <c r="G33" s="137"/>
    </row>
    <row r="34" spans="1:7" ht="16">
      <c r="A34" s="142" t="s">
        <v>159</v>
      </c>
      <c r="B34" s="143" t="s">
        <v>95</v>
      </c>
      <c r="C34" s="150"/>
      <c r="D34" s="155">
        <v>4290</v>
      </c>
      <c r="E34" s="146"/>
      <c r="F34" s="138" t="s">
        <v>134</v>
      </c>
    </row>
    <row r="35" spans="1:7" ht="18" customHeight="1">
      <c r="A35" s="156" t="s">
        <v>160</v>
      </c>
      <c r="B35" s="143" t="s">
        <v>4</v>
      </c>
      <c r="C35" s="150"/>
      <c r="D35" s="155">
        <v>3960</v>
      </c>
      <c r="E35" s="146"/>
      <c r="F35" s="138" t="s">
        <v>134</v>
      </c>
    </row>
    <row r="36" spans="1:7" ht="16">
      <c r="A36" s="156" t="s">
        <v>161</v>
      </c>
      <c r="B36" s="143" t="s">
        <v>133</v>
      </c>
      <c r="C36" s="150"/>
      <c r="D36" s="151">
        <v>5390</v>
      </c>
      <c r="E36" s="146"/>
      <c r="F36" s="138" t="s">
        <v>134</v>
      </c>
    </row>
    <row r="37" spans="1:7" ht="16">
      <c r="A37" s="157" t="s">
        <v>162</v>
      </c>
      <c r="B37" s="143" t="s">
        <v>88</v>
      </c>
      <c r="C37" s="150"/>
      <c r="D37" s="145">
        <v>45439</v>
      </c>
      <c r="E37" s="146"/>
      <c r="F37" s="138" t="s">
        <v>134</v>
      </c>
    </row>
    <row r="38" spans="1:7" ht="16">
      <c r="A38" s="157" t="s">
        <v>163</v>
      </c>
      <c r="B38" s="143" t="s">
        <v>164</v>
      </c>
      <c r="C38" s="150"/>
      <c r="D38" s="145">
        <v>101049</v>
      </c>
      <c r="E38" s="146"/>
      <c r="F38" s="138" t="s">
        <v>134</v>
      </c>
    </row>
    <row r="39" spans="1:7" ht="16">
      <c r="A39" s="157" t="s">
        <v>165</v>
      </c>
      <c r="B39" s="143" t="s">
        <v>166</v>
      </c>
      <c r="C39" s="150"/>
      <c r="D39" s="145">
        <f>(129000/6)</f>
        <v>21500</v>
      </c>
      <c r="E39" s="146"/>
      <c r="F39" s="138" t="s">
        <v>134</v>
      </c>
    </row>
    <row r="40" spans="1:7" ht="16">
      <c r="A40" s="157" t="s">
        <v>167</v>
      </c>
      <c r="B40" s="143" t="s">
        <v>164</v>
      </c>
      <c r="C40" s="150"/>
      <c r="D40" s="145">
        <f>C398</f>
        <v>13258</v>
      </c>
      <c r="E40" s="146"/>
      <c r="F40" s="138" t="s">
        <v>134</v>
      </c>
    </row>
    <row r="41" spans="1:7" ht="16">
      <c r="A41" s="157" t="s">
        <v>168</v>
      </c>
      <c r="B41" s="143" t="s">
        <v>164</v>
      </c>
      <c r="C41" s="150"/>
      <c r="D41" s="145">
        <v>11983</v>
      </c>
      <c r="E41" s="146"/>
      <c r="F41" s="138" t="s">
        <v>134</v>
      </c>
    </row>
    <row r="42" spans="1:7" ht="16">
      <c r="A42" s="157" t="s">
        <v>169</v>
      </c>
      <c r="B42" s="143" t="s">
        <v>164</v>
      </c>
      <c r="C42" s="150"/>
      <c r="D42" s="145">
        <v>72087</v>
      </c>
      <c r="E42" s="146"/>
      <c r="F42" s="138"/>
    </row>
    <row r="43" spans="1:7" ht="16">
      <c r="A43" s="157" t="s">
        <v>170</v>
      </c>
      <c r="B43" s="143" t="s">
        <v>164</v>
      </c>
      <c r="C43" s="150"/>
      <c r="D43" s="145">
        <v>79512</v>
      </c>
      <c r="E43" s="146"/>
      <c r="F43" s="138"/>
    </row>
    <row r="44" spans="1:7" ht="16">
      <c r="A44" s="157" t="s">
        <v>171</v>
      </c>
      <c r="B44" s="143" t="s">
        <v>164</v>
      </c>
      <c r="C44" s="150"/>
      <c r="D44" s="145">
        <v>106576</v>
      </c>
      <c r="E44" s="146"/>
      <c r="F44" s="138"/>
    </row>
    <row r="45" spans="1:7" ht="16">
      <c r="A45" s="157" t="s">
        <v>172</v>
      </c>
      <c r="B45" s="143" t="s">
        <v>164</v>
      </c>
      <c r="C45" s="150"/>
      <c r="D45" s="145">
        <v>52722</v>
      </c>
      <c r="E45" s="146"/>
      <c r="F45" s="138"/>
    </row>
    <row r="46" spans="1:7" ht="35.25" customHeight="1">
      <c r="A46" s="158" t="s">
        <v>173</v>
      </c>
      <c r="B46" s="143" t="s">
        <v>45</v>
      </c>
      <c r="C46" s="150"/>
      <c r="D46" s="145">
        <v>18400</v>
      </c>
      <c r="E46" s="146"/>
      <c r="F46" s="138"/>
      <c r="G46">
        <f>2.4*6</f>
        <v>14.399999999999999</v>
      </c>
    </row>
    <row r="47" spans="1:7" ht="17" hidden="1">
      <c r="A47" s="159" t="s">
        <v>174</v>
      </c>
      <c r="B47" s="160" t="s">
        <v>88</v>
      </c>
      <c r="C47" s="150"/>
      <c r="D47" s="161">
        <f>8500*1.1</f>
        <v>9350</v>
      </c>
      <c r="E47" s="146"/>
      <c r="F47" s="138" t="s">
        <v>134</v>
      </c>
    </row>
    <row r="48" spans="1:7" ht="16" hidden="1">
      <c r="A48" s="156" t="s">
        <v>175</v>
      </c>
      <c r="B48" s="162" t="s">
        <v>88</v>
      </c>
      <c r="C48" s="150"/>
      <c r="D48" s="161">
        <f>1400*1.1</f>
        <v>1540.0000000000002</v>
      </c>
      <c r="E48" s="146"/>
      <c r="F48" s="138" t="s">
        <v>134</v>
      </c>
    </row>
    <row r="49" spans="1:7" ht="16" hidden="1">
      <c r="A49" s="156" t="s">
        <v>176</v>
      </c>
      <c r="B49" s="162" t="s">
        <v>88</v>
      </c>
      <c r="C49" s="150"/>
      <c r="D49" s="161">
        <f>17200*1.1</f>
        <v>18920</v>
      </c>
      <c r="E49" s="146"/>
      <c r="F49" s="138" t="s">
        <v>134</v>
      </c>
    </row>
    <row r="50" spans="1:7" ht="16" hidden="1">
      <c r="A50" s="163" t="s">
        <v>177</v>
      </c>
      <c r="B50" s="162" t="s">
        <v>88</v>
      </c>
      <c r="C50" s="150"/>
      <c r="D50" s="161">
        <f>8320*1.1</f>
        <v>9152</v>
      </c>
      <c r="E50" s="146"/>
      <c r="F50" s="138" t="s">
        <v>134</v>
      </c>
    </row>
    <row r="51" spans="1:7" ht="16" hidden="1">
      <c r="A51" s="156" t="s">
        <v>178</v>
      </c>
      <c r="B51" s="162" t="s">
        <v>88</v>
      </c>
      <c r="C51" s="150"/>
      <c r="D51" s="161">
        <f>16500*1.1</f>
        <v>18150</v>
      </c>
      <c r="E51" s="146"/>
      <c r="F51" s="138" t="s">
        <v>134</v>
      </c>
    </row>
    <row r="52" spans="1:7" ht="16" hidden="1">
      <c r="A52" s="156" t="s">
        <v>179</v>
      </c>
      <c r="B52" s="162" t="s">
        <v>88</v>
      </c>
      <c r="C52" s="150"/>
      <c r="D52" s="161">
        <f>29100*1.1</f>
        <v>32010.000000000004</v>
      </c>
      <c r="E52" s="146"/>
      <c r="F52" s="138" t="s">
        <v>134</v>
      </c>
    </row>
    <row r="53" spans="1:7" ht="17">
      <c r="A53" s="152" t="s">
        <v>180</v>
      </c>
      <c r="B53" s="143" t="s">
        <v>88</v>
      </c>
      <c r="C53" s="150"/>
      <c r="D53" s="151">
        <v>500</v>
      </c>
      <c r="E53" s="146"/>
      <c r="F53" s="138"/>
    </row>
    <row r="54" spans="1:7" ht="17">
      <c r="A54" s="152" t="s">
        <v>111</v>
      </c>
      <c r="B54" s="143" t="s">
        <v>110</v>
      </c>
      <c r="C54" s="150"/>
      <c r="D54" s="164">
        <v>3080</v>
      </c>
      <c r="E54" s="146"/>
      <c r="F54" s="138" t="s">
        <v>134</v>
      </c>
    </row>
    <row r="55" spans="1:7" ht="17">
      <c r="A55" s="152" t="s">
        <v>181</v>
      </c>
      <c r="B55" s="143" t="s">
        <v>182</v>
      </c>
      <c r="C55" s="150"/>
      <c r="D55" s="165">
        <v>3000000</v>
      </c>
      <c r="E55" s="146"/>
      <c r="F55" s="138" t="s">
        <v>183</v>
      </c>
    </row>
    <row r="56" spans="1:7" ht="17">
      <c r="A56" s="152" t="s">
        <v>184</v>
      </c>
      <c r="B56" s="143" t="s">
        <v>182</v>
      </c>
      <c r="C56" s="150"/>
      <c r="D56" s="165">
        <v>1250000</v>
      </c>
      <c r="E56" s="166">
        <f>D56/30</f>
        <v>41666.666666666664</v>
      </c>
      <c r="F56" s="138" t="s">
        <v>183</v>
      </c>
    </row>
    <row r="57" spans="1:7" ht="17">
      <c r="A57" s="152" t="s">
        <v>185</v>
      </c>
      <c r="B57" s="143" t="s">
        <v>182</v>
      </c>
      <c r="C57" s="150"/>
      <c r="D57" s="165">
        <v>1057000</v>
      </c>
      <c r="E57" s="166">
        <f>D57/30</f>
        <v>35233.333333333336</v>
      </c>
      <c r="F57" s="138" t="s">
        <v>183</v>
      </c>
    </row>
    <row r="58" spans="1:7" ht="17">
      <c r="A58" s="152" t="s">
        <v>186</v>
      </c>
      <c r="B58" s="143" t="s">
        <v>182</v>
      </c>
      <c r="C58" s="150"/>
      <c r="D58" s="165">
        <v>2300000</v>
      </c>
      <c r="E58" s="166">
        <f>D58/30</f>
        <v>76666.666666666672</v>
      </c>
      <c r="F58" s="138" t="s">
        <v>183</v>
      </c>
    </row>
    <row r="59" spans="1:7" ht="17">
      <c r="A59" s="152" t="s">
        <v>187</v>
      </c>
      <c r="B59" s="143" t="s">
        <v>188</v>
      </c>
      <c r="C59" s="150"/>
      <c r="D59" s="165">
        <v>169400</v>
      </c>
      <c r="E59" s="146"/>
      <c r="F59" s="138" t="s">
        <v>183</v>
      </c>
    </row>
    <row r="60" spans="1:7" ht="17">
      <c r="A60" s="152" t="s">
        <v>189</v>
      </c>
      <c r="B60" s="143" t="s">
        <v>190</v>
      </c>
      <c r="C60" s="150"/>
      <c r="D60" s="151">
        <v>120000</v>
      </c>
      <c r="E60" s="146"/>
      <c r="F60" s="138" t="s">
        <v>183</v>
      </c>
    </row>
    <row r="61" spans="1:7" ht="17">
      <c r="A61" s="152" t="s">
        <v>191</v>
      </c>
      <c r="B61" s="143" t="s">
        <v>106</v>
      </c>
      <c r="C61" s="150"/>
      <c r="D61" s="165">
        <v>135300</v>
      </c>
      <c r="E61" s="146"/>
      <c r="F61" s="138" t="s">
        <v>183</v>
      </c>
    </row>
    <row r="62" spans="1:7" ht="17">
      <c r="A62" s="152" t="s">
        <v>192</v>
      </c>
      <c r="B62" s="143" t="s">
        <v>188</v>
      </c>
      <c r="C62" s="167"/>
      <c r="D62" s="165">
        <v>1056000</v>
      </c>
      <c r="E62" s="146"/>
      <c r="F62" s="138" t="s">
        <v>183</v>
      </c>
    </row>
    <row r="63" spans="1:7" ht="16">
      <c r="A63" s="168" t="s">
        <v>193</v>
      </c>
      <c r="B63" s="114" t="s">
        <v>4</v>
      </c>
      <c r="C63" s="150"/>
      <c r="D63" s="151">
        <v>2750</v>
      </c>
      <c r="E63" s="146"/>
      <c r="F63" s="138" t="s">
        <v>134</v>
      </c>
      <c r="G63">
        <f>22100/20</f>
        <v>1105</v>
      </c>
    </row>
    <row r="64" spans="1:7" ht="16">
      <c r="A64" s="168" t="s">
        <v>111</v>
      </c>
      <c r="B64" s="114" t="s">
        <v>110</v>
      </c>
      <c r="C64" s="150"/>
      <c r="D64" s="165">
        <v>3090</v>
      </c>
      <c r="E64" s="146"/>
      <c r="F64" s="138" t="s">
        <v>134</v>
      </c>
    </row>
    <row r="65" spans="1:6" ht="16">
      <c r="A65" s="168" t="s">
        <v>194</v>
      </c>
      <c r="B65" s="114" t="s">
        <v>88</v>
      </c>
      <c r="C65" s="150"/>
      <c r="D65" s="165">
        <v>18000</v>
      </c>
      <c r="E65" s="146"/>
      <c r="F65" s="138" t="s">
        <v>153</v>
      </c>
    </row>
    <row r="66" spans="1:6" ht="17">
      <c r="A66" s="152" t="s">
        <v>195</v>
      </c>
      <c r="B66" s="143" t="s">
        <v>4</v>
      </c>
      <c r="C66" s="150"/>
      <c r="D66" s="151">
        <v>4250</v>
      </c>
      <c r="E66" s="146"/>
      <c r="F66" s="138" t="s">
        <v>153</v>
      </c>
    </row>
    <row r="67" spans="1:6" ht="17" hidden="1">
      <c r="A67" s="152" t="s">
        <v>196</v>
      </c>
      <c r="B67" s="143" t="s">
        <v>88</v>
      </c>
      <c r="C67" s="150"/>
      <c r="D67" s="169">
        <f>45000*1.25</f>
        <v>56250</v>
      </c>
      <c r="E67" s="146"/>
      <c r="F67" s="138" t="s">
        <v>134</v>
      </c>
    </row>
    <row r="68" spans="1:6" ht="17" hidden="1">
      <c r="A68" s="152" t="s">
        <v>197</v>
      </c>
      <c r="B68" s="143" t="s">
        <v>4</v>
      </c>
      <c r="C68" s="150"/>
      <c r="D68" s="170">
        <f>280000*1.1</f>
        <v>308000</v>
      </c>
      <c r="E68" s="146"/>
      <c r="F68" s="138" t="s">
        <v>134</v>
      </c>
    </row>
    <row r="69" spans="1:6" ht="16">
      <c r="A69" s="171" t="s">
        <v>198</v>
      </c>
      <c r="B69" s="143" t="s">
        <v>199</v>
      </c>
      <c r="C69" s="150"/>
      <c r="D69" s="165">
        <v>120000</v>
      </c>
      <c r="E69" s="146"/>
      <c r="F69" s="138" t="s">
        <v>134</v>
      </c>
    </row>
    <row r="70" spans="1:6" ht="17" hidden="1">
      <c r="A70" s="172" t="s">
        <v>200</v>
      </c>
      <c r="B70" s="143" t="s">
        <v>166</v>
      </c>
      <c r="C70" s="150"/>
      <c r="D70" s="169">
        <f>3300*1.15</f>
        <v>3794.9999999999995</v>
      </c>
      <c r="E70" s="146"/>
      <c r="F70" s="138" t="s">
        <v>134</v>
      </c>
    </row>
    <row r="71" spans="1:6" ht="17" hidden="1">
      <c r="A71" s="172" t="s">
        <v>201</v>
      </c>
      <c r="B71" s="143" t="s">
        <v>166</v>
      </c>
      <c r="C71" s="150"/>
      <c r="D71" s="169">
        <f>3800*1.15</f>
        <v>4370</v>
      </c>
      <c r="E71" s="146"/>
      <c r="F71" s="138" t="s">
        <v>134</v>
      </c>
    </row>
    <row r="72" spans="1:6" ht="17" hidden="1">
      <c r="A72" s="172" t="s">
        <v>117</v>
      </c>
      <c r="B72" s="143" t="s">
        <v>106</v>
      </c>
      <c r="C72" s="150"/>
      <c r="D72" s="173">
        <f>104400*1.1</f>
        <v>114840.00000000001</v>
      </c>
      <c r="E72" s="146"/>
      <c r="F72" s="138" t="s">
        <v>134</v>
      </c>
    </row>
    <row r="73" spans="1:6" ht="17" hidden="1">
      <c r="A73" s="152" t="s">
        <v>202</v>
      </c>
      <c r="B73" s="143" t="s">
        <v>88</v>
      </c>
      <c r="C73" s="150"/>
      <c r="D73" s="170">
        <f>17000*1.1</f>
        <v>18700</v>
      </c>
      <c r="E73" s="146"/>
      <c r="F73" s="138" t="s">
        <v>134</v>
      </c>
    </row>
    <row r="74" spans="1:6" ht="17" hidden="1">
      <c r="A74" s="172" t="s">
        <v>203</v>
      </c>
      <c r="B74" s="143" t="s">
        <v>106</v>
      </c>
      <c r="C74" s="150"/>
      <c r="D74" s="174">
        <f>50000*1.2</f>
        <v>60000</v>
      </c>
      <c r="E74" s="146"/>
      <c r="F74" s="138" t="s">
        <v>134</v>
      </c>
    </row>
    <row r="75" spans="1:6" ht="17">
      <c r="A75" s="172" t="s">
        <v>204</v>
      </c>
      <c r="B75" s="143" t="s">
        <v>90</v>
      </c>
      <c r="C75" s="150"/>
      <c r="D75" s="151">
        <v>116000</v>
      </c>
      <c r="E75" s="146"/>
      <c r="F75" s="138"/>
    </row>
    <row r="76" spans="1:6" ht="17">
      <c r="A76" s="172" t="s">
        <v>205</v>
      </c>
      <c r="B76" s="143" t="s">
        <v>106</v>
      </c>
      <c r="C76" s="150"/>
      <c r="D76" s="175">
        <v>1095</v>
      </c>
      <c r="E76" s="146"/>
      <c r="F76" s="138" t="s">
        <v>134</v>
      </c>
    </row>
    <row r="77" spans="1:6" ht="17">
      <c r="A77" s="172" t="s">
        <v>206</v>
      </c>
      <c r="B77" s="143" t="s">
        <v>133</v>
      </c>
      <c r="C77" s="150"/>
      <c r="D77" s="165">
        <v>1574</v>
      </c>
      <c r="E77" s="146"/>
      <c r="F77" s="138" t="s">
        <v>134</v>
      </c>
    </row>
    <row r="78" spans="1:6" ht="17">
      <c r="A78" s="152" t="s">
        <v>207</v>
      </c>
      <c r="B78" s="143" t="s">
        <v>4</v>
      </c>
      <c r="C78" s="150"/>
      <c r="D78" s="175">
        <v>23870</v>
      </c>
      <c r="E78" s="146"/>
      <c r="F78" s="138" t="s">
        <v>134</v>
      </c>
    </row>
    <row r="79" spans="1:6" ht="17">
      <c r="A79" s="152" t="s">
        <v>208</v>
      </c>
      <c r="B79" s="143" t="s">
        <v>133</v>
      </c>
      <c r="C79" s="150"/>
      <c r="D79" s="175">
        <v>2932</v>
      </c>
      <c r="E79" s="146"/>
      <c r="F79" s="138" t="s">
        <v>134</v>
      </c>
    </row>
    <row r="80" spans="1:6" ht="17">
      <c r="A80" s="152" t="s">
        <v>209</v>
      </c>
      <c r="B80" s="143" t="s">
        <v>88</v>
      </c>
      <c r="C80" s="150"/>
      <c r="D80" s="175">
        <v>27000</v>
      </c>
      <c r="E80" s="146"/>
      <c r="F80" s="138" t="s">
        <v>134</v>
      </c>
    </row>
    <row r="81" spans="1:6" ht="17">
      <c r="A81" s="152" t="s">
        <v>210</v>
      </c>
      <c r="B81" s="143" t="s">
        <v>88</v>
      </c>
      <c r="C81" s="150"/>
      <c r="D81" s="175">
        <v>33360</v>
      </c>
      <c r="E81" s="146"/>
      <c r="F81" s="138" t="s">
        <v>134</v>
      </c>
    </row>
    <row r="82" spans="1:6" ht="17">
      <c r="A82" s="152" t="s">
        <v>211</v>
      </c>
      <c r="B82" s="143" t="s">
        <v>88</v>
      </c>
      <c r="C82" s="150"/>
      <c r="D82" s="175">
        <v>400</v>
      </c>
      <c r="E82" s="146"/>
      <c r="F82" s="138" t="s">
        <v>134</v>
      </c>
    </row>
    <row r="83" spans="1:6" ht="17">
      <c r="A83" s="152" t="s">
        <v>212</v>
      </c>
      <c r="B83" s="143" t="s">
        <v>88</v>
      </c>
      <c r="C83" s="150"/>
      <c r="D83" s="175">
        <v>380</v>
      </c>
      <c r="E83" s="146"/>
      <c r="F83" s="138" t="s">
        <v>134</v>
      </c>
    </row>
    <row r="84" spans="1:6" ht="17" hidden="1">
      <c r="A84" s="152" t="s">
        <v>213</v>
      </c>
      <c r="B84" s="143" t="s">
        <v>88</v>
      </c>
      <c r="C84" s="150"/>
      <c r="D84" s="169">
        <f>31000*1.15</f>
        <v>35650</v>
      </c>
      <c r="E84" s="146"/>
      <c r="F84" s="138" t="s">
        <v>134</v>
      </c>
    </row>
    <row r="85" spans="1:6" ht="17" hidden="1">
      <c r="A85" s="152" t="s">
        <v>214</v>
      </c>
      <c r="B85" s="143" t="s">
        <v>9</v>
      </c>
      <c r="C85" s="150"/>
      <c r="D85" s="175">
        <f>D90</f>
        <v>21500</v>
      </c>
      <c r="E85" s="146"/>
      <c r="F85" s="138" t="s">
        <v>134</v>
      </c>
    </row>
    <row r="86" spans="1:6" ht="17" hidden="1">
      <c r="A86" s="152" t="s">
        <v>215</v>
      </c>
      <c r="B86" s="143" t="s">
        <v>88</v>
      </c>
      <c r="C86" s="150"/>
      <c r="D86" s="173">
        <f>17650*1.1</f>
        <v>19415</v>
      </c>
      <c r="E86" s="146"/>
      <c r="F86" s="138" t="s">
        <v>134</v>
      </c>
    </row>
    <row r="87" spans="1:6" ht="17" hidden="1">
      <c r="A87" s="152" t="s">
        <v>216</v>
      </c>
      <c r="B87" s="143" t="s">
        <v>88</v>
      </c>
      <c r="C87" s="150"/>
      <c r="D87" s="169">
        <f>4290*1.1</f>
        <v>4719</v>
      </c>
      <c r="E87" s="146"/>
      <c r="F87" s="138" t="s">
        <v>134</v>
      </c>
    </row>
    <row r="88" spans="1:6" ht="17" hidden="1">
      <c r="A88" s="152" t="s">
        <v>217</v>
      </c>
      <c r="B88" s="143" t="s">
        <v>9</v>
      </c>
      <c r="C88" s="150"/>
      <c r="D88" s="165">
        <f>D40</f>
        <v>13258</v>
      </c>
      <c r="E88" s="146"/>
      <c r="F88" s="138" t="s">
        <v>134</v>
      </c>
    </row>
    <row r="89" spans="1:6" ht="17" hidden="1">
      <c r="A89" s="152" t="s">
        <v>218</v>
      </c>
      <c r="B89" s="143" t="s">
        <v>88</v>
      </c>
      <c r="C89" s="150"/>
      <c r="D89" s="169">
        <f>8250*1.1</f>
        <v>9075</v>
      </c>
      <c r="E89" s="146"/>
      <c r="F89" s="138" t="s">
        <v>134</v>
      </c>
    </row>
    <row r="90" spans="1:6" ht="17" hidden="1">
      <c r="A90" s="152" t="s">
        <v>214</v>
      </c>
      <c r="B90" s="143" t="s">
        <v>166</v>
      </c>
      <c r="C90" s="150"/>
      <c r="D90" s="173">
        <f>D39</f>
        <v>21500</v>
      </c>
      <c r="E90" s="146"/>
      <c r="F90" s="138" t="s">
        <v>134</v>
      </c>
    </row>
    <row r="91" spans="1:6" ht="17" hidden="1">
      <c r="A91" s="152" t="s">
        <v>219</v>
      </c>
      <c r="B91" s="143" t="s">
        <v>88</v>
      </c>
      <c r="C91" s="150"/>
      <c r="D91" s="169">
        <f>D51</f>
        <v>18150</v>
      </c>
      <c r="E91" s="146"/>
      <c r="F91" s="138" t="s">
        <v>134</v>
      </c>
    </row>
    <row r="92" spans="1:6" ht="17" hidden="1">
      <c r="A92" s="152" t="s">
        <v>220</v>
      </c>
      <c r="B92" s="143" t="s">
        <v>88</v>
      </c>
      <c r="C92" s="150"/>
      <c r="D92" s="169">
        <f>D50</f>
        <v>9152</v>
      </c>
      <c r="E92" s="146"/>
      <c r="F92" s="138" t="s">
        <v>134</v>
      </c>
    </row>
    <row r="93" spans="1:6" ht="17" hidden="1">
      <c r="A93" s="152" t="s">
        <v>221</v>
      </c>
      <c r="B93" s="143" t="s">
        <v>88</v>
      </c>
      <c r="C93" s="150"/>
      <c r="D93" s="169">
        <f>7300*1.1</f>
        <v>8030.0000000000009</v>
      </c>
      <c r="E93" s="146"/>
      <c r="F93" s="138" t="s">
        <v>134</v>
      </c>
    </row>
    <row r="94" spans="1:6" ht="17" hidden="1">
      <c r="A94" s="152" t="s">
        <v>222</v>
      </c>
      <c r="B94" s="143" t="s">
        <v>88</v>
      </c>
      <c r="C94" s="150"/>
      <c r="D94" s="169">
        <f>19000*1.1</f>
        <v>20900</v>
      </c>
      <c r="E94" s="146"/>
      <c r="F94" s="138" t="s">
        <v>134</v>
      </c>
    </row>
    <row r="95" spans="1:6" ht="17" hidden="1">
      <c r="A95" s="152" t="s">
        <v>223</v>
      </c>
      <c r="B95" s="143" t="s">
        <v>88</v>
      </c>
      <c r="C95" s="150"/>
      <c r="D95" s="155">
        <f>4450*1.1</f>
        <v>4895</v>
      </c>
      <c r="E95" s="146"/>
      <c r="F95" s="138" t="s">
        <v>134</v>
      </c>
    </row>
    <row r="96" spans="1:6" ht="17" hidden="1">
      <c r="A96" s="152" t="s">
        <v>217</v>
      </c>
      <c r="B96" s="143" t="s">
        <v>9</v>
      </c>
      <c r="C96" s="150"/>
      <c r="D96" s="174">
        <f>D88</f>
        <v>13258</v>
      </c>
      <c r="E96" s="146"/>
      <c r="F96" s="138" t="s">
        <v>134</v>
      </c>
    </row>
    <row r="97" spans="1:6" ht="17" hidden="1">
      <c r="A97" s="152" t="s">
        <v>224</v>
      </c>
      <c r="B97" s="143" t="s">
        <v>88</v>
      </c>
      <c r="C97" s="150"/>
      <c r="D97" s="176">
        <f>6000*1.1</f>
        <v>6600.0000000000009</v>
      </c>
      <c r="E97" s="146" t="s">
        <v>225</v>
      </c>
      <c r="F97" s="138" t="s">
        <v>134</v>
      </c>
    </row>
    <row r="98" spans="1:6" ht="17" hidden="1">
      <c r="A98" s="152" t="s">
        <v>226</v>
      </c>
      <c r="B98" s="143" t="s">
        <v>88</v>
      </c>
      <c r="C98" s="150"/>
      <c r="D98" s="173">
        <f>2600*1.1</f>
        <v>2860.0000000000005</v>
      </c>
      <c r="E98" s="146"/>
      <c r="F98" s="138" t="s">
        <v>134</v>
      </c>
    </row>
    <row r="99" spans="1:6" ht="19" hidden="1">
      <c r="A99" s="177" t="s">
        <v>227</v>
      </c>
      <c r="B99" s="178" t="s">
        <v>88</v>
      </c>
      <c r="C99" s="150"/>
      <c r="D99" s="169">
        <f>26000*1.1</f>
        <v>28600.000000000004</v>
      </c>
      <c r="E99" s="146"/>
      <c r="F99" s="138" t="s">
        <v>134</v>
      </c>
    </row>
    <row r="100" spans="1:6" ht="17" hidden="1">
      <c r="A100" s="152" t="s">
        <v>228</v>
      </c>
      <c r="B100" s="143" t="s">
        <v>9</v>
      </c>
      <c r="C100" s="150"/>
      <c r="D100" s="173">
        <f>(18400/6)*1.1</f>
        <v>3373.3333333333335</v>
      </c>
      <c r="E100" s="146"/>
      <c r="F100" s="138" t="s">
        <v>134</v>
      </c>
    </row>
    <row r="101" spans="1:6" ht="17" hidden="1">
      <c r="A101" s="152" t="s">
        <v>229</v>
      </c>
      <c r="B101" s="143" t="s">
        <v>88</v>
      </c>
      <c r="C101" s="150"/>
      <c r="D101" s="173">
        <f>690*1.1</f>
        <v>759.00000000000011</v>
      </c>
      <c r="E101" s="146"/>
      <c r="F101" s="138" t="s">
        <v>134</v>
      </c>
    </row>
    <row r="102" spans="1:6" ht="17" hidden="1">
      <c r="A102" s="152" t="s">
        <v>230</v>
      </c>
      <c r="B102" s="143" t="s">
        <v>88</v>
      </c>
      <c r="C102" s="150"/>
      <c r="D102" s="173">
        <f>696*1.1</f>
        <v>765.6</v>
      </c>
      <c r="E102" s="146"/>
      <c r="F102" s="138" t="s">
        <v>134</v>
      </c>
    </row>
    <row r="103" spans="1:6" ht="17" hidden="1">
      <c r="A103" s="152" t="s">
        <v>231</v>
      </c>
      <c r="B103" s="143" t="s">
        <v>9</v>
      </c>
      <c r="C103" s="150"/>
      <c r="D103" s="169">
        <f>(22700/6)*1.1</f>
        <v>4161.666666666667</v>
      </c>
      <c r="E103" s="146"/>
      <c r="F103" s="138" t="s">
        <v>134</v>
      </c>
    </row>
    <row r="104" spans="1:6" ht="17" hidden="1">
      <c r="A104" s="152" t="s">
        <v>232</v>
      </c>
      <c r="B104" s="143" t="s">
        <v>9</v>
      </c>
      <c r="C104" s="150"/>
      <c r="D104" s="165">
        <f>(31850/6)*1.1</f>
        <v>5839.166666666667</v>
      </c>
      <c r="E104" s="179"/>
      <c r="F104" s="138" t="s">
        <v>134</v>
      </c>
    </row>
    <row r="105" spans="1:6" ht="17" hidden="1">
      <c r="A105" s="152" t="s">
        <v>233</v>
      </c>
      <c r="B105" s="143" t="s">
        <v>88</v>
      </c>
      <c r="C105" s="150"/>
      <c r="D105" s="173">
        <f>1150*1.1</f>
        <v>1265</v>
      </c>
      <c r="E105" s="146"/>
      <c r="F105" s="138" t="s">
        <v>134</v>
      </c>
    </row>
    <row r="106" spans="1:6" ht="17" hidden="1">
      <c r="A106" s="152" t="s">
        <v>234</v>
      </c>
      <c r="B106" s="143" t="s">
        <v>88</v>
      </c>
      <c r="C106" s="150"/>
      <c r="D106" s="169">
        <f>900*1.1</f>
        <v>990.00000000000011</v>
      </c>
      <c r="E106" s="146"/>
      <c r="F106" s="138" t="s">
        <v>134</v>
      </c>
    </row>
    <row r="107" spans="1:6" ht="17" hidden="1">
      <c r="A107" s="152" t="s">
        <v>235</v>
      </c>
      <c r="B107" s="143" t="s">
        <v>88</v>
      </c>
      <c r="C107" s="150"/>
      <c r="D107" s="169">
        <f>696*1.1</f>
        <v>765.6</v>
      </c>
      <c r="E107" s="180"/>
      <c r="F107" s="138" t="s">
        <v>134</v>
      </c>
    </row>
    <row r="108" spans="1:6" ht="17" hidden="1">
      <c r="A108" s="152" t="s">
        <v>236</v>
      </c>
      <c r="B108" s="143" t="s">
        <v>88</v>
      </c>
      <c r="C108" s="150"/>
      <c r="D108" s="169">
        <f>215000*1.2</f>
        <v>258000</v>
      </c>
      <c r="E108" s="146"/>
      <c r="F108" s="138" t="s">
        <v>134</v>
      </c>
    </row>
    <row r="109" spans="1:6" ht="17" hidden="1">
      <c r="A109" s="152" t="s">
        <v>237</v>
      </c>
      <c r="B109" s="143" t="s">
        <v>88</v>
      </c>
      <c r="C109" s="150"/>
      <c r="D109" s="169">
        <f>36310*1.15</f>
        <v>41756.5</v>
      </c>
      <c r="E109" s="146"/>
      <c r="F109" s="138" t="s">
        <v>134</v>
      </c>
    </row>
    <row r="110" spans="1:6" ht="17" hidden="1">
      <c r="A110" s="152" t="s">
        <v>238</v>
      </c>
      <c r="B110" s="143" t="s">
        <v>88</v>
      </c>
      <c r="C110" s="150"/>
      <c r="D110" s="169">
        <f>35900*1.15</f>
        <v>41285</v>
      </c>
      <c r="E110" s="146"/>
      <c r="F110" s="138" t="s">
        <v>134</v>
      </c>
    </row>
    <row r="111" spans="1:6" ht="17" hidden="1">
      <c r="A111" s="152" t="s">
        <v>239</v>
      </c>
      <c r="B111" s="143" t="s">
        <v>88</v>
      </c>
      <c r="C111" s="150"/>
      <c r="D111" s="169">
        <f>29720*1.15</f>
        <v>34178</v>
      </c>
      <c r="E111" s="179"/>
      <c r="F111" s="138" t="s">
        <v>134</v>
      </c>
    </row>
    <row r="112" spans="1:6" ht="17" hidden="1">
      <c r="A112" s="152" t="s">
        <v>240</v>
      </c>
      <c r="B112" s="143" t="s">
        <v>88</v>
      </c>
      <c r="C112" s="150"/>
      <c r="D112" s="169">
        <f>890*1.1</f>
        <v>979.00000000000011</v>
      </c>
      <c r="E112" s="146"/>
      <c r="F112" s="138" t="s">
        <v>134</v>
      </c>
    </row>
    <row r="113" spans="1:7" ht="17" hidden="1">
      <c r="A113" s="172" t="s">
        <v>241</v>
      </c>
      <c r="B113" s="143" t="s">
        <v>88</v>
      </c>
      <c r="C113" s="150"/>
      <c r="D113" s="169">
        <f>15000*1.1</f>
        <v>16500</v>
      </c>
      <c r="E113" s="146"/>
      <c r="F113" s="138" t="s">
        <v>134</v>
      </c>
    </row>
    <row r="114" spans="1:7" ht="17" hidden="1">
      <c r="A114" s="172" t="s">
        <v>242</v>
      </c>
      <c r="B114" s="143" t="s">
        <v>95</v>
      </c>
      <c r="C114" s="150"/>
      <c r="D114" s="169">
        <f>1400*1.1</f>
        <v>1540.0000000000002</v>
      </c>
      <c r="E114" s="146"/>
      <c r="F114" s="138" t="s">
        <v>134</v>
      </c>
    </row>
    <row r="115" spans="1:7" ht="17" hidden="1">
      <c r="A115" s="152" t="s">
        <v>243</v>
      </c>
      <c r="B115" s="143" t="s">
        <v>9</v>
      </c>
      <c r="C115" s="150"/>
      <c r="D115" s="169">
        <f>(12600/6)*1.1</f>
        <v>2310</v>
      </c>
      <c r="E115" s="180"/>
      <c r="F115" s="138" t="s">
        <v>134</v>
      </c>
    </row>
    <row r="116" spans="1:7" ht="17" hidden="1">
      <c r="A116" s="152" t="s">
        <v>244</v>
      </c>
      <c r="B116" s="143" t="s">
        <v>88</v>
      </c>
      <c r="C116" s="150"/>
      <c r="D116" s="169">
        <f>2880*1.1</f>
        <v>3168.0000000000005</v>
      </c>
      <c r="E116" s="146"/>
      <c r="F116" s="138" t="s">
        <v>134</v>
      </c>
    </row>
    <row r="117" spans="1:7" ht="17" hidden="1">
      <c r="A117" s="152" t="s">
        <v>245</v>
      </c>
      <c r="B117" s="143" t="s">
        <v>88</v>
      </c>
      <c r="C117" s="150"/>
      <c r="D117" s="169">
        <f>2880*1.1</f>
        <v>3168.0000000000005</v>
      </c>
      <c r="E117" s="146"/>
      <c r="F117" s="138" t="s">
        <v>134</v>
      </c>
    </row>
    <row r="118" spans="1:7" ht="17" hidden="1">
      <c r="A118" s="152" t="s">
        <v>246</v>
      </c>
      <c r="B118" s="143" t="s">
        <v>88</v>
      </c>
      <c r="C118" s="150"/>
      <c r="D118" s="169">
        <f>600*1.1</f>
        <v>660</v>
      </c>
      <c r="E118" s="146"/>
      <c r="F118" s="138" t="s">
        <v>134</v>
      </c>
    </row>
    <row r="119" spans="1:7" ht="17" hidden="1">
      <c r="A119" s="152" t="s">
        <v>247</v>
      </c>
      <c r="B119" s="143" t="s">
        <v>88</v>
      </c>
      <c r="C119" s="150"/>
      <c r="D119" s="169">
        <f>2150*1.1</f>
        <v>2365</v>
      </c>
      <c r="E119" s="146"/>
      <c r="F119" s="138" t="s">
        <v>134</v>
      </c>
      <c r="G119">
        <f>354900/6</f>
        <v>59150</v>
      </c>
    </row>
    <row r="120" spans="1:7" ht="17" hidden="1">
      <c r="A120" s="152" t="s">
        <v>248</v>
      </c>
      <c r="B120" s="143" t="s">
        <v>9</v>
      </c>
      <c r="C120" s="150"/>
      <c r="D120" s="169">
        <f>1550*1.1</f>
        <v>1705.0000000000002</v>
      </c>
      <c r="E120" s="146"/>
      <c r="F120" s="138" t="s">
        <v>134</v>
      </c>
    </row>
    <row r="121" spans="1:7" ht="17" hidden="1">
      <c r="A121" s="152" t="s">
        <v>249</v>
      </c>
      <c r="B121" s="143" t="s">
        <v>9</v>
      </c>
      <c r="C121" s="150"/>
      <c r="D121" s="169">
        <f>1400*1.1</f>
        <v>1540.0000000000002</v>
      </c>
      <c r="E121" s="146"/>
      <c r="F121" s="138" t="s">
        <v>134</v>
      </c>
    </row>
    <row r="122" spans="1:7" ht="17" hidden="1">
      <c r="A122" s="152" t="s">
        <v>250</v>
      </c>
      <c r="B122" s="143" t="s">
        <v>88</v>
      </c>
      <c r="C122" s="150"/>
      <c r="D122" s="169">
        <f>9700*1.1</f>
        <v>10670</v>
      </c>
      <c r="E122" s="146"/>
      <c r="F122" s="138" t="s">
        <v>134</v>
      </c>
    </row>
    <row r="123" spans="1:7" ht="17" hidden="1">
      <c r="A123" s="152" t="s">
        <v>251</v>
      </c>
      <c r="B123" s="143" t="s">
        <v>88</v>
      </c>
      <c r="C123" s="150"/>
      <c r="D123" s="169">
        <f>1300*1.1</f>
        <v>1430.0000000000002</v>
      </c>
      <c r="E123" s="146"/>
      <c r="F123" s="138" t="s">
        <v>134</v>
      </c>
    </row>
    <row r="124" spans="1:7" ht="17" hidden="1">
      <c r="A124" s="152" t="s">
        <v>252</v>
      </c>
      <c r="B124" s="143" t="s">
        <v>9</v>
      </c>
      <c r="C124" s="150"/>
      <c r="D124" s="173">
        <f>2100*1.1</f>
        <v>2310</v>
      </c>
      <c r="E124" s="146"/>
      <c r="F124" s="138" t="s">
        <v>134</v>
      </c>
    </row>
    <row r="125" spans="1:7" ht="17" hidden="1">
      <c r="A125" s="152" t="s">
        <v>253</v>
      </c>
      <c r="B125" s="143" t="s">
        <v>9</v>
      </c>
      <c r="C125" s="150"/>
      <c r="D125" s="169">
        <f>3800*1.1</f>
        <v>4180</v>
      </c>
      <c r="E125" s="146"/>
      <c r="F125" s="138" t="s">
        <v>134</v>
      </c>
    </row>
    <row r="126" spans="1:7" ht="17" hidden="1">
      <c r="A126" s="152" t="s">
        <v>254</v>
      </c>
      <c r="B126" s="143" t="s">
        <v>9</v>
      </c>
      <c r="C126" s="150"/>
      <c r="D126" s="169">
        <f>4700*1.1</f>
        <v>5170</v>
      </c>
      <c r="E126" s="146"/>
      <c r="F126" s="138" t="s">
        <v>134</v>
      </c>
    </row>
    <row r="127" spans="1:7" ht="17" hidden="1">
      <c r="A127" s="152" t="s">
        <v>255</v>
      </c>
      <c r="B127" s="143" t="s">
        <v>88</v>
      </c>
      <c r="C127" s="150"/>
      <c r="D127" s="169">
        <f>13900*1.1</f>
        <v>15290.000000000002</v>
      </c>
      <c r="E127" s="146"/>
      <c r="F127" s="138" t="s">
        <v>134</v>
      </c>
    </row>
    <row r="128" spans="1:7" ht="17" hidden="1">
      <c r="A128" s="152" t="s">
        <v>256</v>
      </c>
      <c r="B128" s="143" t="s">
        <v>88</v>
      </c>
      <c r="C128" s="150"/>
      <c r="D128" s="173">
        <f>3900*1.1</f>
        <v>4290</v>
      </c>
      <c r="E128" s="146"/>
      <c r="F128" s="138" t="s">
        <v>134</v>
      </c>
    </row>
    <row r="129" spans="1:7" ht="17" hidden="1">
      <c r="A129" s="152" t="s">
        <v>257</v>
      </c>
      <c r="B129" s="143" t="s">
        <v>88</v>
      </c>
      <c r="C129" s="150"/>
      <c r="D129" s="169">
        <f>160000*1.15</f>
        <v>184000</v>
      </c>
      <c r="E129" s="146"/>
      <c r="F129" s="138" t="s">
        <v>134</v>
      </c>
    </row>
    <row r="130" spans="1:7" ht="17" hidden="1">
      <c r="A130" s="152" t="s">
        <v>258</v>
      </c>
      <c r="B130" s="143" t="s">
        <v>88</v>
      </c>
      <c r="C130" s="150"/>
      <c r="D130" s="169">
        <f>190000*1.15</f>
        <v>218499.99999999997</v>
      </c>
      <c r="E130" s="146"/>
      <c r="F130" s="138" t="s">
        <v>134</v>
      </c>
    </row>
    <row r="131" spans="1:7" ht="17" hidden="1">
      <c r="A131" s="152" t="s">
        <v>259</v>
      </c>
      <c r="B131" s="143" t="s">
        <v>88</v>
      </c>
      <c r="C131" s="150"/>
      <c r="D131" s="169">
        <f>19200*1.15</f>
        <v>22080</v>
      </c>
      <c r="E131" s="146"/>
      <c r="F131" s="138" t="s">
        <v>134</v>
      </c>
    </row>
    <row r="132" spans="1:7" ht="34" hidden="1">
      <c r="A132" s="152" t="s">
        <v>260</v>
      </c>
      <c r="B132" s="143" t="s">
        <v>261</v>
      </c>
      <c r="C132" s="150"/>
      <c r="D132" s="174">
        <f>65000*1.1</f>
        <v>71500</v>
      </c>
      <c r="E132" s="146"/>
      <c r="F132" s="138" t="s">
        <v>134</v>
      </c>
      <c r="G132">
        <f>109900/50</f>
        <v>2198</v>
      </c>
    </row>
    <row r="133" spans="1:7" ht="17" hidden="1">
      <c r="A133" s="152" t="s">
        <v>262</v>
      </c>
      <c r="B133" s="143" t="s">
        <v>10</v>
      </c>
      <c r="C133" s="150"/>
      <c r="D133" s="174">
        <f>48000*1.1</f>
        <v>52800.000000000007</v>
      </c>
      <c r="E133" s="146"/>
      <c r="F133" s="138" t="s">
        <v>134</v>
      </c>
    </row>
    <row r="134" spans="1:7" ht="17" hidden="1">
      <c r="A134" s="152" t="s">
        <v>263</v>
      </c>
      <c r="B134" s="143" t="s">
        <v>88</v>
      </c>
      <c r="C134" s="150"/>
      <c r="D134" s="161">
        <f>60000*1.1</f>
        <v>66000</v>
      </c>
      <c r="E134" s="146"/>
      <c r="F134" s="138" t="s">
        <v>134</v>
      </c>
    </row>
    <row r="135" spans="1:7" ht="17" hidden="1">
      <c r="A135" s="152" t="s">
        <v>264</v>
      </c>
      <c r="B135" s="143" t="s">
        <v>88</v>
      </c>
      <c r="C135" s="150"/>
      <c r="D135" s="161">
        <f>75000*1.15</f>
        <v>86250</v>
      </c>
      <c r="E135" s="146"/>
      <c r="F135" s="138" t="s">
        <v>134</v>
      </c>
    </row>
    <row r="136" spans="1:7" ht="17" hidden="1">
      <c r="A136" s="152" t="s">
        <v>265</v>
      </c>
      <c r="B136" s="143" t="s">
        <v>88</v>
      </c>
      <c r="C136" s="150"/>
      <c r="D136" s="161">
        <f>D97</f>
        <v>6600.0000000000009</v>
      </c>
      <c r="E136" s="146"/>
      <c r="F136" s="138" t="s">
        <v>134</v>
      </c>
    </row>
    <row r="137" spans="1:7" ht="17" hidden="1">
      <c r="A137" s="152" t="s">
        <v>266</v>
      </c>
      <c r="B137" s="143" t="s">
        <v>88</v>
      </c>
      <c r="C137" s="150"/>
      <c r="D137" s="161">
        <f>2500*1.1</f>
        <v>2750</v>
      </c>
      <c r="E137" s="146"/>
      <c r="F137" s="138" t="s">
        <v>134</v>
      </c>
    </row>
    <row r="138" spans="1:7" ht="16" hidden="1">
      <c r="A138" s="181" t="s">
        <v>267</v>
      </c>
      <c r="B138" s="143" t="s">
        <v>88</v>
      </c>
      <c r="C138" s="150"/>
      <c r="D138" s="176">
        <f>45000*1.15</f>
        <v>51749.999999999993</v>
      </c>
      <c r="E138" s="146"/>
      <c r="F138" s="138" t="s">
        <v>134</v>
      </c>
    </row>
    <row r="139" spans="1:7" ht="16">
      <c r="A139" s="181" t="s">
        <v>268</v>
      </c>
      <c r="B139" s="143" t="s">
        <v>112</v>
      </c>
      <c r="C139" s="150"/>
      <c r="D139" s="175">
        <v>83000</v>
      </c>
      <c r="E139" s="146"/>
      <c r="F139" s="138" t="s">
        <v>134</v>
      </c>
    </row>
    <row r="140" spans="1:7" ht="17" hidden="1">
      <c r="A140" s="182" t="s">
        <v>269</v>
      </c>
      <c r="B140" s="143" t="s">
        <v>88</v>
      </c>
      <c r="C140" s="150"/>
      <c r="D140" s="169">
        <f>170000*1.2</f>
        <v>204000</v>
      </c>
      <c r="E140" s="146"/>
      <c r="F140" s="138" t="s">
        <v>134</v>
      </c>
    </row>
    <row r="141" spans="1:7" ht="16" hidden="1">
      <c r="A141" s="183" t="s">
        <v>270</v>
      </c>
      <c r="B141" s="143" t="s">
        <v>88</v>
      </c>
      <c r="C141" s="150"/>
      <c r="D141" s="169">
        <f>17000*1.15</f>
        <v>19550</v>
      </c>
      <c r="E141" s="146"/>
      <c r="F141" s="138" t="s">
        <v>134</v>
      </c>
    </row>
    <row r="142" spans="1:7" ht="17">
      <c r="A142" s="152" t="s">
        <v>271</v>
      </c>
      <c r="B142" s="143" t="s">
        <v>133</v>
      </c>
      <c r="C142" s="150"/>
      <c r="D142" s="165">
        <v>11662</v>
      </c>
      <c r="E142" s="146"/>
      <c r="F142" s="138" t="s">
        <v>134</v>
      </c>
    </row>
    <row r="143" spans="1:7" ht="17">
      <c r="A143" s="152" t="s">
        <v>272</v>
      </c>
      <c r="B143" s="143" t="s">
        <v>72</v>
      </c>
      <c r="C143" s="150"/>
      <c r="D143" s="165">
        <v>69500</v>
      </c>
      <c r="E143" s="146"/>
      <c r="F143" s="138" t="s">
        <v>134</v>
      </c>
    </row>
    <row r="144" spans="1:7" ht="17">
      <c r="A144" s="152" t="s">
        <v>273</v>
      </c>
      <c r="B144" s="143" t="s">
        <v>88</v>
      </c>
      <c r="C144" s="150"/>
      <c r="D144" s="175">
        <v>72000</v>
      </c>
      <c r="E144" s="146"/>
      <c r="F144" s="138" t="s">
        <v>134</v>
      </c>
    </row>
    <row r="145" spans="1:6" ht="17">
      <c r="A145" s="152" t="s">
        <v>274</v>
      </c>
      <c r="B145" s="143" t="s">
        <v>72</v>
      </c>
      <c r="C145" s="150"/>
      <c r="D145" s="175">
        <v>83000</v>
      </c>
      <c r="E145" s="146"/>
      <c r="F145" s="138" t="s">
        <v>134</v>
      </c>
    </row>
    <row r="146" spans="1:6" ht="17">
      <c r="A146" s="152" t="s">
        <v>275</v>
      </c>
      <c r="B146" s="143" t="s">
        <v>72</v>
      </c>
      <c r="C146" s="150"/>
      <c r="D146" s="175">
        <v>20125</v>
      </c>
      <c r="E146" s="146"/>
      <c r="F146" s="138" t="s">
        <v>134</v>
      </c>
    </row>
    <row r="147" spans="1:6" ht="17">
      <c r="A147" s="152" t="s">
        <v>276</v>
      </c>
      <c r="B147" s="143" t="s">
        <v>112</v>
      </c>
      <c r="C147" s="150"/>
      <c r="D147" s="175">
        <v>83490</v>
      </c>
      <c r="E147" s="146"/>
      <c r="F147" s="138" t="s">
        <v>134</v>
      </c>
    </row>
    <row r="148" spans="1:6" ht="23.25" customHeight="1">
      <c r="A148" s="184" t="s">
        <v>277</v>
      </c>
      <c r="B148" s="143" t="s">
        <v>4</v>
      </c>
      <c r="C148" s="150"/>
      <c r="D148" s="175">
        <v>238000</v>
      </c>
      <c r="E148" s="146"/>
      <c r="F148" s="138" t="s">
        <v>134</v>
      </c>
    </row>
    <row r="149" spans="1:6" ht="23.25" hidden="1" customHeight="1">
      <c r="A149" s="185" t="s">
        <v>278</v>
      </c>
      <c r="B149" s="186" t="s">
        <v>279</v>
      </c>
      <c r="C149" s="150"/>
      <c r="D149" s="169"/>
      <c r="E149" s="146"/>
      <c r="F149" s="138" t="s">
        <v>134</v>
      </c>
    </row>
    <row r="150" spans="1:6" ht="23.25" hidden="1" customHeight="1">
      <c r="A150" s="185" t="s">
        <v>280</v>
      </c>
      <c r="B150" s="186" t="s">
        <v>279</v>
      </c>
      <c r="C150" s="150"/>
      <c r="D150" s="169">
        <f>1200*1.2</f>
        <v>1440</v>
      </c>
      <c r="E150" s="146"/>
      <c r="F150" s="138" t="s">
        <v>134</v>
      </c>
    </row>
    <row r="151" spans="1:6" ht="23.25" hidden="1" customHeight="1">
      <c r="A151" s="171" t="s">
        <v>281</v>
      </c>
      <c r="B151" s="186" t="s">
        <v>88</v>
      </c>
      <c r="C151" s="150"/>
      <c r="D151" s="169">
        <f>D86</f>
        <v>19415</v>
      </c>
      <c r="E151" s="146"/>
      <c r="F151" s="138" t="s">
        <v>134</v>
      </c>
    </row>
    <row r="152" spans="1:6" ht="23.25" hidden="1" customHeight="1">
      <c r="A152" s="185" t="s">
        <v>282</v>
      </c>
      <c r="B152" s="186" t="s">
        <v>279</v>
      </c>
      <c r="C152" s="150"/>
      <c r="D152" s="169">
        <f>D37</f>
        <v>45439</v>
      </c>
      <c r="E152" s="146"/>
      <c r="F152" s="138" t="s">
        <v>134</v>
      </c>
    </row>
    <row r="153" spans="1:6" ht="23.25" customHeight="1">
      <c r="A153" s="185" t="s">
        <v>283</v>
      </c>
      <c r="B153" s="186" t="s">
        <v>88</v>
      </c>
      <c r="C153" s="150"/>
      <c r="D153" s="165">
        <f>D38</f>
        <v>101049</v>
      </c>
      <c r="E153" s="146"/>
      <c r="F153" s="138" t="s">
        <v>134</v>
      </c>
    </row>
    <row r="154" spans="1:6" ht="23.25" customHeight="1">
      <c r="A154" s="171" t="s">
        <v>284</v>
      </c>
      <c r="B154" s="186" t="s">
        <v>88</v>
      </c>
      <c r="C154" s="150"/>
      <c r="D154" s="165">
        <v>160389</v>
      </c>
      <c r="E154" s="146"/>
      <c r="F154" s="138" t="s">
        <v>134</v>
      </c>
    </row>
    <row r="155" spans="1:6" ht="23.25" hidden="1" customHeight="1">
      <c r="A155" s="185" t="s">
        <v>285</v>
      </c>
      <c r="B155" s="186" t="s">
        <v>286</v>
      </c>
      <c r="C155" s="150"/>
      <c r="D155" s="161">
        <f>13000*1.1</f>
        <v>14300.000000000002</v>
      </c>
      <c r="E155" s="146"/>
      <c r="F155" s="138" t="s">
        <v>134</v>
      </c>
    </row>
    <row r="156" spans="1:6" ht="23.25" hidden="1" customHeight="1">
      <c r="A156" s="185" t="s">
        <v>287</v>
      </c>
      <c r="B156" s="187" t="s">
        <v>10</v>
      </c>
      <c r="C156" s="150"/>
      <c r="D156" s="169"/>
      <c r="E156" s="146"/>
      <c r="F156" s="138" t="s">
        <v>134</v>
      </c>
    </row>
    <row r="157" spans="1:6" ht="23.25" hidden="1" customHeight="1">
      <c r="A157" s="185" t="s">
        <v>288</v>
      </c>
      <c r="B157" s="187" t="s">
        <v>279</v>
      </c>
      <c r="C157" s="150"/>
      <c r="D157" s="169">
        <f>460000*1.2</f>
        <v>552000</v>
      </c>
      <c r="E157" s="146"/>
      <c r="F157" s="138" t="s">
        <v>134</v>
      </c>
    </row>
    <row r="158" spans="1:6" ht="23.25" hidden="1" customHeight="1">
      <c r="A158" s="171" t="s">
        <v>289</v>
      </c>
      <c r="B158" s="187" t="s">
        <v>88</v>
      </c>
      <c r="C158" s="150"/>
      <c r="D158" s="170">
        <f>D95</f>
        <v>4895</v>
      </c>
      <c r="E158" s="146"/>
      <c r="F158" s="138" t="s">
        <v>134</v>
      </c>
    </row>
    <row r="159" spans="1:6" ht="23.25" hidden="1" customHeight="1">
      <c r="A159" s="185" t="s">
        <v>290</v>
      </c>
      <c r="B159" s="187" t="s">
        <v>286</v>
      </c>
      <c r="C159" s="150"/>
      <c r="D159" s="174">
        <f>8700*1.1</f>
        <v>9570</v>
      </c>
      <c r="E159" s="146"/>
      <c r="F159" s="138" t="s">
        <v>134</v>
      </c>
    </row>
    <row r="160" spans="1:6" ht="23.25" customHeight="1">
      <c r="A160" s="185" t="s">
        <v>276</v>
      </c>
      <c r="B160" s="187" t="s">
        <v>112</v>
      </c>
      <c r="C160" s="150"/>
      <c r="D160" s="175">
        <f>D147</f>
        <v>83490</v>
      </c>
      <c r="E160" s="146"/>
      <c r="F160" s="138" t="s">
        <v>134</v>
      </c>
    </row>
    <row r="161" spans="1:6" ht="23.25" hidden="1" customHeight="1">
      <c r="A161" s="188" t="s">
        <v>291</v>
      </c>
      <c r="B161" s="189" t="s">
        <v>88</v>
      </c>
      <c r="C161" s="190"/>
      <c r="D161" s="191"/>
      <c r="E161" s="146"/>
      <c r="F161" s="138" t="s">
        <v>134</v>
      </c>
    </row>
    <row r="162" spans="1:6" ht="15.75" customHeight="1">
      <c r="A162" s="188" t="s">
        <v>292</v>
      </c>
      <c r="B162" s="189" t="s">
        <v>10</v>
      </c>
      <c r="C162" s="150"/>
      <c r="D162" s="192">
        <v>18723</v>
      </c>
      <c r="E162" s="146"/>
      <c r="F162" s="138"/>
    </row>
    <row r="163" spans="1:6" ht="16">
      <c r="A163" s="193" t="s">
        <v>293</v>
      </c>
      <c r="B163" s="162" t="s">
        <v>115</v>
      </c>
      <c r="C163" s="150"/>
      <c r="D163" s="151">
        <v>57900</v>
      </c>
      <c r="E163" s="146"/>
      <c r="F163" s="138"/>
    </row>
    <row r="164" spans="1:6" ht="16">
      <c r="A164" s="194" t="s">
        <v>294</v>
      </c>
      <c r="B164" s="143"/>
      <c r="C164" s="150"/>
      <c r="D164" s="161"/>
      <c r="E164" s="146"/>
      <c r="F164" s="138"/>
    </row>
    <row r="165" spans="1:6" ht="16" hidden="1">
      <c r="A165" s="195" t="s">
        <v>295</v>
      </c>
      <c r="B165" s="143" t="s">
        <v>296</v>
      </c>
      <c r="C165" s="150"/>
      <c r="D165" s="161">
        <f>4500*1.15</f>
        <v>5175</v>
      </c>
      <c r="E165" s="146"/>
      <c r="F165" s="138" t="s">
        <v>297</v>
      </c>
    </row>
    <row r="166" spans="1:6" ht="16" hidden="1">
      <c r="A166" s="195" t="s">
        <v>298</v>
      </c>
      <c r="B166" s="143" t="s">
        <v>90</v>
      </c>
      <c r="C166" s="150"/>
      <c r="D166" s="161">
        <f>10000*1.15</f>
        <v>11500</v>
      </c>
      <c r="E166" s="146"/>
      <c r="F166" s="138" t="s">
        <v>297</v>
      </c>
    </row>
    <row r="167" spans="1:6" ht="16">
      <c r="A167" s="196" t="s">
        <v>299</v>
      </c>
      <c r="B167" s="143" t="s">
        <v>90</v>
      </c>
      <c r="C167" s="150"/>
      <c r="D167" s="197">
        <v>1140</v>
      </c>
      <c r="E167" s="146"/>
      <c r="F167" s="138" t="s">
        <v>297</v>
      </c>
    </row>
    <row r="168" spans="1:6" ht="16">
      <c r="A168" s="196" t="s">
        <v>300</v>
      </c>
      <c r="B168" s="143" t="s">
        <v>90</v>
      </c>
      <c r="C168" s="150"/>
      <c r="D168" s="197">
        <v>470</v>
      </c>
      <c r="E168" s="146"/>
      <c r="F168" s="138" t="s">
        <v>297</v>
      </c>
    </row>
    <row r="169" spans="1:6" ht="16" hidden="1">
      <c r="A169" s="196" t="s">
        <v>301</v>
      </c>
      <c r="B169" s="143" t="s">
        <v>90</v>
      </c>
      <c r="C169" s="150"/>
      <c r="D169" s="198">
        <f>350*1.2</f>
        <v>420</v>
      </c>
      <c r="E169" s="146"/>
      <c r="F169" s="138" t="s">
        <v>297</v>
      </c>
    </row>
    <row r="170" spans="1:6" ht="16" hidden="1">
      <c r="A170" s="196" t="s">
        <v>302</v>
      </c>
      <c r="B170" s="143" t="s">
        <v>90</v>
      </c>
      <c r="C170" s="150"/>
      <c r="D170" s="198">
        <f>D167</f>
        <v>1140</v>
      </c>
      <c r="E170" s="146"/>
      <c r="F170" s="138" t="s">
        <v>297</v>
      </c>
    </row>
    <row r="171" spans="1:6" ht="16" hidden="1">
      <c r="A171" s="196" t="s">
        <v>303</v>
      </c>
      <c r="B171" s="143" t="s">
        <v>90</v>
      </c>
      <c r="C171" s="150"/>
      <c r="D171" s="198">
        <f>D168</f>
        <v>470</v>
      </c>
      <c r="E171" s="146"/>
      <c r="F171" s="138" t="s">
        <v>297</v>
      </c>
    </row>
    <row r="172" spans="1:6" ht="16" hidden="1">
      <c r="A172" s="196" t="s">
        <v>304</v>
      </c>
      <c r="B172" s="143" t="s">
        <v>90</v>
      </c>
      <c r="C172" s="150"/>
      <c r="D172" s="198">
        <f>D169</f>
        <v>420</v>
      </c>
      <c r="E172" s="146"/>
      <c r="F172" s="138" t="s">
        <v>297</v>
      </c>
    </row>
    <row r="173" spans="1:6" ht="16" hidden="1">
      <c r="A173" s="196" t="s">
        <v>305</v>
      </c>
      <c r="B173" s="143" t="s">
        <v>90</v>
      </c>
      <c r="C173" s="150"/>
      <c r="D173" s="161">
        <f>900*1.15</f>
        <v>1035</v>
      </c>
      <c r="E173" s="146"/>
      <c r="F173" s="138" t="s">
        <v>297</v>
      </c>
    </row>
    <row r="174" spans="1:6" ht="16">
      <c r="A174" s="196" t="s">
        <v>306</v>
      </c>
      <c r="B174" s="143" t="s">
        <v>90</v>
      </c>
      <c r="C174" s="150"/>
      <c r="D174" s="145">
        <v>80000</v>
      </c>
      <c r="E174" s="146"/>
      <c r="F174" s="138" t="s">
        <v>297</v>
      </c>
    </row>
    <row r="175" spans="1:6" ht="17">
      <c r="A175" s="172" t="s">
        <v>117</v>
      </c>
      <c r="B175" s="143" t="s">
        <v>90</v>
      </c>
      <c r="C175" s="150"/>
      <c r="D175" s="165">
        <f>104400</f>
        <v>104400</v>
      </c>
      <c r="E175" s="146"/>
      <c r="F175" s="138" t="s">
        <v>297</v>
      </c>
    </row>
    <row r="176" spans="1:6" ht="16">
      <c r="A176" s="196" t="s">
        <v>307</v>
      </c>
      <c r="B176" s="143" t="s">
        <v>90</v>
      </c>
      <c r="C176" s="150"/>
      <c r="D176" s="145">
        <v>95000</v>
      </c>
      <c r="E176" s="146"/>
      <c r="F176" s="138" t="s">
        <v>297</v>
      </c>
    </row>
    <row r="177" spans="1:6" ht="34">
      <c r="A177" s="199" t="s">
        <v>308</v>
      </c>
      <c r="B177" s="143" t="s">
        <v>90</v>
      </c>
      <c r="C177" s="150"/>
      <c r="D177" s="145">
        <v>123500</v>
      </c>
      <c r="E177" s="146"/>
      <c r="F177" s="138" t="s">
        <v>297</v>
      </c>
    </row>
    <row r="178" spans="1:6" ht="34" hidden="1">
      <c r="A178" s="199" t="s">
        <v>309</v>
      </c>
      <c r="B178" s="143" t="s">
        <v>90</v>
      </c>
      <c r="C178" s="150"/>
      <c r="D178" s="161">
        <f>25000*1.15</f>
        <v>28749.999999999996</v>
      </c>
      <c r="E178" s="146"/>
      <c r="F178" s="138" t="s">
        <v>297</v>
      </c>
    </row>
    <row r="179" spans="1:6" ht="34" hidden="1">
      <c r="A179" s="199" t="s">
        <v>310</v>
      </c>
      <c r="B179" s="143" t="s">
        <v>90</v>
      </c>
      <c r="C179" s="144"/>
      <c r="D179" s="161">
        <f>45000*1.15</f>
        <v>51749.999999999993</v>
      </c>
      <c r="E179" s="146"/>
      <c r="F179" s="138" t="s">
        <v>297</v>
      </c>
    </row>
    <row r="180" spans="1:6" ht="34" hidden="1">
      <c r="A180" s="199" t="s">
        <v>311</v>
      </c>
      <c r="B180" s="143" t="s">
        <v>90</v>
      </c>
      <c r="C180" s="144"/>
      <c r="D180" s="161">
        <f>45000*1.15</f>
        <v>51749.999999999993</v>
      </c>
      <c r="E180" s="146"/>
      <c r="F180" s="138" t="s">
        <v>297</v>
      </c>
    </row>
    <row r="181" spans="1:6" ht="34" hidden="1">
      <c r="A181" s="199" t="s">
        <v>312</v>
      </c>
      <c r="B181" s="143" t="s">
        <v>90</v>
      </c>
      <c r="C181" s="144"/>
      <c r="D181" s="161">
        <f>17000*1.15</f>
        <v>19550</v>
      </c>
      <c r="E181" s="146"/>
      <c r="F181" s="138" t="s">
        <v>297</v>
      </c>
    </row>
    <row r="182" spans="1:6" ht="17" hidden="1">
      <c r="A182" s="172" t="s">
        <v>313</v>
      </c>
      <c r="B182" s="143" t="s">
        <v>6</v>
      </c>
      <c r="C182" s="144"/>
      <c r="D182" s="169">
        <f>180000*1.15</f>
        <v>206999.99999999997</v>
      </c>
      <c r="E182" s="146"/>
      <c r="F182" s="138" t="s">
        <v>297</v>
      </c>
    </row>
    <row r="183" spans="1:6" ht="17" hidden="1">
      <c r="A183" s="172" t="s">
        <v>314</v>
      </c>
      <c r="B183" s="187" t="s">
        <v>6</v>
      </c>
      <c r="C183" s="144"/>
      <c r="D183" s="175">
        <f>104000*1.15</f>
        <v>119599.99999999999</v>
      </c>
      <c r="E183" s="146"/>
      <c r="F183" s="138" t="s">
        <v>297</v>
      </c>
    </row>
    <row r="184" spans="1:6" ht="17" hidden="1">
      <c r="A184" s="172" t="s">
        <v>315</v>
      </c>
      <c r="B184" s="143" t="s">
        <v>4</v>
      </c>
      <c r="C184" s="144"/>
      <c r="D184" s="169">
        <f>9000*1.15</f>
        <v>10350</v>
      </c>
      <c r="E184" s="146"/>
      <c r="F184" s="138" t="s">
        <v>297</v>
      </c>
    </row>
    <row r="185" spans="1:6" ht="17" hidden="1">
      <c r="A185" s="172" t="s">
        <v>103</v>
      </c>
      <c r="B185" s="143" t="s">
        <v>106</v>
      </c>
      <c r="C185" s="144"/>
      <c r="D185" s="174">
        <f>850*1.15</f>
        <v>977.49999999999989</v>
      </c>
      <c r="E185" s="146"/>
      <c r="F185" s="138" t="s">
        <v>297</v>
      </c>
    </row>
    <row r="186" spans="1:6" ht="17">
      <c r="A186" s="200" t="s">
        <v>316</v>
      </c>
      <c r="B186" s="143"/>
      <c r="C186" s="144"/>
      <c r="D186" s="161"/>
      <c r="E186" s="146"/>
      <c r="F186" s="138"/>
    </row>
    <row r="187" spans="1:6" ht="17">
      <c r="A187" s="201" t="s">
        <v>317</v>
      </c>
      <c r="B187" s="143" t="s">
        <v>318</v>
      </c>
      <c r="C187" s="144"/>
      <c r="D187" s="145">
        <v>25250.532381739726</v>
      </c>
      <c r="E187" s="146"/>
      <c r="F187" s="138"/>
    </row>
    <row r="188" spans="1:6" ht="17">
      <c r="A188" s="201" t="s">
        <v>319</v>
      </c>
      <c r="B188" s="143" t="s">
        <v>318</v>
      </c>
      <c r="C188" s="144"/>
      <c r="D188" s="145">
        <v>27775.585619913698</v>
      </c>
      <c r="E188" s="146"/>
      <c r="F188" s="138"/>
    </row>
    <row r="189" spans="1:6" ht="17">
      <c r="A189" s="201" t="s">
        <v>320</v>
      </c>
      <c r="B189" s="143" t="s">
        <v>318</v>
      </c>
      <c r="C189" s="144"/>
      <c r="D189" s="145">
        <v>29038.112239000682</v>
      </c>
      <c r="E189" s="146"/>
      <c r="F189" s="138"/>
    </row>
    <row r="190" spans="1:6" ht="17">
      <c r="A190" s="201" t="s">
        <v>321</v>
      </c>
      <c r="B190" s="143" t="s">
        <v>318</v>
      </c>
      <c r="C190" s="144"/>
      <c r="D190" s="145">
        <v>30300.63885808767</v>
      </c>
      <c r="E190" s="146"/>
      <c r="F190" s="138"/>
    </row>
    <row r="191" spans="1:6" ht="17">
      <c r="A191" s="201" t="s">
        <v>322</v>
      </c>
      <c r="B191" s="143" t="s">
        <v>318</v>
      </c>
      <c r="C191" s="144"/>
      <c r="D191" s="145">
        <v>32825.692096261642</v>
      </c>
      <c r="E191" s="146"/>
      <c r="F191" s="138"/>
    </row>
    <row r="192" spans="1:6" ht="17">
      <c r="A192" s="201" t="s">
        <v>323</v>
      </c>
      <c r="B192" s="143" t="s">
        <v>90</v>
      </c>
      <c r="C192" s="144"/>
      <c r="D192" s="145">
        <v>34631.132054794522</v>
      </c>
      <c r="E192" s="146"/>
      <c r="F192" s="202"/>
    </row>
    <row r="193" spans="1:7" ht="17">
      <c r="A193" s="201" t="s">
        <v>324</v>
      </c>
      <c r="B193" s="143" t="s">
        <v>90</v>
      </c>
      <c r="C193" s="144"/>
      <c r="D193" s="145">
        <v>74377.282314082186</v>
      </c>
      <c r="E193" s="146"/>
      <c r="F193" s="202"/>
    </row>
    <row r="194" spans="1:7" ht="17">
      <c r="A194" s="201" t="s">
        <v>109</v>
      </c>
      <c r="B194" s="143" t="s">
        <v>78</v>
      </c>
      <c r="C194" s="144"/>
      <c r="D194" s="145">
        <v>9297.1602892602732</v>
      </c>
      <c r="E194" s="146"/>
      <c r="F194" s="202"/>
    </row>
    <row r="195" spans="1:7" ht="17">
      <c r="A195" s="201" t="s">
        <v>325</v>
      </c>
      <c r="B195" s="143" t="s">
        <v>90</v>
      </c>
      <c r="C195" s="144"/>
      <c r="D195" s="145">
        <v>60604.481095890413</v>
      </c>
      <c r="E195" s="146"/>
      <c r="F195" s="202"/>
    </row>
    <row r="196" spans="1:7" ht="17">
      <c r="A196" s="201" t="s">
        <v>326</v>
      </c>
      <c r="B196" s="143" t="s">
        <v>327</v>
      </c>
      <c r="C196" s="144"/>
      <c r="D196" s="145">
        <v>3000</v>
      </c>
      <c r="E196" s="146"/>
      <c r="F196" s="202"/>
    </row>
    <row r="197" spans="1:7" ht="17">
      <c r="A197" s="201" t="s">
        <v>328</v>
      </c>
      <c r="B197" s="143" t="s">
        <v>327</v>
      </c>
      <c r="C197" s="144"/>
      <c r="D197" s="145">
        <v>1580.3999999999999</v>
      </c>
      <c r="E197" s="146"/>
      <c r="F197" s="202"/>
    </row>
    <row r="198" spans="1:7" ht="17">
      <c r="A198" s="201" t="s">
        <v>329</v>
      </c>
      <c r="B198" s="143" t="s">
        <v>327</v>
      </c>
      <c r="C198" s="144"/>
      <c r="D198" s="145">
        <v>4000</v>
      </c>
      <c r="E198" s="146"/>
      <c r="F198" s="202"/>
    </row>
    <row r="199" spans="1:7" ht="16">
      <c r="A199" s="203"/>
      <c r="B199" s="204"/>
      <c r="C199" s="146"/>
      <c r="D199" s="146"/>
      <c r="E199" s="146"/>
      <c r="F199" s="202"/>
    </row>
    <row r="200" spans="1:7" ht="16">
      <c r="A200" s="205" t="s">
        <v>330</v>
      </c>
      <c r="B200" s="204" t="s">
        <v>6</v>
      </c>
      <c r="C200" s="146"/>
      <c r="D200" s="146"/>
      <c r="E200" s="206">
        <f>ROUND(SUM(E201:E207),0)</f>
        <v>434785</v>
      </c>
      <c r="F200" s="207"/>
      <c r="G200" s="208"/>
    </row>
    <row r="201" spans="1:7" ht="16">
      <c r="A201" s="209" t="s">
        <v>132</v>
      </c>
      <c r="B201" s="204" t="s">
        <v>133</v>
      </c>
      <c r="C201" s="210">
        <v>450</v>
      </c>
      <c r="D201" s="211">
        <f>+D14</f>
        <v>710</v>
      </c>
      <c r="E201" s="212">
        <f>+C201*D201</f>
        <v>319500</v>
      </c>
      <c r="F201" s="207"/>
      <c r="G201" s="208"/>
    </row>
    <row r="202" spans="1:7" ht="16">
      <c r="A202" s="209" t="s">
        <v>141</v>
      </c>
      <c r="B202" s="204" t="s">
        <v>142</v>
      </c>
      <c r="C202" s="210">
        <v>220</v>
      </c>
      <c r="D202" s="211">
        <f>+D18</f>
        <v>50</v>
      </c>
      <c r="E202" s="212">
        <f>+C202*D202</f>
        <v>11000</v>
      </c>
      <c r="F202" s="207"/>
      <c r="G202" s="208"/>
    </row>
    <row r="203" spans="1:7" ht="16">
      <c r="A203" s="209" t="s">
        <v>139</v>
      </c>
      <c r="B203" s="204" t="s">
        <v>6</v>
      </c>
      <c r="C203" s="210">
        <v>1.3</v>
      </c>
      <c r="D203" s="211">
        <f>+D16</f>
        <v>51170</v>
      </c>
      <c r="E203" s="212">
        <f>+C203*D203</f>
        <v>66521</v>
      </c>
      <c r="F203" s="207"/>
      <c r="G203" s="208"/>
    </row>
    <row r="204" spans="1:7" ht="16">
      <c r="A204" s="209" t="s">
        <v>150</v>
      </c>
      <c r="B204" s="204" t="s">
        <v>106</v>
      </c>
      <c r="C204" s="213">
        <v>0.03</v>
      </c>
      <c r="D204" s="214">
        <f>+E207</f>
        <v>13945.740433890409</v>
      </c>
      <c r="E204" s="215">
        <f>(C204*D204)</f>
        <v>418.37221301671224</v>
      </c>
      <c r="F204" s="207"/>
      <c r="G204" s="208"/>
    </row>
    <row r="205" spans="1:7" ht="16">
      <c r="A205" s="209" t="s">
        <v>331</v>
      </c>
      <c r="B205" s="204" t="s">
        <v>327</v>
      </c>
      <c r="C205" s="213">
        <f>C203*6</f>
        <v>7.8000000000000007</v>
      </c>
      <c r="D205" s="214">
        <f>D196</f>
        <v>3000</v>
      </c>
      <c r="E205" s="215">
        <f>(C205*D205)</f>
        <v>23400.000000000004</v>
      </c>
      <c r="F205" s="207"/>
      <c r="G205" s="208"/>
    </row>
    <row r="206" spans="1:7" ht="16">
      <c r="A206" s="209" t="s">
        <v>332</v>
      </c>
      <c r="B206" s="204"/>
      <c r="C206" s="213"/>
      <c r="D206" s="214">
        <f>D198</f>
        <v>4000</v>
      </c>
      <c r="E206" s="215">
        <f>(C206*D206)</f>
        <v>0</v>
      </c>
      <c r="F206" s="207"/>
      <c r="G206" s="208"/>
    </row>
    <row r="207" spans="1:7" ht="16">
      <c r="A207" s="209" t="s">
        <v>333</v>
      </c>
      <c r="B207" s="204" t="s">
        <v>334</v>
      </c>
      <c r="C207" s="210">
        <v>1.5</v>
      </c>
      <c r="D207" s="211">
        <f>+D194</f>
        <v>9297.1602892602732</v>
      </c>
      <c r="E207" s="212">
        <f>+C207*D207</f>
        <v>13945.740433890409</v>
      </c>
      <c r="F207" s="207"/>
      <c r="G207" s="208"/>
    </row>
    <row r="208" spans="1:7" ht="16">
      <c r="A208" s="209"/>
      <c r="B208" s="204"/>
      <c r="C208" s="210"/>
      <c r="D208" s="211"/>
      <c r="E208" s="212"/>
      <c r="F208" s="207"/>
      <c r="G208" s="208"/>
    </row>
    <row r="209" spans="1:7" ht="16">
      <c r="A209" s="205" t="s">
        <v>335</v>
      </c>
      <c r="B209" s="204" t="s">
        <v>6</v>
      </c>
      <c r="C209" s="146"/>
      <c r="D209" s="146"/>
      <c r="E209" s="206">
        <f>ROUND(SUM(E210:E216),0)</f>
        <v>366222</v>
      </c>
      <c r="F209" s="6"/>
      <c r="G209" s="216"/>
    </row>
    <row r="210" spans="1:7" ht="16">
      <c r="A210" s="209" t="s">
        <v>132</v>
      </c>
      <c r="B210" s="204" t="s">
        <v>133</v>
      </c>
      <c r="C210" s="210">
        <v>352</v>
      </c>
      <c r="D210" s="211">
        <f>+D14</f>
        <v>710</v>
      </c>
      <c r="E210" s="212">
        <f>+C210*D210</f>
        <v>249920</v>
      </c>
      <c r="F210" s="217"/>
      <c r="G210" s="216"/>
    </row>
    <row r="211" spans="1:7" ht="16">
      <c r="A211" s="209" t="s">
        <v>141</v>
      </c>
      <c r="B211" s="204" t="s">
        <v>142</v>
      </c>
      <c r="C211" s="210">
        <v>185</v>
      </c>
      <c r="D211" s="211">
        <f>+D18</f>
        <v>50</v>
      </c>
      <c r="E211" s="212">
        <f>+C211*D211</f>
        <v>9250</v>
      </c>
      <c r="F211" s="6"/>
      <c r="G211" s="216"/>
    </row>
    <row r="212" spans="1:7" ht="16">
      <c r="A212" s="209" t="s">
        <v>139</v>
      </c>
      <c r="B212" s="204" t="s">
        <v>6</v>
      </c>
      <c r="C212" s="210">
        <v>1.34</v>
      </c>
      <c r="D212" s="211">
        <f>+D16</f>
        <v>51170</v>
      </c>
      <c r="E212" s="212">
        <f>+C212*D212</f>
        <v>68567.8</v>
      </c>
      <c r="F212" s="6"/>
      <c r="G212" s="216"/>
    </row>
    <row r="213" spans="1:7" ht="16">
      <c r="A213" s="209" t="s">
        <v>150</v>
      </c>
      <c r="B213" s="204" t="s">
        <v>106</v>
      </c>
      <c r="C213" s="213">
        <v>0.03</v>
      </c>
      <c r="D213" s="214">
        <f>+E216</f>
        <v>13945.740433890409</v>
      </c>
      <c r="E213" s="215">
        <f>(C213*D213)</f>
        <v>418.37221301671224</v>
      </c>
      <c r="F213" s="6"/>
      <c r="G213" s="216"/>
    </row>
    <row r="214" spans="1:7" ht="16">
      <c r="A214" s="209" t="s">
        <v>331</v>
      </c>
      <c r="B214" s="204" t="s">
        <v>327</v>
      </c>
      <c r="C214" s="213">
        <f>C212*6</f>
        <v>8.0400000000000009</v>
      </c>
      <c r="D214" s="214">
        <f>D205</f>
        <v>3000</v>
      </c>
      <c r="E214" s="215">
        <f>(C214*D214)</f>
        <v>24120.000000000004</v>
      </c>
      <c r="F214" s="6"/>
      <c r="G214" s="216"/>
    </row>
    <row r="215" spans="1:7" ht="16">
      <c r="A215" s="209" t="s">
        <v>332</v>
      </c>
      <c r="B215" s="204" t="s">
        <v>327</v>
      </c>
      <c r="C215" s="213"/>
      <c r="D215" s="214">
        <f>D206</f>
        <v>4000</v>
      </c>
      <c r="E215" s="215">
        <f>(C215*D215)</f>
        <v>0</v>
      </c>
      <c r="F215" s="6"/>
      <c r="G215" s="216"/>
    </row>
    <row r="216" spans="1:7" ht="16">
      <c r="A216" s="209" t="s">
        <v>333</v>
      </c>
      <c r="B216" s="204" t="s">
        <v>334</v>
      </c>
      <c r="C216" s="210">
        <v>1.5</v>
      </c>
      <c r="D216" s="211">
        <f>+D194</f>
        <v>9297.1602892602732</v>
      </c>
      <c r="E216" s="212">
        <f>+C216*D216</f>
        <v>13945.740433890409</v>
      </c>
      <c r="F216" s="6"/>
      <c r="G216" s="218"/>
    </row>
    <row r="217" spans="1:7" ht="16">
      <c r="A217" s="209"/>
      <c r="B217" s="204"/>
      <c r="C217" s="210"/>
      <c r="D217" s="211"/>
      <c r="E217" s="212"/>
      <c r="F217" s="6"/>
      <c r="G217" s="218"/>
    </row>
    <row r="218" spans="1:7" ht="16">
      <c r="A218" s="205" t="s">
        <v>336</v>
      </c>
      <c r="B218" s="204" t="s">
        <v>6</v>
      </c>
      <c r="C218" s="146"/>
      <c r="D218" s="146"/>
      <c r="E218" s="206">
        <f>ROUND(SUM(E219:E225),0)</f>
        <v>331010</v>
      </c>
      <c r="F218" s="6"/>
      <c r="G218" s="216"/>
    </row>
    <row r="219" spans="1:7" ht="16">
      <c r="A219" s="209" t="s">
        <v>132</v>
      </c>
      <c r="B219" s="204" t="s">
        <v>133</v>
      </c>
      <c r="C219" s="210">
        <v>300</v>
      </c>
      <c r="D219" s="211">
        <f>+D14</f>
        <v>710</v>
      </c>
      <c r="E219" s="212">
        <f>+C219*D219</f>
        <v>213000</v>
      </c>
      <c r="F219" s="219"/>
      <c r="G219" s="220"/>
    </row>
    <row r="220" spans="1:7" ht="16">
      <c r="A220" s="209" t="s">
        <v>141</v>
      </c>
      <c r="B220" s="204" t="s">
        <v>142</v>
      </c>
      <c r="C220" s="210">
        <v>150</v>
      </c>
      <c r="D220" s="211">
        <f>+D18</f>
        <v>50</v>
      </c>
      <c r="E220" s="212">
        <f>+C220*D220</f>
        <v>7500</v>
      </c>
      <c r="F220" s="138"/>
    </row>
    <row r="221" spans="1:7" ht="16">
      <c r="A221" s="209" t="s">
        <v>139</v>
      </c>
      <c r="B221" s="204" t="s">
        <v>6</v>
      </c>
      <c r="C221" s="210">
        <v>1.39</v>
      </c>
      <c r="D221" s="211">
        <f>+D16</f>
        <v>51170</v>
      </c>
      <c r="E221" s="212">
        <f>+C221*D221</f>
        <v>71126.299999999988</v>
      </c>
      <c r="F221" s="138"/>
    </row>
    <row r="222" spans="1:7" ht="16">
      <c r="A222" s="209" t="s">
        <v>150</v>
      </c>
      <c r="B222" s="204" t="s">
        <v>106</v>
      </c>
      <c r="C222" s="213">
        <v>0.03</v>
      </c>
      <c r="D222" s="214">
        <f>+E225</f>
        <v>13945.740433890409</v>
      </c>
      <c r="E222" s="215">
        <f>(C222*D222)</f>
        <v>418.37221301671224</v>
      </c>
      <c r="F222" s="138"/>
    </row>
    <row r="223" spans="1:7" ht="16">
      <c r="A223" s="209" t="s">
        <v>331</v>
      </c>
      <c r="B223" s="204" t="s">
        <v>327</v>
      </c>
      <c r="C223" s="213">
        <f>C221*6</f>
        <v>8.34</v>
      </c>
      <c r="D223" s="214">
        <f>D196</f>
        <v>3000</v>
      </c>
      <c r="E223" s="215">
        <f>(C223*D223)</f>
        <v>25020</v>
      </c>
      <c r="F223" s="138"/>
    </row>
    <row r="224" spans="1:7" ht="16">
      <c r="A224" s="209" t="s">
        <v>332</v>
      </c>
      <c r="B224" s="204" t="s">
        <v>327</v>
      </c>
      <c r="C224" s="213"/>
      <c r="D224" s="214">
        <f>D206</f>
        <v>4000</v>
      </c>
      <c r="E224" s="215">
        <f>(C224*D224)</f>
        <v>0</v>
      </c>
      <c r="F224" s="138"/>
    </row>
    <row r="225" spans="1:6" ht="16">
      <c r="A225" s="209" t="s">
        <v>333</v>
      </c>
      <c r="B225" s="204" t="s">
        <v>334</v>
      </c>
      <c r="C225" s="210">
        <v>1.5</v>
      </c>
      <c r="D225" s="211">
        <f>+D194</f>
        <v>9297.1602892602732</v>
      </c>
      <c r="E225" s="212">
        <f>+C225*D225</f>
        <v>13945.740433890409</v>
      </c>
      <c r="F225" s="138"/>
    </row>
    <row r="226" spans="1:6" ht="16">
      <c r="A226" s="209"/>
      <c r="B226" s="204"/>
      <c r="C226" s="210"/>
      <c r="D226" s="211"/>
      <c r="E226" s="212"/>
      <c r="F226" s="138"/>
    </row>
    <row r="227" spans="1:6" ht="16">
      <c r="A227" s="205" t="s">
        <v>337</v>
      </c>
      <c r="B227" s="204" t="s">
        <v>6</v>
      </c>
      <c r="C227" s="146"/>
      <c r="D227" s="146"/>
      <c r="E227" s="206">
        <f>ROUND(SUM(E228:E235),0)</f>
        <v>456019</v>
      </c>
      <c r="F227" s="138"/>
    </row>
    <row r="228" spans="1:6" ht="16">
      <c r="A228" s="209" t="s">
        <v>132</v>
      </c>
      <c r="B228" s="204" t="s">
        <v>133</v>
      </c>
      <c r="C228" s="210">
        <v>352</v>
      </c>
      <c r="D228" s="211">
        <f>+D14</f>
        <v>710</v>
      </c>
      <c r="E228" s="212">
        <f>+C228*D228</f>
        <v>249920</v>
      </c>
      <c r="F228" s="138"/>
    </row>
    <row r="229" spans="1:6" ht="16">
      <c r="A229" s="209" t="s">
        <v>141</v>
      </c>
      <c r="B229" s="204" t="s">
        <v>142</v>
      </c>
      <c r="C229" s="210">
        <v>185</v>
      </c>
      <c r="D229" s="211">
        <f>+D18</f>
        <v>50</v>
      </c>
      <c r="E229" s="212">
        <f>+C229*D229</f>
        <v>9250</v>
      </c>
      <c r="F229" s="138"/>
    </row>
    <row r="230" spans="1:6" ht="16">
      <c r="A230" s="209" t="s">
        <v>139</v>
      </c>
      <c r="B230" s="204" t="s">
        <v>6</v>
      </c>
      <c r="C230" s="210">
        <v>1.34</v>
      </c>
      <c r="D230" s="211">
        <f>+D16</f>
        <v>51170</v>
      </c>
      <c r="E230" s="212">
        <f>+C230*D230</f>
        <v>68567.8</v>
      </c>
      <c r="F230" s="138"/>
    </row>
    <row r="231" spans="1:6" ht="16">
      <c r="A231" s="209" t="s">
        <v>338</v>
      </c>
      <c r="B231" s="204" t="s">
        <v>133</v>
      </c>
      <c r="C231" s="210">
        <v>16.66</v>
      </c>
      <c r="D231" s="221">
        <f>D36</f>
        <v>5390</v>
      </c>
      <c r="E231" s="212">
        <f>+C231*D231</f>
        <v>89797.4</v>
      </c>
      <c r="F231" s="138"/>
    </row>
    <row r="232" spans="1:6" ht="16">
      <c r="A232" s="209" t="s">
        <v>150</v>
      </c>
      <c r="B232" s="204" t="s">
        <v>106</v>
      </c>
      <c r="C232" s="213">
        <v>0.03</v>
      </c>
      <c r="D232" s="214">
        <f>+E235</f>
        <v>13945.740433890409</v>
      </c>
      <c r="E232" s="215">
        <f>(C232*D232)</f>
        <v>418.37221301671224</v>
      </c>
      <c r="F232" s="138"/>
    </row>
    <row r="233" spans="1:6" ht="16">
      <c r="A233" s="209" t="s">
        <v>331</v>
      </c>
      <c r="B233" s="204" t="s">
        <v>327</v>
      </c>
      <c r="C233" s="213">
        <f>C230*6</f>
        <v>8.0400000000000009</v>
      </c>
      <c r="D233" s="214">
        <f>D196</f>
        <v>3000</v>
      </c>
      <c r="E233" s="215">
        <f>(C233*D233)</f>
        <v>24120.000000000004</v>
      </c>
      <c r="F233" s="138"/>
    </row>
    <row r="234" spans="1:6" ht="16">
      <c r="A234" s="209" t="s">
        <v>332</v>
      </c>
      <c r="B234" s="204" t="s">
        <v>327</v>
      </c>
      <c r="C234" s="213"/>
      <c r="D234" s="214">
        <f>D206</f>
        <v>4000</v>
      </c>
      <c r="E234" s="215">
        <f>(C234*D234)</f>
        <v>0</v>
      </c>
      <c r="F234" s="138"/>
    </row>
    <row r="235" spans="1:6" ht="16">
      <c r="A235" s="209" t="s">
        <v>333</v>
      </c>
      <c r="B235" s="204" t="s">
        <v>334</v>
      </c>
      <c r="C235" s="210">
        <v>1.5</v>
      </c>
      <c r="D235" s="211">
        <f>+D194</f>
        <v>9297.1602892602732</v>
      </c>
      <c r="E235" s="212">
        <f>+C235*D235</f>
        <v>13945.740433890409</v>
      </c>
      <c r="F235" s="138"/>
    </row>
    <row r="236" spans="1:6" ht="16">
      <c r="A236" s="209"/>
      <c r="B236" s="204"/>
      <c r="C236" s="210"/>
      <c r="D236" s="211"/>
      <c r="E236" s="212"/>
      <c r="F236" s="138"/>
    </row>
    <row r="237" spans="1:6" ht="16">
      <c r="A237" s="205" t="s">
        <v>339</v>
      </c>
      <c r="B237" s="204" t="s">
        <v>6</v>
      </c>
      <c r="C237" s="146"/>
      <c r="D237" s="146"/>
      <c r="E237" s="206">
        <f>ROUND(SUM(E238:E246),0)</f>
        <v>528925</v>
      </c>
      <c r="F237" s="138"/>
    </row>
    <row r="238" spans="1:6" ht="16">
      <c r="A238" s="209" t="s">
        <v>132</v>
      </c>
      <c r="B238" s="204" t="s">
        <v>133</v>
      </c>
      <c r="C238" s="210">
        <v>475</v>
      </c>
      <c r="D238" s="211">
        <f>+D14</f>
        <v>710</v>
      </c>
      <c r="E238" s="212">
        <f>+C238*D238</f>
        <v>337250</v>
      </c>
      <c r="F238" s="138"/>
    </row>
    <row r="239" spans="1:6" ht="16">
      <c r="A239" s="209" t="s">
        <v>141</v>
      </c>
      <c r="B239" s="204" t="s">
        <v>142</v>
      </c>
      <c r="C239" s="210">
        <v>245</v>
      </c>
      <c r="D239" s="211">
        <f>+D18</f>
        <v>50</v>
      </c>
      <c r="E239" s="212">
        <f>+C239*D239</f>
        <v>12250</v>
      </c>
      <c r="F239" s="138"/>
    </row>
    <row r="240" spans="1:6" ht="16">
      <c r="A240" s="209" t="s">
        <v>139</v>
      </c>
      <c r="B240" s="204" t="s">
        <v>6</v>
      </c>
      <c r="C240" s="210">
        <v>0.56000000000000005</v>
      </c>
      <c r="D240" s="211">
        <f>+D16</f>
        <v>51170</v>
      </c>
      <c r="E240" s="212">
        <f>+C240*D240</f>
        <v>28655.200000000004</v>
      </c>
      <c r="F240" s="138"/>
    </row>
    <row r="241" spans="1:7" ht="16">
      <c r="A241" s="209" t="s">
        <v>140</v>
      </c>
      <c r="B241" s="204" t="s">
        <v>6</v>
      </c>
      <c r="C241" s="210">
        <v>0.75</v>
      </c>
      <c r="D241" s="211">
        <f>+D17</f>
        <v>86870</v>
      </c>
      <c r="E241" s="212">
        <f>+C241*D241</f>
        <v>65152.5</v>
      </c>
      <c r="F241" s="138"/>
    </row>
    <row r="242" spans="1:7" ht="16">
      <c r="A242" s="209" t="s">
        <v>340</v>
      </c>
      <c r="B242" s="204" t="s">
        <v>106</v>
      </c>
      <c r="C242" s="210">
        <v>0.15</v>
      </c>
      <c r="D242" s="221">
        <f>D177</f>
        <v>123500</v>
      </c>
      <c r="E242" s="212">
        <f>+C242*D242</f>
        <v>18525</v>
      </c>
      <c r="F242" s="138"/>
    </row>
    <row r="243" spans="1:7" ht="16">
      <c r="A243" s="209" t="s">
        <v>150</v>
      </c>
      <c r="B243" s="204" t="s">
        <v>106</v>
      </c>
      <c r="C243" s="213">
        <v>0.03</v>
      </c>
      <c r="D243" s="214">
        <f>+E246</f>
        <v>37875.798572609587</v>
      </c>
      <c r="E243" s="215">
        <f>(C243*D243)</f>
        <v>1136.2739571782874</v>
      </c>
      <c r="F243" s="138"/>
    </row>
    <row r="244" spans="1:7" ht="16">
      <c r="A244" s="209" t="s">
        <v>331</v>
      </c>
      <c r="B244" s="204" t="s">
        <v>327</v>
      </c>
      <c r="C244" s="213">
        <f>C240*6</f>
        <v>3.3600000000000003</v>
      </c>
      <c r="D244" s="214">
        <f>D196</f>
        <v>3000</v>
      </c>
      <c r="E244" s="215">
        <f>(C244*D244)</f>
        <v>10080.000000000002</v>
      </c>
      <c r="F244" s="138"/>
    </row>
    <row r="245" spans="1:7" ht="16">
      <c r="A245" s="209" t="s">
        <v>332</v>
      </c>
      <c r="B245" s="204" t="s">
        <v>327</v>
      </c>
      <c r="C245" s="213">
        <f>C241*6</f>
        <v>4.5</v>
      </c>
      <c r="D245" s="214">
        <f>D206</f>
        <v>4000</v>
      </c>
      <c r="E245" s="215">
        <f>(C245*D245)</f>
        <v>18000</v>
      </c>
      <c r="F245" s="138"/>
    </row>
    <row r="246" spans="1:7" ht="16">
      <c r="A246" s="209" t="s">
        <v>341</v>
      </c>
      <c r="B246" s="204" t="s">
        <v>334</v>
      </c>
      <c r="C246" s="210">
        <v>1.5</v>
      </c>
      <c r="D246" s="211">
        <f>D187</f>
        <v>25250.532381739726</v>
      </c>
      <c r="E246" s="212">
        <f>+C246*D246</f>
        <v>37875.798572609587</v>
      </c>
      <c r="F246" s="138"/>
    </row>
    <row r="247" spans="1:7" ht="38.25" customHeight="1">
      <c r="A247" s="205" t="s">
        <v>342</v>
      </c>
      <c r="B247" s="204" t="s">
        <v>6</v>
      </c>
      <c r="C247" s="146"/>
      <c r="D247" s="146"/>
      <c r="E247" s="206">
        <f>ROUND(SUM(E248:E256),0)</f>
        <v>487582</v>
      </c>
      <c r="F247" s="138"/>
    </row>
    <row r="248" spans="1:7" ht="16">
      <c r="A248" s="209" t="s">
        <v>132</v>
      </c>
      <c r="B248" s="204" t="s">
        <v>133</v>
      </c>
      <c r="C248" s="210">
        <v>425</v>
      </c>
      <c r="D248" s="211">
        <f>+D14</f>
        <v>710</v>
      </c>
      <c r="E248" s="212">
        <f>+C248*D248</f>
        <v>301750</v>
      </c>
      <c r="F248" s="138"/>
      <c r="G248" s="222"/>
    </row>
    <row r="249" spans="1:7" ht="16">
      <c r="A249" s="209" t="s">
        <v>141</v>
      </c>
      <c r="B249" s="204" t="s">
        <v>142</v>
      </c>
      <c r="C249" s="210">
        <v>230</v>
      </c>
      <c r="D249" s="211">
        <f>+D18</f>
        <v>50</v>
      </c>
      <c r="E249" s="212">
        <f>+C249*D249</f>
        <v>11500</v>
      </c>
      <c r="F249" s="138"/>
    </row>
    <row r="250" spans="1:7" ht="16">
      <c r="A250" s="209" t="s">
        <v>139</v>
      </c>
      <c r="B250" s="204" t="s">
        <v>6</v>
      </c>
      <c r="C250" s="210">
        <v>0.67</v>
      </c>
      <c r="D250" s="211">
        <f>+D16</f>
        <v>51170</v>
      </c>
      <c r="E250" s="212">
        <f>+C250*D250</f>
        <v>34283.9</v>
      </c>
      <c r="F250" s="138"/>
    </row>
    <row r="251" spans="1:7" ht="16">
      <c r="A251" s="209" t="s">
        <v>140</v>
      </c>
      <c r="B251" s="204" t="s">
        <v>6</v>
      </c>
      <c r="C251" s="210">
        <v>0.67</v>
      </c>
      <c r="D251" s="211">
        <f>+D17</f>
        <v>86870</v>
      </c>
      <c r="E251" s="212">
        <f>+C251*D251</f>
        <v>58202.9</v>
      </c>
      <c r="F251" s="138"/>
    </row>
    <row r="252" spans="1:7" ht="16">
      <c r="A252" s="209" t="s">
        <v>340</v>
      </c>
      <c r="B252" s="204" t="s">
        <v>106</v>
      </c>
      <c r="C252" s="210">
        <v>0.118974</v>
      </c>
      <c r="D252" s="221">
        <f>D242</f>
        <v>123500</v>
      </c>
      <c r="E252" s="212">
        <f>+C252*D252</f>
        <v>14693.288999999999</v>
      </c>
      <c r="F252" s="138"/>
    </row>
    <row r="253" spans="1:7" ht="16">
      <c r="A253" s="209" t="s">
        <v>150</v>
      </c>
      <c r="B253" s="204" t="s">
        <v>106</v>
      </c>
      <c r="C253" s="213">
        <v>0.03</v>
      </c>
      <c r="D253" s="214">
        <f>+E256</f>
        <v>37875.798572609587</v>
      </c>
      <c r="E253" s="215">
        <f>(C253*D253)</f>
        <v>1136.2739571782874</v>
      </c>
      <c r="F253" s="138"/>
    </row>
    <row r="254" spans="1:7" ht="16">
      <c r="A254" s="209" t="s">
        <v>331</v>
      </c>
      <c r="B254" s="204" t="s">
        <v>327</v>
      </c>
      <c r="C254" s="213">
        <f>C250*6</f>
        <v>4.0200000000000005</v>
      </c>
      <c r="D254" s="214">
        <f>D244</f>
        <v>3000</v>
      </c>
      <c r="E254" s="215">
        <f>(C254*D254)</f>
        <v>12060.000000000002</v>
      </c>
      <c r="F254" s="138"/>
    </row>
    <row r="255" spans="1:7" ht="16">
      <c r="A255" s="209" t="s">
        <v>332</v>
      </c>
      <c r="B255" s="204" t="s">
        <v>327</v>
      </c>
      <c r="C255" s="213">
        <f>C251*6</f>
        <v>4.0200000000000005</v>
      </c>
      <c r="D255" s="214">
        <f>D206</f>
        <v>4000</v>
      </c>
      <c r="E255" s="215">
        <f>(C255*D255)</f>
        <v>16080.000000000002</v>
      </c>
      <c r="F255" s="138"/>
    </row>
    <row r="256" spans="1:7" ht="16">
      <c r="A256" s="209" t="s">
        <v>341</v>
      </c>
      <c r="B256" s="204" t="s">
        <v>334</v>
      </c>
      <c r="C256" s="210">
        <v>1.5</v>
      </c>
      <c r="D256" s="211">
        <f>D187</f>
        <v>25250.532381739726</v>
      </c>
      <c r="E256" s="212">
        <f>+C256*D256</f>
        <v>37875.798572609587</v>
      </c>
      <c r="F256" s="138"/>
    </row>
    <row r="257" spans="1:7" ht="16">
      <c r="A257" s="209"/>
      <c r="B257" s="204"/>
      <c r="C257" s="210"/>
      <c r="D257" s="211"/>
      <c r="E257" s="212"/>
      <c r="F257" s="138"/>
    </row>
    <row r="258" spans="1:7" ht="17">
      <c r="A258" s="223" t="s">
        <v>343</v>
      </c>
      <c r="B258" s="204" t="s">
        <v>6</v>
      </c>
      <c r="C258" s="146"/>
      <c r="D258" s="146"/>
      <c r="E258" s="206">
        <f>ROUND(SUM(E259:E267),0)</f>
        <v>444226</v>
      </c>
      <c r="F258" s="138"/>
      <c r="G258" s="224"/>
    </row>
    <row r="259" spans="1:7" ht="16">
      <c r="A259" s="209" t="s">
        <v>132</v>
      </c>
      <c r="B259" s="204" t="s">
        <v>133</v>
      </c>
      <c r="C259" s="210">
        <v>350</v>
      </c>
      <c r="D259" s="211">
        <f>+D14</f>
        <v>710</v>
      </c>
      <c r="E259" s="212">
        <f>+C259*D259</f>
        <v>248500</v>
      </c>
      <c r="F259" s="138"/>
    </row>
    <row r="260" spans="1:7" ht="16">
      <c r="A260" s="209" t="s">
        <v>141</v>
      </c>
      <c r="B260" s="204" t="s">
        <v>142</v>
      </c>
      <c r="C260" s="210">
        <v>210</v>
      </c>
      <c r="D260" s="211">
        <f>+D18</f>
        <v>50</v>
      </c>
      <c r="E260" s="212">
        <f>+C260*D260</f>
        <v>10500</v>
      </c>
      <c r="F260" s="138"/>
      <c r="G260" s="222"/>
    </row>
    <row r="261" spans="1:7" ht="16">
      <c r="A261" s="209" t="s">
        <v>139</v>
      </c>
      <c r="B261" s="204" t="s">
        <v>6</v>
      </c>
      <c r="C261" s="210">
        <v>0.55500000000000005</v>
      </c>
      <c r="D261" s="211">
        <f>+D16</f>
        <v>51170</v>
      </c>
      <c r="E261" s="212">
        <f>+C261*D261</f>
        <v>28399.350000000002</v>
      </c>
      <c r="F261" s="138"/>
    </row>
    <row r="262" spans="1:7" ht="16">
      <c r="A262" s="209" t="s">
        <v>140</v>
      </c>
      <c r="B262" s="204" t="s">
        <v>6</v>
      </c>
      <c r="C262" s="210">
        <v>0.84</v>
      </c>
      <c r="D262" s="211">
        <f>+D17</f>
        <v>86870</v>
      </c>
      <c r="E262" s="212">
        <f>+C262*D262</f>
        <v>72970.8</v>
      </c>
      <c r="F262" s="225"/>
    </row>
    <row r="263" spans="1:7" ht="16">
      <c r="A263" s="209" t="s">
        <v>340</v>
      </c>
      <c r="B263" s="204" t="s">
        <v>106</v>
      </c>
      <c r="C263" s="210">
        <v>0.118974</v>
      </c>
      <c r="D263" s="221">
        <f>D252</f>
        <v>123500</v>
      </c>
      <c r="E263" s="212">
        <f>+C263*D263</f>
        <v>14693.288999999999</v>
      </c>
      <c r="F263" s="138"/>
      <c r="G263" s="222"/>
    </row>
    <row r="264" spans="1:7" ht="16">
      <c r="A264" s="209" t="s">
        <v>150</v>
      </c>
      <c r="B264" s="204" t="s">
        <v>106</v>
      </c>
      <c r="C264" s="213">
        <v>0.03</v>
      </c>
      <c r="D264" s="214">
        <f>+E267</f>
        <v>37875.798572609587</v>
      </c>
      <c r="E264" s="215">
        <f>(C264*D264)</f>
        <v>1136.2739571782874</v>
      </c>
      <c r="F264" s="138"/>
      <c r="G264" s="222"/>
    </row>
    <row r="265" spans="1:7" ht="16">
      <c r="A265" s="209" t="s">
        <v>331</v>
      </c>
      <c r="B265" s="204" t="s">
        <v>327</v>
      </c>
      <c r="C265" s="213">
        <f>C261*6</f>
        <v>3.33</v>
      </c>
      <c r="D265" s="214">
        <f>D254</f>
        <v>3000</v>
      </c>
      <c r="E265" s="215">
        <f>(C265*D265)</f>
        <v>9990</v>
      </c>
      <c r="F265" s="138"/>
      <c r="G265" s="222"/>
    </row>
    <row r="266" spans="1:7" ht="16">
      <c r="A266" s="209" t="s">
        <v>332</v>
      </c>
      <c r="B266" s="204" t="s">
        <v>327</v>
      </c>
      <c r="C266" s="213">
        <f>C262*6</f>
        <v>5.04</v>
      </c>
      <c r="D266" s="214">
        <f>D206</f>
        <v>4000</v>
      </c>
      <c r="E266" s="215">
        <f>(C266*D266)</f>
        <v>20160</v>
      </c>
      <c r="F266" s="138"/>
      <c r="G266" s="222"/>
    </row>
    <row r="267" spans="1:7" ht="16">
      <c r="A267" s="209" t="s">
        <v>341</v>
      </c>
      <c r="B267" s="204" t="s">
        <v>334</v>
      </c>
      <c r="C267" s="210">
        <v>1.5</v>
      </c>
      <c r="D267" s="211">
        <f>D187</f>
        <v>25250.532381739726</v>
      </c>
      <c r="E267" s="212">
        <f>+C267*D267</f>
        <v>37875.798572609587</v>
      </c>
      <c r="F267" s="138"/>
      <c r="G267" s="222"/>
    </row>
    <row r="268" spans="1:7" ht="16">
      <c r="A268" s="205" t="s">
        <v>344</v>
      </c>
      <c r="B268" s="204" t="s">
        <v>6</v>
      </c>
      <c r="C268" s="146"/>
      <c r="D268" s="146"/>
      <c r="E268" s="206">
        <f>ROUND(SUM(E269:E277),0)</f>
        <v>420483</v>
      </c>
      <c r="F268" s="138"/>
      <c r="G268" s="224"/>
    </row>
    <row r="269" spans="1:7" ht="16">
      <c r="A269" s="209" t="s">
        <v>132</v>
      </c>
      <c r="B269" s="204" t="s">
        <v>133</v>
      </c>
      <c r="C269" s="210">
        <v>300</v>
      </c>
      <c r="D269" s="211">
        <f>+D14</f>
        <v>710</v>
      </c>
      <c r="E269" s="212">
        <f>+C269*D269</f>
        <v>213000</v>
      </c>
      <c r="F269" s="138"/>
    </row>
    <row r="270" spans="1:7" ht="16">
      <c r="A270" s="209" t="s">
        <v>141</v>
      </c>
      <c r="B270" s="204" t="s">
        <v>142</v>
      </c>
      <c r="C270" s="210">
        <v>305</v>
      </c>
      <c r="D270" s="211">
        <f>+D18</f>
        <v>50</v>
      </c>
      <c r="E270" s="212">
        <f>+C270*D270</f>
        <v>15250</v>
      </c>
      <c r="F270" s="138"/>
      <c r="G270" s="222"/>
    </row>
    <row r="271" spans="1:7" ht="16">
      <c r="A271" s="209" t="s">
        <v>139</v>
      </c>
      <c r="B271" s="204" t="s">
        <v>6</v>
      </c>
      <c r="C271" s="210">
        <v>0.48</v>
      </c>
      <c r="D271" s="211">
        <f>+D16</f>
        <v>51170</v>
      </c>
      <c r="E271" s="212">
        <f>+C271*D271</f>
        <v>24561.599999999999</v>
      </c>
      <c r="F271" s="138"/>
    </row>
    <row r="272" spans="1:7" ht="16">
      <c r="A272" s="209" t="s">
        <v>140</v>
      </c>
      <c r="B272" s="204" t="s">
        <v>6</v>
      </c>
      <c r="C272" s="210">
        <v>0.95</v>
      </c>
      <c r="D272" s="211">
        <f>+D17</f>
        <v>86870</v>
      </c>
      <c r="E272" s="212">
        <f>+C272*D272</f>
        <v>82526.5</v>
      </c>
      <c r="F272" s="138"/>
    </row>
    <row r="273" spans="1:7" ht="16">
      <c r="A273" s="209" t="s">
        <v>340</v>
      </c>
      <c r="B273" s="204" t="s">
        <v>106</v>
      </c>
      <c r="C273" s="210">
        <v>0.118974</v>
      </c>
      <c r="D273" s="221">
        <f>D263</f>
        <v>123500</v>
      </c>
      <c r="E273" s="212">
        <f>+C273*D273</f>
        <v>14693.288999999999</v>
      </c>
      <c r="F273" s="138"/>
      <c r="G273" s="222"/>
    </row>
    <row r="274" spans="1:7" ht="16">
      <c r="A274" s="209" t="s">
        <v>150</v>
      </c>
      <c r="B274" s="204" t="s">
        <v>106</v>
      </c>
      <c r="C274" s="213">
        <v>0.03</v>
      </c>
      <c r="D274" s="214">
        <f>+E277</f>
        <v>37875.798572609587</v>
      </c>
      <c r="E274" s="215">
        <f>(C274*D274)</f>
        <v>1136.2739571782874</v>
      </c>
      <c r="F274" s="138"/>
      <c r="G274" s="222"/>
    </row>
    <row r="275" spans="1:7" ht="16">
      <c r="A275" s="209" t="s">
        <v>331</v>
      </c>
      <c r="B275" s="204" t="s">
        <v>327</v>
      </c>
      <c r="C275" s="213">
        <f>C271*6</f>
        <v>2.88</v>
      </c>
      <c r="D275" s="214">
        <f>D265</f>
        <v>3000</v>
      </c>
      <c r="E275" s="215">
        <f>(C275*D275)</f>
        <v>8640</v>
      </c>
      <c r="F275" s="138"/>
      <c r="G275" s="222"/>
    </row>
    <row r="276" spans="1:7" ht="16">
      <c r="A276" s="209" t="s">
        <v>332</v>
      </c>
      <c r="B276" s="204" t="s">
        <v>327</v>
      </c>
      <c r="C276" s="213">
        <f>C272*6</f>
        <v>5.6999999999999993</v>
      </c>
      <c r="D276" s="214">
        <f>D206</f>
        <v>4000</v>
      </c>
      <c r="E276" s="215">
        <f>(C276*D276)</f>
        <v>22799.999999999996</v>
      </c>
      <c r="F276" s="138"/>
      <c r="G276" s="222"/>
    </row>
    <row r="277" spans="1:7" ht="16">
      <c r="A277" s="209" t="s">
        <v>341</v>
      </c>
      <c r="B277" s="204" t="s">
        <v>334</v>
      </c>
      <c r="C277" s="210">
        <v>1.5</v>
      </c>
      <c r="D277" s="211">
        <f>D187</f>
        <v>25250.532381739726</v>
      </c>
      <c r="E277" s="212">
        <f>+C277*D277</f>
        <v>37875.798572609587</v>
      </c>
      <c r="F277" s="138"/>
      <c r="G277" s="222"/>
    </row>
    <row r="278" spans="1:7" ht="16">
      <c r="A278" s="209"/>
      <c r="B278" s="204"/>
      <c r="C278" s="210"/>
      <c r="D278" s="211"/>
      <c r="E278" s="212"/>
      <c r="F278" s="138"/>
      <c r="G278" s="222"/>
    </row>
    <row r="279" spans="1:7" ht="16">
      <c r="A279" s="205" t="s">
        <v>345</v>
      </c>
      <c r="B279" s="204" t="s">
        <v>6</v>
      </c>
      <c r="C279" s="146"/>
      <c r="D279" s="146"/>
      <c r="E279" s="206">
        <f>ROUND(SUM(E280:E288),0)</f>
        <v>368847</v>
      </c>
      <c r="F279" s="138"/>
    </row>
    <row r="280" spans="1:7" ht="16">
      <c r="A280" s="209" t="s">
        <v>132</v>
      </c>
      <c r="B280" s="204" t="s">
        <v>133</v>
      </c>
      <c r="C280" s="210">
        <v>225</v>
      </c>
      <c r="D280" s="211">
        <f>+D14</f>
        <v>710</v>
      </c>
      <c r="E280" s="212">
        <f>+C280*D280</f>
        <v>159750</v>
      </c>
      <c r="F280" s="138"/>
    </row>
    <row r="281" spans="1:7" ht="16">
      <c r="A281" s="209" t="s">
        <v>141</v>
      </c>
      <c r="B281" s="204" t="s">
        <v>142</v>
      </c>
      <c r="C281" s="210">
        <v>185</v>
      </c>
      <c r="D281" s="211">
        <f>+D18</f>
        <v>50</v>
      </c>
      <c r="E281" s="212">
        <f>+C281*D281</f>
        <v>9250</v>
      </c>
      <c r="F281" s="225"/>
    </row>
    <row r="282" spans="1:7" ht="16">
      <c r="A282" s="209" t="s">
        <v>139</v>
      </c>
      <c r="B282" s="204" t="s">
        <v>6</v>
      </c>
      <c r="C282" s="210">
        <v>0.55000000000000004</v>
      </c>
      <c r="D282" s="211">
        <f>+D16</f>
        <v>51170</v>
      </c>
      <c r="E282" s="212">
        <f>+C282*D282</f>
        <v>28143.500000000004</v>
      </c>
      <c r="F282" s="225"/>
    </row>
    <row r="283" spans="1:7" ht="16">
      <c r="A283" s="209" t="s">
        <v>140</v>
      </c>
      <c r="B283" s="204" t="s">
        <v>6</v>
      </c>
      <c r="C283" s="210">
        <v>0.97499999999999998</v>
      </c>
      <c r="D283" s="211">
        <f>+D17</f>
        <v>86870</v>
      </c>
      <c r="E283" s="212">
        <f>+C283*D283</f>
        <v>84698.25</v>
      </c>
      <c r="F283" s="138"/>
      <c r="G283" s="226"/>
    </row>
    <row r="284" spans="1:7" ht="16">
      <c r="A284" s="209" t="s">
        <v>340</v>
      </c>
      <c r="B284" s="204" t="s">
        <v>106</v>
      </c>
      <c r="C284" s="210">
        <v>0.118974</v>
      </c>
      <c r="D284" s="221">
        <f>D273</f>
        <v>123500</v>
      </c>
      <c r="E284" s="212">
        <f>+C284*D284</f>
        <v>14693.288999999999</v>
      </c>
      <c r="F284" s="138"/>
    </row>
    <row r="285" spans="1:7" ht="16">
      <c r="A285" s="209" t="s">
        <v>150</v>
      </c>
      <c r="B285" s="204" t="s">
        <v>106</v>
      </c>
      <c r="C285" s="213">
        <v>0.03</v>
      </c>
      <c r="D285" s="214">
        <f>+E288</f>
        <v>37875.798572609587</v>
      </c>
      <c r="E285" s="215">
        <f>(C285*D285)</f>
        <v>1136.2739571782874</v>
      </c>
      <c r="F285" s="138"/>
    </row>
    <row r="286" spans="1:7" ht="16">
      <c r="A286" s="209" t="s">
        <v>331</v>
      </c>
      <c r="B286" s="204" t="s">
        <v>327</v>
      </c>
      <c r="C286" s="213">
        <f>C282*6</f>
        <v>3.3000000000000003</v>
      </c>
      <c r="D286" s="214">
        <f>D275</f>
        <v>3000</v>
      </c>
      <c r="E286" s="215">
        <f>(C286*D286)</f>
        <v>9900</v>
      </c>
      <c r="F286" s="138"/>
    </row>
    <row r="287" spans="1:7" ht="16">
      <c r="A287" s="209" t="s">
        <v>332</v>
      </c>
      <c r="B287" s="204" t="s">
        <v>327</v>
      </c>
      <c r="C287" s="213">
        <f>C283*6</f>
        <v>5.85</v>
      </c>
      <c r="D287" s="214">
        <f>D206</f>
        <v>4000</v>
      </c>
      <c r="E287" s="215">
        <f>(C287*D287)</f>
        <v>23400</v>
      </c>
      <c r="F287" s="138"/>
    </row>
    <row r="288" spans="1:7" ht="16">
      <c r="A288" s="209" t="s">
        <v>341</v>
      </c>
      <c r="B288" s="204" t="s">
        <v>334</v>
      </c>
      <c r="C288" s="210">
        <v>1.5</v>
      </c>
      <c r="D288" s="211">
        <f>D187</f>
        <v>25250.532381739726</v>
      </c>
      <c r="E288" s="212">
        <f>+C288*D288</f>
        <v>37875.798572609587</v>
      </c>
      <c r="F288" s="138"/>
    </row>
    <row r="289" spans="1:6" ht="16">
      <c r="A289" s="209"/>
      <c r="B289" s="204"/>
      <c r="C289" s="210"/>
      <c r="D289" s="211"/>
      <c r="E289" s="212"/>
      <c r="F289" s="138"/>
    </row>
    <row r="290" spans="1:6" ht="16">
      <c r="A290" s="205" t="s">
        <v>346</v>
      </c>
      <c r="B290" s="204" t="s">
        <v>6</v>
      </c>
      <c r="C290" s="146"/>
      <c r="D290" s="146"/>
      <c r="E290" s="206">
        <f>ROUND(SUM(E291:E299),0)</f>
        <v>379187</v>
      </c>
      <c r="F290" s="138"/>
    </row>
    <row r="291" spans="1:6" ht="16">
      <c r="A291" s="209" t="s">
        <v>132</v>
      </c>
      <c r="B291" s="204" t="s">
        <v>133</v>
      </c>
      <c r="C291" s="210">
        <v>252</v>
      </c>
      <c r="D291" s="211">
        <f>+D14</f>
        <v>710</v>
      </c>
      <c r="E291" s="212">
        <f>+C291*D291</f>
        <v>178920</v>
      </c>
      <c r="F291" s="138"/>
    </row>
    <row r="292" spans="1:6" ht="16">
      <c r="A292" s="209" t="s">
        <v>141</v>
      </c>
      <c r="B292" s="204" t="s">
        <v>142</v>
      </c>
      <c r="C292" s="210">
        <v>204</v>
      </c>
      <c r="D292" s="211">
        <f>+D18</f>
        <v>50</v>
      </c>
      <c r="E292" s="212">
        <f>+C292*D292</f>
        <v>10200</v>
      </c>
      <c r="F292" s="138"/>
    </row>
    <row r="293" spans="1:6" ht="16">
      <c r="A293" s="209" t="s">
        <v>139</v>
      </c>
      <c r="B293" s="204" t="s">
        <v>6</v>
      </c>
      <c r="C293" s="210">
        <v>0.625</v>
      </c>
      <c r="D293" s="211">
        <f>+D16</f>
        <v>51170</v>
      </c>
      <c r="E293" s="212">
        <f>+C293*D293</f>
        <v>31981.25</v>
      </c>
      <c r="F293" s="138"/>
    </row>
    <row r="294" spans="1:6" ht="16">
      <c r="A294" s="209" t="s">
        <v>140</v>
      </c>
      <c r="B294" s="204" t="s">
        <v>6</v>
      </c>
      <c r="C294" s="210">
        <v>0.84</v>
      </c>
      <c r="D294" s="211">
        <f>+D17</f>
        <v>86870</v>
      </c>
      <c r="E294" s="212">
        <f>+C294*D294</f>
        <v>72970.8</v>
      </c>
      <c r="F294" s="138"/>
    </row>
    <row r="295" spans="1:6" ht="16">
      <c r="A295" s="209" t="s">
        <v>340</v>
      </c>
      <c r="B295" s="204" t="s">
        <v>106</v>
      </c>
      <c r="C295" s="210">
        <v>0.118974</v>
      </c>
      <c r="D295" s="221">
        <f>D284</f>
        <v>123500</v>
      </c>
      <c r="E295" s="212">
        <f>+C295*D295</f>
        <v>14693.288999999999</v>
      </c>
      <c r="F295" s="138"/>
    </row>
    <row r="296" spans="1:6" ht="16">
      <c r="A296" s="209" t="s">
        <v>150</v>
      </c>
      <c r="B296" s="204" t="s">
        <v>106</v>
      </c>
      <c r="C296" s="213">
        <v>0.03</v>
      </c>
      <c r="D296" s="214">
        <f>+E299</f>
        <v>37875.798572609587</v>
      </c>
      <c r="E296" s="215">
        <f>(C296*D296)</f>
        <v>1136.2739571782874</v>
      </c>
      <c r="F296" s="138"/>
    </row>
    <row r="297" spans="1:6" ht="16">
      <c r="A297" s="209" t="s">
        <v>331</v>
      </c>
      <c r="B297" s="204" t="s">
        <v>327</v>
      </c>
      <c r="C297" s="213">
        <f>C293*6</f>
        <v>3.75</v>
      </c>
      <c r="D297" s="214">
        <f>D286</f>
        <v>3000</v>
      </c>
      <c r="E297" s="215">
        <f>(C297*D297)</f>
        <v>11250</v>
      </c>
      <c r="F297" s="138"/>
    </row>
    <row r="298" spans="1:6" ht="16">
      <c r="A298" s="209" t="s">
        <v>332</v>
      </c>
      <c r="B298" s="204" t="s">
        <v>327</v>
      </c>
      <c r="C298" s="213">
        <f>C294*6</f>
        <v>5.04</v>
      </c>
      <c r="D298" s="214">
        <f>D206</f>
        <v>4000</v>
      </c>
      <c r="E298" s="215">
        <f>(C298*D298)</f>
        <v>20160</v>
      </c>
      <c r="F298" s="138"/>
    </row>
    <row r="299" spans="1:6" ht="16">
      <c r="A299" s="209" t="s">
        <v>341</v>
      </c>
      <c r="B299" s="204" t="s">
        <v>334</v>
      </c>
      <c r="C299" s="210">
        <v>1.5</v>
      </c>
      <c r="D299" s="211">
        <f>D187</f>
        <v>25250.532381739726</v>
      </c>
      <c r="E299" s="212">
        <f>+C299*D299</f>
        <v>37875.798572609587</v>
      </c>
      <c r="F299" s="138"/>
    </row>
    <row r="300" spans="1:6" ht="16">
      <c r="A300" s="209"/>
      <c r="B300" s="204"/>
      <c r="C300" s="210"/>
      <c r="D300" s="211"/>
      <c r="E300" s="212"/>
      <c r="F300" s="138"/>
    </row>
    <row r="301" spans="1:6" ht="16">
      <c r="A301" s="205" t="s">
        <v>347</v>
      </c>
      <c r="B301" s="204" t="s">
        <v>6</v>
      </c>
      <c r="C301" s="146"/>
      <c r="D301" s="146"/>
      <c r="E301" s="206">
        <f>ROUND(SUM(E302:E310),0)</f>
        <v>358478</v>
      </c>
      <c r="F301" s="138"/>
    </row>
    <row r="302" spans="1:6" ht="16">
      <c r="A302" s="209" t="s">
        <v>132</v>
      </c>
      <c r="B302" s="204" t="s">
        <v>133</v>
      </c>
      <c r="C302" s="210">
        <v>252</v>
      </c>
      <c r="D302" s="211">
        <f>D291</f>
        <v>710</v>
      </c>
      <c r="E302" s="212">
        <f>+C302*D302</f>
        <v>178920</v>
      </c>
      <c r="F302" s="138"/>
    </row>
    <row r="303" spans="1:6" ht="16">
      <c r="A303" s="209" t="s">
        <v>141</v>
      </c>
      <c r="B303" s="204" t="s">
        <v>142</v>
      </c>
      <c r="C303" s="210">
        <v>204</v>
      </c>
      <c r="D303" s="211">
        <f>D292</f>
        <v>50</v>
      </c>
      <c r="E303" s="212">
        <f>+C303*D303</f>
        <v>10200</v>
      </c>
      <c r="F303" s="138"/>
    </row>
    <row r="304" spans="1:6" ht="16">
      <c r="A304" s="209" t="s">
        <v>139</v>
      </c>
      <c r="B304" s="204" t="s">
        <v>6</v>
      </c>
      <c r="C304" s="210">
        <v>0.55000000000000004</v>
      </c>
      <c r="D304" s="211">
        <f>D293</f>
        <v>51170</v>
      </c>
      <c r="E304" s="212">
        <f>+C304*D304</f>
        <v>28143.500000000004</v>
      </c>
      <c r="F304" s="138"/>
    </row>
    <row r="305" spans="1:6" ht="16">
      <c r="A305" s="209" t="s">
        <v>140</v>
      </c>
      <c r="B305" s="204" t="s">
        <v>6</v>
      </c>
      <c r="C305" s="210">
        <v>0.7</v>
      </c>
      <c r="D305" s="211">
        <f>D294</f>
        <v>86870</v>
      </c>
      <c r="E305" s="212">
        <f>+C305*D305</f>
        <v>60808.999999999993</v>
      </c>
      <c r="F305" s="138"/>
    </row>
    <row r="306" spans="1:6" ht="16">
      <c r="A306" s="209" t="s">
        <v>340</v>
      </c>
      <c r="B306" s="204" t="s">
        <v>106</v>
      </c>
      <c r="C306" s="210">
        <v>0.118974</v>
      </c>
      <c r="D306" s="221">
        <f>D295</f>
        <v>123500</v>
      </c>
      <c r="E306" s="212">
        <f>+C306*D306</f>
        <v>14693.288999999999</v>
      </c>
      <c r="F306" s="138"/>
    </row>
    <row r="307" spans="1:6" ht="16">
      <c r="A307" s="209" t="s">
        <v>150</v>
      </c>
      <c r="B307" s="204" t="s">
        <v>106</v>
      </c>
      <c r="C307" s="213">
        <v>0.03</v>
      </c>
      <c r="D307" s="214">
        <f>+E310</f>
        <v>37875.798572609587</v>
      </c>
      <c r="E307" s="215">
        <f>(C307*D307)</f>
        <v>1136.2739571782874</v>
      </c>
      <c r="F307" s="138"/>
    </row>
    <row r="308" spans="1:6" ht="16">
      <c r="A308" s="209" t="s">
        <v>331</v>
      </c>
      <c r="B308" s="204" t="s">
        <v>327</v>
      </c>
      <c r="C308" s="213">
        <f>C304*6</f>
        <v>3.3000000000000003</v>
      </c>
      <c r="D308" s="214">
        <f>D297</f>
        <v>3000</v>
      </c>
      <c r="E308" s="215">
        <f>(C308*D308)</f>
        <v>9900</v>
      </c>
      <c r="F308" s="138"/>
    </row>
    <row r="309" spans="1:6" ht="16">
      <c r="A309" s="209" t="s">
        <v>332</v>
      </c>
      <c r="B309" s="204" t="s">
        <v>327</v>
      </c>
      <c r="C309" s="213">
        <f>C305*6</f>
        <v>4.1999999999999993</v>
      </c>
      <c r="D309" s="214">
        <f>D206</f>
        <v>4000</v>
      </c>
      <c r="E309" s="215">
        <f>(C309*D309)</f>
        <v>16799.999999999996</v>
      </c>
      <c r="F309" s="138"/>
    </row>
    <row r="310" spans="1:6" ht="16">
      <c r="A310" s="209" t="s">
        <v>341</v>
      </c>
      <c r="B310" s="204" t="s">
        <v>334</v>
      </c>
      <c r="C310" s="210">
        <v>1.5</v>
      </c>
      <c r="D310" s="211">
        <f>D187</f>
        <v>25250.532381739726</v>
      </c>
      <c r="E310" s="212">
        <f>+C310*D310</f>
        <v>37875.798572609587</v>
      </c>
      <c r="F310" s="138"/>
    </row>
    <row r="311" spans="1:6" ht="16">
      <c r="A311" s="209"/>
      <c r="B311" s="204"/>
      <c r="C311" s="210"/>
      <c r="D311" s="211"/>
      <c r="E311" s="212"/>
      <c r="F311" s="138"/>
    </row>
    <row r="312" spans="1:6" ht="16">
      <c r="A312" s="205" t="s">
        <v>315</v>
      </c>
      <c r="B312" s="204" t="s">
        <v>4</v>
      </c>
      <c r="C312" s="146"/>
      <c r="D312" s="146"/>
      <c r="E312" s="206">
        <f>SUM(E313:E315)</f>
        <v>18925.2</v>
      </c>
      <c r="F312" s="138"/>
    </row>
    <row r="313" spans="1:6" ht="16">
      <c r="A313" s="209" t="s">
        <v>301</v>
      </c>
      <c r="B313" s="204" t="s">
        <v>348</v>
      </c>
      <c r="C313" s="210">
        <v>8.4</v>
      </c>
      <c r="D313" s="211">
        <f>D169</f>
        <v>420</v>
      </c>
      <c r="E313" s="212">
        <f>+C313*D313</f>
        <v>3528</v>
      </c>
      <c r="F313" s="138"/>
    </row>
    <row r="314" spans="1:6" ht="16">
      <c r="A314" s="209" t="s">
        <v>300</v>
      </c>
      <c r="B314" s="204" t="s">
        <v>348</v>
      </c>
      <c r="C314" s="210">
        <v>4.2</v>
      </c>
      <c r="D314" s="211">
        <f>D168</f>
        <v>470</v>
      </c>
      <c r="E314" s="212">
        <f>+C314*D314</f>
        <v>1974</v>
      </c>
      <c r="F314" s="138"/>
    </row>
    <row r="315" spans="1:6" ht="16">
      <c r="A315" s="209" t="s">
        <v>303</v>
      </c>
      <c r="B315" s="204" t="s">
        <v>348</v>
      </c>
      <c r="C315" s="210">
        <f>28*1.02</f>
        <v>28.560000000000002</v>
      </c>
      <c r="D315" s="211">
        <f>D171</f>
        <v>470</v>
      </c>
      <c r="E315" s="212">
        <f>+C315*D315</f>
        <v>13423.2</v>
      </c>
      <c r="F315" s="138"/>
    </row>
    <row r="316" spans="1:6" ht="16">
      <c r="A316" s="205" t="s">
        <v>349</v>
      </c>
      <c r="B316" s="204" t="s">
        <v>4</v>
      </c>
      <c r="C316" s="146"/>
      <c r="D316" s="146"/>
      <c r="E316" s="206">
        <f>SUM(E317:E319)</f>
        <v>6366</v>
      </c>
      <c r="F316" s="138"/>
    </row>
    <row r="317" spans="1:6" ht="16">
      <c r="A317" s="209" t="s">
        <v>301</v>
      </c>
      <c r="B317" s="204" t="s">
        <v>348</v>
      </c>
      <c r="C317" s="210">
        <v>2.4</v>
      </c>
      <c r="D317" s="211">
        <f>D313</f>
        <v>420</v>
      </c>
      <c r="E317" s="212">
        <f>+C317*D317</f>
        <v>1008</v>
      </c>
      <c r="F317" s="138"/>
    </row>
    <row r="318" spans="1:6" ht="16">
      <c r="A318" s="209" t="s">
        <v>300</v>
      </c>
      <c r="B318" s="204" t="s">
        <v>348</v>
      </c>
      <c r="C318" s="210">
        <v>1.2</v>
      </c>
      <c r="D318" s="211">
        <f>D314</f>
        <v>470</v>
      </c>
      <c r="E318" s="212">
        <f>+C318*D318</f>
        <v>564</v>
      </c>
      <c r="F318" s="138"/>
    </row>
    <row r="319" spans="1:6" ht="16">
      <c r="A319" s="209" t="s">
        <v>303</v>
      </c>
      <c r="B319" s="204" t="s">
        <v>348</v>
      </c>
      <c r="C319" s="210">
        <v>10.199999999999999</v>
      </c>
      <c r="D319" s="211">
        <f>D315</f>
        <v>470</v>
      </c>
      <c r="E319" s="212">
        <f>+C319*D319</f>
        <v>4794</v>
      </c>
      <c r="F319" s="138"/>
    </row>
    <row r="320" spans="1:6" ht="16">
      <c r="A320" s="205" t="s">
        <v>313</v>
      </c>
      <c r="B320" s="204" t="s">
        <v>6</v>
      </c>
      <c r="C320" s="146"/>
      <c r="D320" s="146"/>
      <c r="E320" s="206">
        <f>SUM(E321:E322)</f>
        <v>259800</v>
      </c>
      <c r="F320" s="138"/>
    </row>
    <row r="321" spans="1:6" ht="16">
      <c r="A321" s="209" t="s">
        <v>301</v>
      </c>
      <c r="B321" s="204" t="s">
        <v>348</v>
      </c>
      <c r="C321" s="210">
        <v>60</v>
      </c>
      <c r="D321" s="211">
        <f>D317</f>
        <v>420</v>
      </c>
      <c r="E321" s="212">
        <f>+C321*D321</f>
        <v>25200</v>
      </c>
      <c r="F321" s="138"/>
    </row>
    <row r="322" spans="1:6" ht="34">
      <c r="A322" s="203" t="s">
        <v>312</v>
      </c>
      <c r="B322" s="204" t="s">
        <v>348</v>
      </c>
      <c r="C322" s="210">
        <f>3*4</f>
        <v>12</v>
      </c>
      <c r="D322" s="211">
        <f>D181</f>
        <v>19550</v>
      </c>
      <c r="E322" s="212">
        <f>+C322*D322</f>
        <v>234600</v>
      </c>
      <c r="F322" s="138"/>
    </row>
    <row r="323" spans="1:6" ht="16">
      <c r="A323" s="205" t="s">
        <v>350</v>
      </c>
      <c r="B323" s="204" t="s">
        <v>6</v>
      </c>
      <c r="C323" s="146"/>
      <c r="D323" s="146"/>
      <c r="E323" s="206">
        <f>SUM(E324:E325)</f>
        <v>370199.99999999994</v>
      </c>
      <c r="F323" s="138"/>
    </row>
    <row r="324" spans="1:6" ht="16">
      <c r="A324" s="209" t="s">
        <v>301</v>
      </c>
      <c r="B324" s="204" t="s">
        <v>348</v>
      </c>
      <c r="C324" s="210">
        <v>60</v>
      </c>
      <c r="D324" s="211">
        <f>D317</f>
        <v>420</v>
      </c>
      <c r="E324" s="212">
        <f>+C324*D324</f>
        <v>25200</v>
      </c>
      <c r="F324" s="138"/>
    </row>
    <row r="325" spans="1:6" ht="34">
      <c r="A325" s="227" t="s">
        <v>351</v>
      </c>
      <c r="B325" s="204" t="s">
        <v>348</v>
      </c>
      <c r="C325" s="210">
        <v>12</v>
      </c>
      <c r="D325" s="211">
        <f>D178</f>
        <v>28749.999999999996</v>
      </c>
      <c r="E325" s="212">
        <f>+C325*D325</f>
        <v>344999.99999999994</v>
      </c>
      <c r="F325" s="138"/>
    </row>
    <row r="326" spans="1:6" ht="16">
      <c r="A326" s="205" t="s">
        <v>352</v>
      </c>
      <c r="B326" s="204" t="s">
        <v>6</v>
      </c>
      <c r="C326" s="146"/>
      <c r="D326" s="146"/>
      <c r="E326" s="206">
        <f>ROUND(SUM(E327:E328),0)</f>
        <v>147540</v>
      </c>
      <c r="F326" s="138"/>
    </row>
    <row r="327" spans="1:6" ht="16">
      <c r="A327" s="209" t="s">
        <v>301</v>
      </c>
      <c r="B327" s="204" t="s">
        <v>348</v>
      </c>
      <c r="C327" s="210">
        <f>3*24</f>
        <v>72</v>
      </c>
      <c r="D327" s="211">
        <f>D324</f>
        <v>420</v>
      </c>
      <c r="E327" s="212">
        <f>+C327*D327</f>
        <v>30240</v>
      </c>
      <c r="F327" s="138"/>
    </row>
    <row r="328" spans="1:6" ht="34">
      <c r="A328" s="203" t="s">
        <v>312</v>
      </c>
      <c r="B328" s="204" t="s">
        <v>348</v>
      </c>
      <c r="C328" s="210">
        <f>2*3</f>
        <v>6</v>
      </c>
      <c r="D328" s="211">
        <f>D322</f>
        <v>19550</v>
      </c>
      <c r="E328" s="212">
        <f>+C328*D328</f>
        <v>117300</v>
      </c>
      <c r="F328" s="138"/>
    </row>
    <row r="329" spans="1:6" ht="17">
      <c r="A329" s="228" t="s">
        <v>353</v>
      </c>
      <c r="B329" s="204" t="s">
        <v>6</v>
      </c>
      <c r="C329" s="146"/>
      <c r="D329" s="146"/>
      <c r="E329" s="206">
        <f>ROUND(SUM(E330:E332),0)</f>
        <v>183460</v>
      </c>
      <c r="F329" s="138"/>
    </row>
    <row r="330" spans="1:6" ht="16">
      <c r="A330" s="209" t="s">
        <v>301</v>
      </c>
      <c r="B330" s="204" t="s">
        <v>348</v>
      </c>
      <c r="C330" s="210">
        <f>28*7.4</f>
        <v>207.20000000000002</v>
      </c>
      <c r="D330" s="211">
        <f>D327</f>
        <v>420</v>
      </c>
      <c r="E330" s="212">
        <f>+C330*D330</f>
        <v>87024</v>
      </c>
      <c r="F330" s="138"/>
    </row>
    <row r="331" spans="1:6" ht="16">
      <c r="A331" s="209" t="s">
        <v>304</v>
      </c>
      <c r="B331" s="204" t="s">
        <v>348</v>
      </c>
      <c r="C331" s="210">
        <f>3*15.87</f>
        <v>47.61</v>
      </c>
      <c r="D331" s="211">
        <f>D172</f>
        <v>420</v>
      </c>
      <c r="E331" s="212">
        <f>+C331*D331</f>
        <v>19996.2</v>
      </c>
      <c r="F331" s="138"/>
    </row>
    <row r="332" spans="1:6" ht="17">
      <c r="A332" s="203" t="s">
        <v>354</v>
      </c>
      <c r="B332" s="204" t="s">
        <v>348</v>
      </c>
      <c r="C332" s="210">
        <f>2*2+(11.11*2/4)</f>
        <v>9.5549999999999997</v>
      </c>
      <c r="D332" s="211">
        <v>8000</v>
      </c>
      <c r="E332" s="212">
        <f>+C332*D332</f>
        <v>76440</v>
      </c>
      <c r="F332" s="138"/>
    </row>
    <row r="333" spans="1:6" ht="17">
      <c r="A333" s="228" t="s">
        <v>355</v>
      </c>
      <c r="B333" s="204" t="s">
        <v>6</v>
      </c>
      <c r="C333" s="146"/>
      <c r="D333" s="146"/>
      <c r="E333" s="206">
        <f>ROUND(SUM(E334:E338),0)</f>
        <v>324895</v>
      </c>
      <c r="F333" s="138"/>
    </row>
    <row r="334" spans="1:6" ht="16">
      <c r="A334" s="209" t="s">
        <v>301</v>
      </c>
      <c r="B334" s="204" t="s">
        <v>348</v>
      </c>
      <c r="C334" s="210">
        <f>28*7.4</f>
        <v>207.20000000000002</v>
      </c>
      <c r="D334" s="211">
        <f>D330</f>
        <v>420</v>
      </c>
      <c r="E334" s="212">
        <f>+C334*D334</f>
        <v>87024</v>
      </c>
      <c r="F334" s="138"/>
    </row>
    <row r="335" spans="1:6" ht="16">
      <c r="A335" s="209" t="s">
        <v>300</v>
      </c>
      <c r="B335" s="204" t="s">
        <v>348</v>
      </c>
      <c r="C335" s="210">
        <f>28*7.4</f>
        <v>207.20000000000002</v>
      </c>
      <c r="D335" s="211">
        <f>D318</f>
        <v>470</v>
      </c>
      <c r="E335" s="212">
        <f>+C335*D335</f>
        <v>97384.000000000015</v>
      </c>
      <c r="F335" s="138"/>
    </row>
    <row r="336" spans="1:6" ht="16">
      <c r="A336" s="209" t="s">
        <v>303</v>
      </c>
      <c r="B336" s="204" t="s">
        <v>348</v>
      </c>
      <c r="C336" s="210">
        <f>28*7.94</f>
        <v>222.32000000000002</v>
      </c>
      <c r="D336" s="211">
        <f>D319</f>
        <v>470</v>
      </c>
      <c r="E336" s="212">
        <f>+C336*D336</f>
        <v>104490.40000000001</v>
      </c>
      <c r="F336" s="138"/>
    </row>
    <row r="337" spans="1:6" ht="16">
      <c r="A337" s="209" t="s">
        <v>304</v>
      </c>
      <c r="B337" s="204" t="s">
        <v>348</v>
      </c>
      <c r="C337" s="210">
        <f>3*15.87</f>
        <v>47.61</v>
      </c>
      <c r="D337" s="211">
        <f>D172</f>
        <v>420</v>
      </c>
      <c r="E337" s="212">
        <f>+C337*D337</f>
        <v>19996.2</v>
      </c>
      <c r="F337" s="138"/>
    </row>
    <row r="338" spans="1:6" ht="17">
      <c r="A338" s="203" t="s">
        <v>354</v>
      </c>
      <c r="B338" s="204" t="s">
        <v>348</v>
      </c>
      <c r="C338" s="210">
        <v>2</v>
      </c>
      <c r="D338" s="211">
        <f>D332</f>
        <v>8000</v>
      </c>
      <c r="E338" s="212">
        <f>+C338*D338</f>
        <v>16000</v>
      </c>
      <c r="F338" s="138"/>
    </row>
    <row r="339" spans="1:6" ht="17">
      <c r="A339" s="228" t="s">
        <v>356</v>
      </c>
      <c r="B339" s="204" t="s">
        <v>9</v>
      </c>
      <c r="C339" s="146"/>
      <c r="D339" s="146"/>
      <c r="E339" s="206">
        <f>ROUND(SUM(E340:E341),0)</f>
        <v>8160</v>
      </c>
      <c r="F339" s="138"/>
    </row>
    <row r="340" spans="1:6" ht="17">
      <c r="A340" s="203" t="s">
        <v>357</v>
      </c>
      <c r="B340" s="204" t="s">
        <v>348</v>
      </c>
      <c r="C340" s="210">
        <v>0.22</v>
      </c>
      <c r="D340" s="211">
        <v>16000</v>
      </c>
      <c r="E340" s="212">
        <f>+C340*D340</f>
        <v>3520</v>
      </c>
      <c r="F340" s="138"/>
    </row>
    <row r="341" spans="1:6" ht="17">
      <c r="A341" s="203" t="s">
        <v>354</v>
      </c>
      <c r="B341" s="204" t="s">
        <v>348</v>
      </c>
      <c r="C341" s="210">
        <v>0.57999999999999996</v>
      </c>
      <c r="D341" s="211">
        <f>D332</f>
        <v>8000</v>
      </c>
      <c r="E341" s="212">
        <f>+C341*D341</f>
        <v>4640</v>
      </c>
      <c r="F341" s="138"/>
    </row>
    <row r="342" spans="1:6" ht="17">
      <c r="A342" s="228" t="s">
        <v>358</v>
      </c>
      <c r="B342" s="204" t="s">
        <v>9</v>
      </c>
      <c r="C342" s="146"/>
      <c r="D342" s="146"/>
      <c r="E342" s="206">
        <f>ROUND(SUM(E343:E344),0)</f>
        <v>16320</v>
      </c>
      <c r="F342" s="138"/>
    </row>
    <row r="343" spans="1:6" ht="15" customHeight="1">
      <c r="A343" s="203" t="s">
        <v>357</v>
      </c>
      <c r="B343" s="204" t="s">
        <v>348</v>
      </c>
      <c r="C343" s="210">
        <f>0.22*2</f>
        <v>0.44</v>
      </c>
      <c r="D343" s="211">
        <f>D340</f>
        <v>16000</v>
      </c>
      <c r="E343" s="212">
        <f>+C343*D343</f>
        <v>7040</v>
      </c>
      <c r="F343" s="138"/>
    </row>
    <row r="344" spans="1:6" ht="15" customHeight="1">
      <c r="A344" s="203" t="s">
        <v>354</v>
      </c>
      <c r="B344" s="204" t="s">
        <v>348</v>
      </c>
      <c r="C344" s="210">
        <f>0.58*2</f>
        <v>1.1599999999999999</v>
      </c>
      <c r="D344" s="221">
        <f>D338</f>
        <v>8000</v>
      </c>
      <c r="E344" s="212">
        <f>+C344*D344</f>
        <v>9280</v>
      </c>
      <c r="F344" s="138"/>
    </row>
    <row r="345" spans="1:6" ht="15" customHeight="1">
      <c r="A345" s="228" t="s">
        <v>359</v>
      </c>
      <c r="B345" s="204" t="s">
        <v>9</v>
      </c>
      <c r="C345" s="146"/>
      <c r="D345" s="149"/>
      <c r="E345" s="206">
        <f>ROUND(SUM(E346:E348),0)</f>
        <v>13526</v>
      </c>
      <c r="F345" s="138"/>
    </row>
    <row r="346" spans="1:6" ht="15" customHeight="1">
      <c r="A346" s="209" t="s">
        <v>303</v>
      </c>
      <c r="B346" s="204" t="s">
        <v>348</v>
      </c>
      <c r="C346" s="210">
        <f>1/1.4*15</f>
        <v>10.714285714285715</v>
      </c>
      <c r="D346" s="221">
        <v>232</v>
      </c>
      <c r="E346" s="212">
        <f>+C346*D346</f>
        <v>2485.7142857142858</v>
      </c>
      <c r="F346" s="138"/>
    </row>
    <row r="347" spans="1:6" ht="17">
      <c r="A347" s="203" t="s">
        <v>354</v>
      </c>
      <c r="B347" s="204" t="s">
        <v>348</v>
      </c>
      <c r="C347" s="210">
        <f>0.58*2</f>
        <v>1.1599999999999999</v>
      </c>
      <c r="D347" s="221">
        <f>D341</f>
        <v>8000</v>
      </c>
      <c r="E347" s="212">
        <f>+C347*D347</f>
        <v>9280</v>
      </c>
      <c r="F347" s="138"/>
    </row>
    <row r="348" spans="1:6" ht="17">
      <c r="A348" s="203" t="s">
        <v>357</v>
      </c>
      <c r="B348" s="204" t="s">
        <v>348</v>
      </c>
      <c r="C348" s="210">
        <f>0.11</f>
        <v>0.11</v>
      </c>
      <c r="D348" s="211">
        <v>16000</v>
      </c>
      <c r="E348" s="212">
        <f>+C348*D348</f>
        <v>1760</v>
      </c>
      <c r="F348" s="138"/>
    </row>
    <row r="349" spans="1:6" ht="16" hidden="1">
      <c r="F349" s="138"/>
    </row>
    <row r="350" spans="1:6" ht="16" hidden="1">
      <c r="A350" s="138" t="s">
        <v>360</v>
      </c>
      <c r="B350" s="204" t="s">
        <v>4</v>
      </c>
      <c r="C350" s="230">
        <f>20000*1.15</f>
        <v>23000</v>
      </c>
      <c r="D350" s="230"/>
      <c r="E350" s="230"/>
      <c r="F350" s="138"/>
    </row>
    <row r="351" spans="1:6" ht="16" hidden="1">
      <c r="A351" s="138" t="s">
        <v>361</v>
      </c>
      <c r="B351" s="204" t="s">
        <v>4</v>
      </c>
      <c r="C351" s="230">
        <f>22000*1.15</f>
        <v>25299.999999999996</v>
      </c>
      <c r="D351" s="231"/>
      <c r="E351" s="230"/>
      <c r="F351" s="138"/>
    </row>
    <row r="352" spans="1:6" ht="16" hidden="1">
      <c r="A352" s="138" t="s">
        <v>362</v>
      </c>
      <c r="B352" s="204" t="s">
        <v>4</v>
      </c>
      <c r="C352" s="230">
        <f>24000*1.15</f>
        <v>27599.999999999996</v>
      </c>
      <c r="D352" s="230"/>
      <c r="E352" s="230"/>
      <c r="F352" s="138"/>
    </row>
    <row r="353" spans="1:6" ht="16" hidden="1">
      <c r="A353" s="138" t="s">
        <v>363</v>
      </c>
      <c r="B353" s="204" t="s">
        <v>4</v>
      </c>
      <c r="C353" s="230">
        <f>32000*1.15</f>
        <v>36800</v>
      </c>
      <c r="D353" s="230"/>
      <c r="E353" s="230"/>
      <c r="F353" s="138"/>
    </row>
    <row r="354" spans="1:6" ht="16" hidden="1">
      <c r="A354" s="138"/>
      <c r="B354" s="232"/>
      <c r="C354" s="230"/>
      <c r="D354" s="230"/>
      <c r="E354" s="230"/>
      <c r="F354" s="138"/>
    </row>
    <row r="355" spans="1:6" ht="16" hidden="1">
      <c r="A355" s="138" t="s">
        <v>364</v>
      </c>
      <c r="B355" s="232" t="s">
        <v>88</v>
      </c>
      <c r="C355" s="230">
        <f>125000*1.25</f>
        <v>156250</v>
      </c>
      <c r="D355" s="230"/>
      <c r="E355" s="230"/>
      <c r="F355" s="138"/>
    </row>
    <row r="356" spans="1:6" ht="16" hidden="1">
      <c r="A356" s="138" t="s">
        <v>365</v>
      </c>
      <c r="B356" s="232" t="s">
        <v>88</v>
      </c>
      <c r="C356" s="230">
        <f>450000*1.25</f>
        <v>562500</v>
      </c>
      <c r="D356" s="230"/>
      <c r="E356" s="230"/>
      <c r="F356" s="138"/>
    </row>
    <row r="357" spans="1:6" ht="16" hidden="1">
      <c r="A357" s="138" t="s">
        <v>366</v>
      </c>
      <c r="B357" s="232" t="s">
        <v>88</v>
      </c>
      <c r="C357" s="230">
        <f>450000*1.25</f>
        <v>562500</v>
      </c>
      <c r="D357" s="230"/>
      <c r="E357" s="230"/>
      <c r="F357" s="138"/>
    </row>
    <row r="358" spans="1:6" ht="16" hidden="1">
      <c r="A358" s="138" t="s">
        <v>367</v>
      </c>
      <c r="B358" s="232" t="s">
        <v>88</v>
      </c>
      <c r="C358" s="230">
        <f>60000*1.25</f>
        <v>75000</v>
      </c>
      <c r="D358" s="230"/>
      <c r="E358" s="230"/>
      <c r="F358" s="138"/>
    </row>
    <row r="359" spans="1:6" ht="16" hidden="1">
      <c r="A359" s="138" t="s">
        <v>368</v>
      </c>
      <c r="B359" s="232" t="s">
        <v>4</v>
      </c>
      <c r="C359" s="230">
        <f>130000*1.25</f>
        <v>162500</v>
      </c>
      <c r="D359" s="230"/>
      <c r="E359" s="230"/>
      <c r="F359" s="138"/>
    </row>
    <row r="360" spans="1:6" ht="16" hidden="1">
      <c r="A360" s="138"/>
      <c r="B360" s="232"/>
      <c r="C360" s="230"/>
      <c r="D360" s="230"/>
      <c r="E360" s="230"/>
      <c r="F360" s="138"/>
    </row>
    <row r="361" spans="1:6" ht="16" hidden="1">
      <c r="A361" s="138" t="s">
        <v>369</v>
      </c>
      <c r="B361" s="232" t="s">
        <v>4</v>
      </c>
      <c r="C361" s="230">
        <f>120000*1.25</f>
        <v>150000</v>
      </c>
      <c r="D361" s="230"/>
      <c r="E361" s="230"/>
      <c r="F361" s="138"/>
    </row>
    <row r="362" spans="1:6" ht="16" hidden="1">
      <c r="A362" s="138" t="s">
        <v>370</v>
      </c>
      <c r="B362" s="232" t="s">
        <v>4</v>
      </c>
      <c r="C362" s="230">
        <f>130000*1.25</f>
        <v>162500</v>
      </c>
      <c r="D362" s="230"/>
      <c r="E362" s="230"/>
      <c r="F362" s="138"/>
    </row>
    <row r="363" spans="1:6" ht="16" hidden="1">
      <c r="A363" s="138" t="s">
        <v>371</v>
      </c>
      <c r="B363" s="232" t="s">
        <v>4</v>
      </c>
      <c r="C363" s="230">
        <f>75000*1.25</f>
        <v>93750</v>
      </c>
      <c r="D363" s="230"/>
      <c r="E363" s="230"/>
      <c r="F363" s="138"/>
    </row>
    <row r="364" spans="1:6" ht="16" hidden="1">
      <c r="A364" s="138" t="s">
        <v>372</v>
      </c>
      <c r="B364" s="232" t="s">
        <v>4</v>
      </c>
      <c r="C364" s="230">
        <f>75000*1.25</f>
        <v>93750</v>
      </c>
      <c r="D364" s="230"/>
      <c r="E364" s="230"/>
      <c r="F364" s="138"/>
    </row>
    <row r="365" spans="1:6" ht="16" hidden="1">
      <c r="A365" s="138" t="s">
        <v>373</v>
      </c>
      <c r="B365" s="232" t="s">
        <v>9</v>
      </c>
      <c r="C365" s="230">
        <f>19000*1.25</f>
        <v>23750</v>
      </c>
      <c r="D365" s="230"/>
      <c r="E365" s="230"/>
      <c r="F365" s="138"/>
    </row>
    <row r="366" spans="1:6" ht="16" hidden="1">
      <c r="A366" s="230" t="s">
        <v>374</v>
      </c>
      <c r="B366" s="232" t="s">
        <v>4</v>
      </c>
      <c r="C366" s="230">
        <f>97000*1.25</f>
        <v>121250</v>
      </c>
      <c r="D366" s="230"/>
      <c r="E366" s="230"/>
      <c r="F366" s="138"/>
    </row>
    <row r="367" spans="1:6" ht="16" hidden="1">
      <c r="A367" s="230" t="s">
        <v>375</v>
      </c>
      <c r="B367" s="232"/>
      <c r="C367" s="230"/>
      <c r="D367" s="230"/>
      <c r="E367" s="230"/>
      <c r="F367" s="138"/>
    </row>
    <row r="368" spans="1:6" ht="16" hidden="1">
      <c r="A368" s="230" t="s">
        <v>376</v>
      </c>
      <c r="B368" s="232"/>
      <c r="C368" s="230"/>
      <c r="D368" s="230"/>
      <c r="E368" s="230"/>
      <c r="F368" s="138"/>
    </row>
    <row r="369" spans="1:6" ht="16" hidden="1">
      <c r="A369" s="230" t="s">
        <v>377</v>
      </c>
      <c r="B369" s="232"/>
      <c r="C369" s="230"/>
      <c r="D369" s="230"/>
      <c r="E369" s="230"/>
      <c r="F369" s="138"/>
    </row>
    <row r="370" spans="1:6" ht="16" hidden="1">
      <c r="A370" s="230" t="s">
        <v>378</v>
      </c>
      <c r="B370" s="232" t="s">
        <v>9</v>
      </c>
      <c r="C370" s="230">
        <f>85000*1.25</f>
        <v>106250</v>
      </c>
      <c r="D370" s="230"/>
      <c r="E370" s="230"/>
      <c r="F370" s="138"/>
    </row>
    <row r="371" spans="1:6" ht="16" hidden="1">
      <c r="A371" s="138"/>
      <c r="B371" s="232"/>
      <c r="C371" s="230"/>
      <c r="D371" s="230"/>
      <c r="E371" s="230"/>
      <c r="F371" s="138"/>
    </row>
    <row r="372" spans="1:6" ht="16" hidden="1">
      <c r="A372" s="138" t="s">
        <v>379</v>
      </c>
      <c r="B372" s="232" t="s">
        <v>380</v>
      </c>
      <c r="C372" s="230">
        <f>6000*1.2</f>
        <v>7200</v>
      </c>
      <c r="D372" s="230"/>
      <c r="E372" s="230"/>
      <c r="F372" s="138"/>
    </row>
    <row r="373" spans="1:6" ht="16" hidden="1">
      <c r="A373" s="138"/>
      <c r="B373" s="232"/>
      <c r="C373" s="230"/>
      <c r="D373" s="230"/>
      <c r="E373" s="230"/>
      <c r="F373" s="138"/>
    </row>
    <row r="374" spans="1:6" ht="51">
      <c r="A374" s="233" t="s">
        <v>381</v>
      </c>
      <c r="B374" s="234" t="s">
        <v>88</v>
      </c>
      <c r="C374" s="230"/>
      <c r="D374" s="230"/>
      <c r="E374" s="166">
        <f>SUM(E375:E382)</f>
        <v>271657.43239999999</v>
      </c>
      <c r="F374" s="138"/>
    </row>
    <row r="375" spans="1:6" ht="16">
      <c r="A375" s="138" t="s">
        <v>382</v>
      </c>
      <c r="B375" s="232" t="s">
        <v>9</v>
      </c>
      <c r="C375" s="230">
        <v>7.6</v>
      </c>
      <c r="D375" s="230">
        <v>11092</v>
      </c>
      <c r="E375" s="230">
        <f>+C375*D375</f>
        <v>84299.199999999997</v>
      </c>
      <c r="F375" s="138"/>
    </row>
    <row r="376" spans="1:6" ht="16">
      <c r="A376" s="138" t="s">
        <v>383</v>
      </c>
      <c r="B376" s="232" t="s">
        <v>95</v>
      </c>
      <c r="C376" s="230">
        <f>8.64/0.56</f>
        <v>15.428571428571429</v>
      </c>
      <c r="D376" s="230">
        <f>D32</f>
        <v>5500</v>
      </c>
      <c r="E376" s="230">
        <f t="shared" ref="E376:E382" si="0">+C376*D376</f>
        <v>84857.142857142855</v>
      </c>
      <c r="F376" s="138"/>
    </row>
    <row r="377" spans="1:6" ht="16">
      <c r="A377" s="138" t="s">
        <v>271</v>
      </c>
      <c r="B377" s="232" t="s">
        <v>133</v>
      </c>
      <c r="C377" s="230">
        <v>1</v>
      </c>
      <c r="D377" s="230">
        <f>D142</f>
        <v>11662</v>
      </c>
      <c r="E377" s="230">
        <f t="shared" si="0"/>
        <v>11662</v>
      </c>
      <c r="F377" s="138"/>
    </row>
    <row r="378" spans="1:6" ht="16">
      <c r="A378" s="138" t="s">
        <v>272</v>
      </c>
      <c r="B378" s="232" t="s">
        <v>72</v>
      </c>
      <c r="C378" s="230">
        <v>3.7999999999999999E-2</v>
      </c>
      <c r="D378" s="230">
        <f>D143</f>
        <v>69500</v>
      </c>
      <c r="E378" s="230">
        <f t="shared" si="0"/>
        <v>2641</v>
      </c>
      <c r="F378" s="138"/>
    </row>
    <row r="379" spans="1:6" ht="16">
      <c r="A379" s="138" t="s">
        <v>274</v>
      </c>
      <c r="B379" s="232" t="s">
        <v>112</v>
      </c>
      <c r="C379" s="230">
        <v>0.04</v>
      </c>
      <c r="D379" s="230">
        <f>D145</f>
        <v>83000</v>
      </c>
      <c r="E379" s="230">
        <f t="shared" si="0"/>
        <v>3320</v>
      </c>
      <c r="F379" s="138"/>
    </row>
    <row r="380" spans="1:6" ht="16">
      <c r="A380" s="138" t="s">
        <v>384</v>
      </c>
      <c r="B380" s="232" t="s">
        <v>72</v>
      </c>
      <c r="C380" s="230">
        <v>0.08</v>
      </c>
      <c r="D380" s="230">
        <f>D146</f>
        <v>20125</v>
      </c>
      <c r="E380" s="230">
        <f t="shared" si="0"/>
        <v>1610</v>
      </c>
      <c r="F380" s="138"/>
    </row>
    <row r="381" spans="1:6" ht="16">
      <c r="A381" s="138" t="s">
        <v>84</v>
      </c>
      <c r="B381" s="232" t="s">
        <v>83</v>
      </c>
      <c r="C381" s="230">
        <f>SUM(E375:E380)</f>
        <v>188389.34285714285</v>
      </c>
      <c r="D381" s="230">
        <v>0.03</v>
      </c>
      <c r="E381" s="230">
        <f t="shared" si="0"/>
        <v>5651.6802857142857</v>
      </c>
      <c r="F381" s="138"/>
    </row>
    <row r="382" spans="1:6" ht="16">
      <c r="A382" s="138" t="s">
        <v>385</v>
      </c>
      <c r="B382" s="232" t="s">
        <v>83</v>
      </c>
      <c r="C382" s="230">
        <f>SUM(E375:E381)</f>
        <v>194041.02314285713</v>
      </c>
      <c r="D382" s="230">
        <v>0.4</v>
      </c>
      <c r="E382" s="230">
        <f t="shared" si="0"/>
        <v>77616.409257142848</v>
      </c>
      <c r="F382" s="138"/>
    </row>
    <row r="383" spans="1:6" ht="16">
      <c r="A383" s="138"/>
      <c r="B383" s="232"/>
      <c r="C383" s="230"/>
      <c r="D383" s="230"/>
      <c r="E383" s="230"/>
      <c r="F383" s="138"/>
    </row>
    <row r="384" spans="1:6" ht="34">
      <c r="A384" s="233" t="s">
        <v>386</v>
      </c>
      <c r="B384" s="205" t="s">
        <v>88</v>
      </c>
      <c r="C384" s="235"/>
      <c r="D384" s="235"/>
      <c r="E384" s="236">
        <f>SUM(E385:E392)</f>
        <v>196305.16500000001</v>
      </c>
      <c r="F384" s="138"/>
    </row>
    <row r="385" spans="1:7" ht="16">
      <c r="A385" s="138" t="s">
        <v>387</v>
      </c>
      <c r="B385" s="232" t="s">
        <v>9</v>
      </c>
      <c r="C385" s="230">
        <v>8.4</v>
      </c>
      <c r="D385" s="230">
        <v>9583</v>
      </c>
      <c r="E385" s="230">
        <f>+C385*D385</f>
        <v>80497.2</v>
      </c>
      <c r="F385" s="138"/>
    </row>
    <row r="386" spans="1:7" ht="16">
      <c r="A386" s="138" t="s">
        <v>388</v>
      </c>
      <c r="B386" s="232" t="s">
        <v>4</v>
      </c>
      <c r="C386" s="230">
        <f>0.6*0.6</f>
        <v>0.36</v>
      </c>
      <c r="D386" s="230">
        <f>255000/3</f>
        <v>85000</v>
      </c>
      <c r="E386" s="230">
        <f t="shared" ref="E386:E392" si="1">+C386*D386</f>
        <v>30600</v>
      </c>
      <c r="F386" s="138"/>
    </row>
    <row r="387" spans="1:7" ht="16">
      <c r="A387" s="138" t="s">
        <v>271</v>
      </c>
      <c r="B387" s="232" t="s">
        <v>133</v>
      </c>
      <c r="C387" s="230">
        <v>0.5</v>
      </c>
      <c r="D387" s="230">
        <f>D377</f>
        <v>11662</v>
      </c>
      <c r="E387" s="230">
        <f t="shared" si="1"/>
        <v>5831</v>
      </c>
      <c r="F387" s="138"/>
    </row>
    <row r="388" spans="1:7" ht="16">
      <c r="A388" s="138" t="s">
        <v>272</v>
      </c>
      <c r="B388" s="232" t="s">
        <v>72</v>
      </c>
      <c r="C388" s="230">
        <v>0.04</v>
      </c>
      <c r="D388" s="230">
        <f>D378</f>
        <v>69500</v>
      </c>
      <c r="E388" s="230">
        <f t="shared" si="1"/>
        <v>2780</v>
      </c>
      <c r="F388" s="138"/>
    </row>
    <row r="389" spans="1:7" ht="16">
      <c r="A389" s="138" t="s">
        <v>274</v>
      </c>
      <c r="B389" s="232" t="s">
        <v>112</v>
      </c>
      <c r="C389" s="230">
        <f>+C388</f>
        <v>0.04</v>
      </c>
      <c r="D389" s="230">
        <f>D379</f>
        <v>83000</v>
      </c>
      <c r="E389" s="230">
        <f t="shared" si="1"/>
        <v>3320</v>
      </c>
      <c r="F389" s="138"/>
    </row>
    <row r="390" spans="1:7" ht="16">
      <c r="A390" s="138" t="s">
        <v>384</v>
      </c>
      <c r="B390" s="232" t="s">
        <v>72</v>
      </c>
      <c r="C390" s="230">
        <f>+C389*2</f>
        <v>0.08</v>
      </c>
      <c r="D390" s="230">
        <f>D380</f>
        <v>20125</v>
      </c>
      <c r="E390" s="230">
        <f t="shared" si="1"/>
        <v>1610</v>
      </c>
      <c r="F390" s="138"/>
    </row>
    <row r="391" spans="1:7" ht="16">
      <c r="A391" s="138" t="s">
        <v>84</v>
      </c>
      <c r="B391" s="232" t="s">
        <v>83</v>
      </c>
      <c r="C391" s="230">
        <f>SUM(E385:E390)</f>
        <v>124638.2</v>
      </c>
      <c r="D391" s="230">
        <v>0.05</v>
      </c>
      <c r="E391" s="230">
        <f t="shared" si="1"/>
        <v>6231.91</v>
      </c>
      <c r="F391" s="138"/>
    </row>
    <row r="392" spans="1:7" ht="16">
      <c r="A392" s="138" t="s">
        <v>385</v>
      </c>
      <c r="B392" s="232" t="s">
        <v>83</v>
      </c>
      <c r="C392" s="230">
        <f>SUM(E385:E391)</f>
        <v>130870.11</v>
      </c>
      <c r="D392" s="230">
        <v>0.5</v>
      </c>
      <c r="E392" s="230">
        <f t="shared" si="1"/>
        <v>65435.055</v>
      </c>
      <c r="F392" s="138"/>
    </row>
    <row r="393" spans="1:7" ht="16">
      <c r="A393" s="138"/>
      <c r="B393" s="232"/>
      <c r="C393" s="230"/>
      <c r="D393" s="230"/>
      <c r="E393" s="230"/>
      <c r="F393" s="138"/>
    </row>
    <row r="394" spans="1:7" ht="16">
      <c r="A394" s="138"/>
      <c r="B394" s="232"/>
      <c r="C394" s="230"/>
      <c r="D394" s="230"/>
      <c r="E394" s="230"/>
      <c r="F394" s="138"/>
    </row>
    <row r="395" spans="1:7" ht="16">
      <c r="A395" s="237" t="s">
        <v>389</v>
      </c>
      <c r="B395" s="162" t="s">
        <v>390</v>
      </c>
      <c r="C395" s="238">
        <v>15000</v>
      </c>
      <c r="D395" s="230"/>
      <c r="E395" s="230"/>
      <c r="F395" s="138"/>
    </row>
    <row r="396" spans="1:7" ht="16">
      <c r="A396" s="237" t="s">
        <v>391</v>
      </c>
      <c r="B396" s="162" t="s">
        <v>10</v>
      </c>
      <c r="C396" s="238">
        <v>25000</v>
      </c>
      <c r="D396" s="230"/>
      <c r="E396" s="230"/>
      <c r="F396" s="138"/>
    </row>
    <row r="397" spans="1:7" ht="16">
      <c r="A397" s="237" t="s">
        <v>392</v>
      </c>
      <c r="B397" s="162" t="s">
        <v>90</v>
      </c>
      <c r="C397" s="238">
        <v>20000</v>
      </c>
      <c r="D397" s="230"/>
      <c r="E397" s="230"/>
      <c r="F397" s="138"/>
    </row>
    <row r="398" spans="1:7" ht="16">
      <c r="A398" s="237" t="s">
        <v>393</v>
      </c>
      <c r="B398" s="162" t="s">
        <v>9</v>
      </c>
      <c r="C398" s="239">
        <v>13258</v>
      </c>
      <c r="D398" s="230"/>
      <c r="E398" s="230"/>
      <c r="F398" s="138" t="s">
        <v>394</v>
      </c>
      <c r="G398">
        <v>9440.67</v>
      </c>
    </row>
    <row r="399" spans="1:7" ht="16">
      <c r="A399" s="237" t="s">
        <v>395</v>
      </c>
      <c r="B399" s="162" t="s">
        <v>9</v>
      </c>
      <c r="C399" s="239">
        <v>28328</v>
      </c>
      <c r="D399" s="230"/>
      <c r="E399" s="230"/>
      <c r="F399" s="138" t="s">
        <v>394</v>
      </c>
    </row>
    <row r="400" spans="1:7" ht="16">
      <c r="A400" s="237" t="s">
        <v>396</v>
      </c>
      <c r="B400" s="162" t="s">
        <v>9</v>
      </c>
      <c r="C400" s="239">
        <v>47055</v>
      </c>
      <c r="D400" s="230"/>
      <c r="E400" s="230"/>
      <c r="F400" s="138" t="s">
        <v>394</v>
      </c>
    </row>
    <row r="401" spans="1:6" ht="16">
      <c r="A401" s="237" t="s">
        <v>397</v>
      </c>
      <c r="B401" s="162" t="s">
        <v>9</v>
      </c>
      <c r="C401" s="239">
        <v>66091</v>
      </c>
      <c r="D401" s="230"/>
      <c r="E401" s="230"/>
      <c r="F401" s="138" t="s">
        <v>394</v>
      </c>
    </row>
    <row r="402" spans="1:6" ht="16">
      <c r="A402" s="237" t="s">
        <v>398</v>
      </c>
      <c r="B402" s="162" t="s">
        <v>9</v>
      </c>
      <c r="C402" s="239">
        <v>112436</v>
      </c>
      <c r="D402" s="230"/>
      <c r="E402" s="230"/>
      <c r="F402" s="138" t="s">
        <v>394</v>
      </c>
    </row>
    <row r="403" spans="1:6" ht="16">
      <c r="A403" s="237" t="s">
        <v>399</v>
      </c>
      <c r="B403" s="162" t="s">
        <v>10</v>
      </c>
      <c r="C403" s="239">
        <v>11983</v>
      </c>
      <c r="D403" s="230"/>
      <c r="E403" s="230"/>
      <c r="F403" s="138" t="s">
        <v>394</v>
      </c>
    </row>
    <row r="404" spans="1:6" ht="16">
      <c r="A404" s="237" t="s">
        <v>400</v>
      </c>
      <c r="B404" s="162" t="s">
        <v>10</v>
      </c>
      <c r="C404" s="240">
        <v>72087</v>
      </c>
      <c r="D404" s="230"/>
      <c r="E404" s="230"/>
      <c r="F404" s="138" t="s">
        <v>394</v>
      </c>
    </row>
    <row r="405" spans="1:6" ht="16">
      <c r="A405" s="237" t="s">
        <v>401</v>
      </c>
      <c r="B405" s="162" t="s">
        <v>10</v>
      </c>
      <c r="C405" s="240">
        <v>79512</v>
      </c>
      <c r="D405" s="230"/>
      <c r="E405" s="230"/>
      <c r="F405" s="138"/>
    </row>
    <row r="406" spans="1:6" ht="16">
      <c r="A406" s="237" t="s">
        <v>402</v>
      </c>
      <c r="B406" s="162" t="s">
        <v>10</v>
      </c>
      <c r="C406" s="240">
        <v>106576</v>
      </c>
      <c r="D406" s="230"/>
      <c r="E406" s="230"/>
      <c r="F406" s="138" t="s">
        <v>394</v>
      </c>
    </row>
    <row r="407" spans="1:6" ht="16">
      <c r="A407" s="237" t="s">
        <v>403</v>
      </c>
      <c r="B407" s="162" t="s">
        <v>10</v>
      </c>
      <c r="C407" s="239">
        <v>454446</v>
      </c>
      <c r="D407" s="230"/>
      <c r="E407" s="230"/>
      <c r="F407" s="138" t="s">
        <v>394</v>
      </c>
    </row>
    <row r="408" spans="1:6" ht="16">
      <c r="A408" s="237" t="s">
        <v>404</v>
      </c>
      <c r="B408" s="162" t="s">
        <v>10</v>
      </c>
      <c r="C408" s="239">
        <v>338167</v>
      </c>
      <c r="D408" s="230"/>
      <c r="E408" s="230"/>
      <c r="F408" s="138" t="s">
        <v>394</v>
      </c>
    </row>
    <row r="409" spans="1:6" ht="16">
      <c r="A409" s="237" t="s">
        <v>405</v>
      </c>
      <c r="B409" s="162" t="s">
        <v>10</v>
      </c>
      <c r="C409" s="239">
        <v>190404</v>
      </c>
      <c r="D409" s="230"/>
      <c r="E409" s="230"/>
      <c r="F409" s="138" t="s">
        <v>394</v>
      </c>
    </row>
    <row r="410" spans="1:6" ht="16">
      <c r="A410" s="237" t="s">
        <v>406</v>
      </c>
      <c r="B410" s="162" t="s">
        <v>10</v>
      </c>
      <c r="C410" s="239">
        <v>92062</v>
      </c>
      <c r="D410" s="230"/>
      <c r="E410" s="230"/>
      <c r="F410" s="138"/>
    </row>
    <row r="411" spans="1:6" ht="16">
      <c r="A411" s="237" t="s">
        <v>407</v>
      </c>
      <c r="B411" s="162" t="s">
        <v>10</v>
      </c>
      <c r="C411" s="239">
        <v>160389</v>
      </c>
      <c r="D411" s="230"/>
      <c r="E411" s="230"/>
      <c r="F411" s="138"/>
    </row>
    <row r="412" spans="1:6" ht="16">
      <c r="A412" s="237" t="s">
        <v>408</v>
      </c>
      <c r="B412" s="162" t="s">
        <v>10</v>
      </c>
      <c r="C412" s="239">
        <v>21421</v>
      </c>
      <c r="D412" s="230"/>
      <c r="E412" s="230"/>
      <c r="F412" s="138" t="s">
        <v>394</v>
      </c>
    </row>
    <row r="413" spans="1:6" ht="16">
      <c r="A413" s="237" t="s">
        <v>409</v>
      </c>
      <c r="B413" s="162" t="s">
        <v>10</v>
      </c>
      <c r="C413" s="239">
        <v>36677</v>
      </c>
      <c r="D413" s="230"/>
      <c r="E413" s="230"/>
      <c r="F413" s="138" t="s">
        <v>394</v>
      </c>
    </row>
    <row r="414" spans="1:6" ht="16">
      <c r="A414" s="237" t="s">
        <v>410</v>
      </c>
      <c r="B414" s="162" t="s">
        <v>10</v>
      </c>
      <c r="C414" s="239">
        <v>59646</v>
      </c>
      <c r="D414" s="230"/>
      <c r="E414" s="230"/>
      <c r="F414" s="138" t="s">
        <v>394</v>
      </c>
    </row>
    <row r="415" spans="1:6" ht="16">
      <c r="A415" s="237" t="s">
        <v>411</v>
      </c>
      <c r="B415" s="162" t="s">
        <v>10</v>
      </c>
      <c r="C415" s="239">
        <v>982</v>
      </c>
      <c r="D415" s="230"/>
      <c r="E415" s="230"/>
      <c r="F415" s="138" t="s">
        <v>394</v>
      </c>
    </row>
    <row r="416" spans="1:6" ht="16">
      <c r="A416" s="237" t="s">
        <v>412</v>
      </c>
      <c r="B416" s="162" t="s">
        <v>10</v>
      </c>
      <c r="C416" s="239">
        <v>4023.39</v>
      </c>
      <c r="D416" s="230"/>
      <c r="E416" s="230"/>
      <c r="F416" s="138" t="s">
        <v>394</v>
      </c>
    </row>
    <row r="417" spans="1:7" ht="16">
      <c r="A417" s="237" t="s">
        <v>413</v>
      </c>
      <c r="B417" s="162" t="s">
        <v>10</v>
      </c>
      <c r="C417" s="239">
        <v>19719</v>
      </c>
      <c r="D417" s="230"/>
      <c r="E417" s="230"/>
      <c r="F417" s="138" t="s">
        <v>394</v>
      </c>
    </row>
    <row r="418" spans="1:7" ht="16">
      <c r="A418" s="237" t="s">
        <v>414</v>
      </c>
      <c r="B418" s="162" t="s">
        <v>10</v>
      </c>
      <c r="C418" s="239">
        <v>600</v>
      </c>
      <c r="D418" s="230"/>
      <c r="E418" s="230"/>
      <c r="F418" s="138" t="s">
        <v>394</v>
      </c>
    </row>
    <row r="419" spans="1:7" ht="16">
      <c r="A419" s="237" t="s">
        <v>415</v>
      </c>
      <c r="B419" s="162" t="s">
        <v>10</v>
      </c>
      <c r="C419" s="239">
        <v>381</v>
      </c>
      <c r="D419" s="230"/>
      <c r="E419" s="230"/>
      <c r="F419" s="138" t="s">
        <v>394</v>
      </c>
    </row>
    <row r="420" spans="1:7" ht="16">
      <c r="A420" s="237" t="s">
        <v>416</v>
      </c>
      <c r="B420" s="162" t="s">
        <v>10</v>
      </c>
      <c r="C420" s="239">
        <v>17660</v>
      </c>
      <c r="D420" s="166"/>
      <c r="E420" s="166"/>
      <c r="F420" s="138" t="s">
        <v>394</v>
      </c>
      <c r="G420">
        <v>40000</v>
      </c>
    </row>
    <row r="421" spans="1:7" ht="16">
      <c r="A421" s="237" t="s">
        <v>417</v>
      </c>
      <c r="B421" s="162" t="s">
        <v>9</v>
      </c>
      <c r="C421" s="239">
        <v>7367</v>
      </c>
      <c r="D421" s="230"/>
      <c r="E421" s="230"/>
      <c r="F421" s="138" t="s">
        <v>394</v>
      </c>
    </row>
    <row r="422" spans="1:7" ht="16">
      <c r="A422" s="237" t="s">
        <v>418</v>
      </c>
      <c r="B422" s="162" t="s">
        <v>9</v>
      </c>
      <c r="C422" s="239">
        <v>2560</v>
      </c>
      <c r="D422" s="230"/>
      <c r="E422" s="230"/>
      <c r="F422" s="138" t="s">
        <v>394</v>
      </c>
    </row>
    <row r="423" spans="1:7" ht="16">
      <c r="A423" s="237" t="s">
        <v>419</v>
      </c>
      <c r="B423" s="162" t="s">
        <v>9</v>
      </c>
      <c r="C423" s="239">
        <v>4451</v>
      </c>
      <c r="D423" s="230"/>
      <c r="E423" s="230"/>
      <c r="F423" s="138" t="s">
        <v>394</v>
      </c>
    </row>
    <row r="424" spans="1:7" ht="16">
      <c r="A424" s="237" t="s">
        <v>420</v>
      </c>
      <c r="B424" s="162" t="s">
        <v>9</v>
      </c>
      <c r="C424" s="239">
        <v>13258</v>
      </c>
      <c r="D424" s="230"/>
      <c r="E424" s="230"/>
      <c r="F424" s="138" t="s">
        <v>394</v>
      </c>
    </row>
    <row r="425" spans="1:7" ht="16">
      <c r="A425" s="237" t="s">
        <v>421</v>
      </c>
      <c r="B425" s="162" t="s">
        <v>9</v>
      </c>
      <c r="C425" s="239">
        <v>28328</v>
      </c>
      <c r="D425" s="230"/>
      <c r="E425" s="230"/>
      <c r="F425" s="138" t="s">
        <v>394</v>
      </c>
    </row>
    <row r="426" spans="1:7" ht="16">
      <c r="A426" s="237" t="s">
        <v>422</v>
      </c>
      <c r="B426" s="162" t="s">
        <v>10</v>
      </c>
      <c r="C426" s="238">
        <v>8900</v>
      </c>
      <c r="D426" s="230"/>
      <c r="E426" s="230"/>
      <c r="F426" s="138" t="s">
        <v>394</v>
      </c>
      <c r="G426" s="232">
        <v>8900</v>
      </c>
    </row>
    <row r="427" spans="1:7" ht="16">
      <c r="A427" s="237" t="s">
        <v>423</v>
      </c>
      <c r="B427" s="162" t="s">
        <v>10</v>
      </c>
      <c r="C427" s="238">
        <v>82000</v>
      </c>
      <c r="D427" s="230"/>
      <c r="E427" s="230"/>
      <c r="F427" s="138" t="s">
        <v>394</v>
      </c>
      <c r="G427" s="232">
        <v>82000</v>
      </c>
    </row>
    <row r="428" spans="1:7" ht="16">
      <c r="A428" s="237" t="s">
        <v>424</v>
      </c>
      <c r="B428" s="162" t="s">
        <v>10</v>
      </c>
      <c r="C428" s="238">
        <v>58000</v>
      </c>
      <c r="D428" s="230"/>
      <c r="E428" s="230"/>
      <c r="F428" s="138" t="s">
        <v>394</v>
      </c>
      <c r="G428" s="232">
        <v>58000</v>
      </c>
    </row>
    <row r="429" spans="1:7" ht="16">
      <c r="A429" s="237" t="s">
        <v>425</v>
      </c>
      <c r="B429" s="162" t="s">
        <v>10</v>
      </c>
      <c r="C429" s="238">
        <v>25000</v>
      </c>
      <c r="D429" s="230"/>
      <c r="E429" s="230"/>
      <c r="F429" s="138" t="s">
        <v>394</v>
      </c>
      <c r="G429" s="232">
        <v>25000</v>
      </c>
    </row>
    <row r="430" spans="1:7" ht="16">
      <c r="A430" s="237" t="s">
        <v>426</v>
      </c>
      <c r="B430" s="162" t="s">
        <v>10</v>
      </c>
      <c r="C430" s="238">
        <v>2923</v>
      </c>
      <c r="D430" s="230"/>
      <c r="E430" s="230"/>
      <c r="F430" s="138" t="s">
        <v>394</v>
      </c>
      <c r="G430" s="232">
        <v>2923</v>
      </c>
    </row>
    <row r="431" spans="1:7" ht="16">
      <c r="A431" s="237" t="s">
        <v>427</v>
      </c>
      <c r="B431" s="162" t="s">
        <v>10</v>
      </c>
      <c r="C431" s="238">
        <v>8900</v>
      </c>
      <c r="D431" s="230"/>
      <c r="E431" s="230"/>
      <c r="F431" s="138" t="s">
        <v>394</v>
      </c>
      <c r="G431" s="232">
        <v>8900</v>
      </c>
    </row>
    <row r="432" spans="1:7" ht="16">
      <c r="A432" s="237" t="s">
        <v>428</v>
      </c>
      <c r="B432" s="162" t="s">
        <v>10</v>
      </c>
      <c r="C432" s="238">
        <v>31900</v>
      </c>
      <c r="D432" s="230"/>
      <c r="E432" s="230"/>
      <c r="F432" s="138" t="s">
        <v>394</v>
      </c>
      <c r="G432" s="232">
        <v>31900</v>
      </c>
    </row>
    <row r="433" spans="1:11" ht="16">
      <c r="A433" s="237" t="s">
        <v>429</v>
      </c>
      <c r="B433" s="162" t="s">
        <v>10</v>
      </c>
      <c r="C433" s="238">
        <v>35300</v>
      </c>
      <c r="D433" s="230" t="s">
        <v>430</v>
      </c>
      <c r="E433" s="230"/>
      <c r="F433" s="138" t="s">
        <v>394</v>
      </c>
    </row>
    <row r="434" spans="1:11" ht="16">
      <c r="A434" s="237" t="s">
        <v>431</v>
      </c>
      <c r="B434" s="162" t="s">
        <v>9</v>
      </c>
      <c r="C434" s="239">
        <v>75882.33</v>
      </c>
      <c r="D434" s="230"/>
      <c r="E434" s="230"/>
      <c r="F434" s="138" t="s">
        <v>394</v>
      </c>
    </row>
    <row r="435" spans="1:11" ht="16">
      <c r="A435" s="237" t="s">
        <v>432</v>
      </c>
      <c r="B435" s="162" t="s">
        <v>9</v>
      </c>
      <c r="C435" s="239">
        <v>36328.32</v>
      </c>
      <c r="D435" s="230"/>
      <c r="E435" s="230"/>
      <c r="F435" s="138" t="s">
        <v>394</v>
      </c>
    </row>
    <row r="436" spans="1:11" ht="16">
      <c r="A436" s="237" t="s">
        <v>433</v>
      </c>
      <c r="B436" s="162" t="s">
        <v>9</v>
      </c>
      <c r="C436" s="239">
        <v>24079.65</v>
      </c>
      <c r="D436" s="230"/>
      <c r="E436" s="230"/>
      <c r="F436" s="138" t="s">
        <v>394</v>
      </c>
    </row>
    <row r="437" spans="1:11" ht="16">
      <c r="A437" s="237" t="s">
        <v>434</v>
      </c>
      <c r="B437" s="162" t="s">
        <v>9</v>
      </c>
      <c r="C437" s="239">
        <v>11942.84</v>
      </c>
      <c r="D437" s="230"/>
      <c r="E437" s="230"/>
      <c r="F437" s="138" t="s">
        <v>394</v>
      </c>
    </row>
    <row r="438" spans="1:11" ht="16">
      <c r="A438" s="241" t="s">
        <v>435</v>
      </c>
      <c r="B438" s="88" t="s">
        <v>10</v>
      </c>
      <c r="C438" s="239">
        <v>600</v>
      </c>
      <c r="D438" s="230" t="s">
        <v>430</v>
      </c>
      <c r="E438" s="230"/>
      <c r="F438" s="138" t="s">
        <v>134</v>
      </c>
    </row>
    <row r="439" spans="1:11" ht="16">
      <c r="A439" s="237" t="s">
        <v>436</v>
      </c>
      <c r="B439" s="162" t="s">
        <v>437</v>
      </c>
      <c r="C439" s="239">
        <v>519900</v>
      </c>
      <c r="D439" s="230"/>
      <c r="E439" s="230"/>
      <c r="F439" s="138" t="s">
        <v>134</v>
      </c>
      <c r="G439" s="242" t="s">
        <v>438</v>
      </c>
      <c r="H439" s="242"/>
      <c r="I439" s="242"/>
      <c r="J439" s="242"/>
      <c r="K439" s="242"/>
    </row>
    <row r="440" spans="1:11" ht="16">
      <c r="A440" s="237" t="s">
        <v>439</v>
      </c>
      <c r="B440" s="162" t="s">
        <v>9</v>
      </c>
      <c r="C440" s="239">
        <v>1500</v>
      </c>
      <c r="D440" s="230" t="s">
        <v>430</v>
      </c>
      <c r="E440" s="230"/>
      <c r="F440" s="138"/>
      <c r="G440" s="242"/>
      <c r="H440" s="242"/>
      <c r="I440" s="242"/>
      <c r="J440" s="242"/>
      <c r="K440" s="242"/>
    </row>
    <row r="441" spans="1:11" ht="16">
      <c r="A441" s="237" t="s">
        <v>440</v>
      </c>
      <c r="B441" s="162" t="s">
        <v>10</v>
      </c>
      <c r="C441" s="239">
        <v>160389</v>
      </c>
      <c r="D441" s="230"/>
      <c r="E441" s="230"/>
      <c r="F441" s="138" t="s">
        <v>394</v>
      </c>
      <c r="G441" s="242" t="s">
        <v>441</v>
      </c>
      <c r="H441" s="242"/>
      <c r="I441" s="242"/>
      <c r="J441" s="242" t="s">
        <v>442</v>
      </c>
      <c r="K441" s="242"/>
    </row>
    <row r="442" spans="1:11" ht="16">
      <c r="A442" s="237" t="s">
        <v>443</v>
      </c>
      <c r="B442" s="162" t="s">
        <v>10</v>
      </c>
      <c r="C442" s="239">
        <v>196593</v>
      </c>
      <c r="D442" s="230"/>
      <c r="E442" s="230"/>
      <c r="F442" s="138" t="s">
        <v>394</v>
      </c>
      <c r="G442" s="242" t="s">
        <v>444</v>
      </c>
      <c r="H442" s="242"/>
      <c r="I442" s="242"/>
      <c r="J442" s="242"/>
      <c r="K442" s="242"/>
    </row>
    <row r="443" spans="1:11" ht="16">
      <c r="A443" s="237" t="s">
        <v>445</v>
      </c>
      <c r="B443" s="162" t="s">
        <v>10</v>
      </c>
      <c r="C443" s="239">
        <v>9000</v>
      </c>
      <c r="D443" s="230"/>
      <c r="E443" s="230"/>
      <c r="F443" s="138" t="s">
        <v>153</v>
      </c>
      <c r="G443" s="242" t="s">
        <v>446</v>
      </c>
      <c r="H443" s="242"/>
      <c r="I443" s="242"/>
      <c r="J443" s="242"/>
      <c r="K443" s="242"/>
    </row>
    <row r="444" spans="1:11" ht="16">
      <c r="A444" s="237" t="s">
        <v>447</v>
      </c>
      <c r="B444" s="162" t="s">
        <v>10</v>
      </c>
      <c r="C444" s="239">
        <v>90000</v>
      </c>
      <c r="D444" s="230"/>
      <c r="E444" s="230"/>
      <c r="F444" s="138" t="str">
        <f>F439</f>
        <v>FERROCALES Y CARBUROS</v>
      </c>
      <c r="G444" s="242">
        <v>90000</v>
      </c>
      <c r="H444" s="242"/>
      <c r="I444" s="242"/>
      <c r="J444" s="242"/>
      <c r="K444" s="242"/>
    </row>
    <row r="445" spans="1:11" ht="16">
      <c r="A445" s="237" t="s">
        <v>448</v>
      </c>
      <c r="B445" s="162" t="s">
        <v>90</v>
      </c>
      <c r="C445" s="239">
        <v>70000</v>
      </c>
      <c r="D445" s="230" t="s">
        <v>430</v>
      </c>
      <c r="E445" s="230"/>
      <c r="F445" s="138" t="s">
        <v>297</v>
      </c>
      <c r="G445" s="242"/>
      <c r="H445" s="242"/>
      <c r="I445" s="242"/>
      <c r="J445" s="242"/>
      <c r="K445" s="242"/>
    </row>
    <row r="446" spans="1:11" ht="16">
      <c r="A446" s="237" t="s">
        <v>449</v>
      </c>
      <c r="B446" s="90" t="s">
        <v>9</v>
      </c>
      <c r="C446" s="239">
        <v>14500</v>
      </c>
      <c r="D446" s="230"/>
      <c r="E446" s="230"/>
      <c r="F446" s="138" t="s">
        <v>134</v>
      </c>
      <c r="G446" s="242">
        <v>14500</v>
      </c>
      <c r="H446" s="242"/>
      <c r="I446" s="242"/>
      <c r="J446" s="242"/>
      <c r="K446" s="242"/>
    </row>
    <row r="447" spans="1:11" ht="16">
      <c r="A447" s="237" t="s">
        <v>450</v>
      </c>
      <c r="B447" s="162" t="s">
        <v>10</v>
      </c>
      <c r="C447" s="239">
        <v>3900</v>
      </c>
      <c r="D447" s="230" t="s">
        <v>430</v>
      </c>
      <c r="E447" s="230"/>
      <c r="F447" s="138" t="s">
        <v>134</v>
      </c>
      <c r="G447" s="242"/>
      <c r="H447" s="242"/>
      <c r="I447" s="242"/>
      <c r="J447" s="242"/>
      <c r="K447" s="242"/>
    </row>
    <row r="448" spans="1:11" ht="16">
      <c r="A448" s="237" t="s">
        <v>451</v>
      </c>
      <c r="B448" s="162" t="s">
        <v>10</v>
      </c>
      <c r="C448" s="239">
        <v>103900</v>
      </c>
      <c r="D448" s="230"/>
      <c r="E448" s="230"/>
      <c r="F448" s="138" t="s">
        <v>134</v>
      </c>
      <c r="G448" s="242" t="s">
        <v>452</v>
      </c>
      <c r="H448" s="242"/>
      <c r="I448" s="242"/>
      <c r="J448" s="242"/>
      <c r="K448" s="242"/>
    </row>
    <row r="449" spans="1:11" ht="16">
      <c r="A449" s="237" t="s">
        <v>453</v>
      </c>
      <c r="B449" s="162" t="s">
        <v>10</v>
      </c>
      <c r="C449" s="239">
        <v>1800</v>
      </c>
      <c r="D449" s="230" t="s">
        <v>430</v>
      </c>
      <c r="E449" s="230"/>
      <c r="F449" s="138" t="s">
        <v>134</v>
      </c>
      <c r="G449" s="242"/>
      <c r="H449" s="242"/>
      <c r="I449" s="242"/>
      <c r="J449" s="242"/>
      <c r="K449" s="242"/>
    </row>
    <row r="450" spans="1:11" ht="16">
      <c r="A450" s="237" t="s">
        <v>454</v>
      </c>
      <c r="B450" s="162" t="s">
        <v>455</v>
      </c>
      <c r="C450" s="239">
        <v>76900</v>
      </c>
      <c r="D450" s="230"/>
      <c r="E450" s="230"/>
      <c r="F450" s="138" t="s">
        <v>134</v>
      </c>
      <c r="G450" s="242" t="s">
        <v>456</v>
      </c>
      <c r="H450" s="242"/>
      <c r="I450" s="242" t="s">
        <v>457</v>
      </c>
      <c r="J450" s="242"/>
      <c r="K450" s="242" t="s">
        <v>458</v>
      </c>
    </row>
    <row r="451" spans="1:11" ht="16">
      <c r="A451" s="237" t="s">
        <v>459</v>
      </c>
      <c r="B451" s="90"/>
      <c r="C451" s="239">
        <f>152000</f>
        <v>152000</v>
      </c>
      <c r="D451" s="230" t="s">
        <v>430</v>
      </c>
      <c r="E451" s="230" t="s">
        <v>460</v>
      </c>
      <c r="F451" s="138" t="s">
        <v>134</v>
      </c>
      <c r="G451" s="242"/>
      <c r="H451" s="242"/>
      <c r="I451" s="242"/>
      <c r="J451" s="242"/>
      <c r="K451" s="242"/>
    </row>
    <row r="452" spans="1:11" ht="16">
      <c r="A452" s="237" t="s">
        <v>461</v>
      </c>
      <c r="B452" s="90"/>
      <c r="C452" s="239">
        <v>46900</v>
      </c>
      <c r="D452" s="230"/>
      <c r="E452" s="230"/>
      <c r="F452" s="138" t="s">
        <v>134</v>
      </c>
      <c r="G452" s="242" t="s">
        <v>462</v>
      </c>
      <c r="H452" s="242" t="s">
        <v>458</v>
      </c>
      <c r="I452" s="242"/>
      <c r="J452" s="242"/>
      <c r="K452" s="242"/>
    </row>
    <row r="453" spans="1:11" ht="34">
      <c r="A453" s="243" t="s">
        <v>463</v>
      </c>
      <c r="B453" s="244" t="s">
        <v>10</v>
      </c>
      <c r="C453" s="239">
        <f>103000</f>
        <v>103000</v>
      </c>
      <c r="D453" s="230" t="s">
        <v>430</v>
      </c>
      <c r="E453" s="230"/>
      <c r="F453" s="138" t="s">
        <v>134</v>
      </c>
    </row>
    <row r="454" spans="1:11" ht="16">
      <c r="A454" s="237" t="s">
        <v>464</v>
      </c>
      <c r="B454" s="162" t="s">
        <v>9</v>
      </c>
      <c r="C454" s="239">
        <v>16865.87</v>
      </c>
      <c r="D454" s="230"/>
      <c r="E454" s="230"/>
      <c r="F454" s="138" t="s">
        <v>394</v>
      </c>
    </row>
    <row r="455" spans="1:11" ht="27.75" customHeight="1">
      <c r="A455" s="246" t="s">
        <v>465</v>
      </c>
      <c r="B455" s="162"/>
      <c r="C455" s="247"/>
      <c r="D455" s="230"/>
      <c r="E455" s="230"/>
      <c r="F455" s="138"/>
    </row>
    <row r="456" spans="1:11" ht="16">
      <c r="A456" s="248" t="s">
        <v>53</v>
      </c>
      <c r="B456" s="162" t="s">
        <v>10</v>
      </c>
      <c r="C456" s="239">
        <v>67300</v>
      </c>
      <c r="D456" s="230"/>
      <c r="E456" s="230"/>
      <c r="F456" s="138" t="s">
        <v>466</v>
      </c>
    </row>
    <row r="457" spans="1:11" ht="17">
      <c r="A457" s="249" t="s">
        <v>55</v>
      </c>
      <c r="B457" s="250" t="s">
        <v>9</v>
      </c>
      <c r="C457" s="239">
        <v>12404</v>
      </c>
      <c r="D457" s="230"/>
      <c r="E457" s="230"/>
      <c r="F457" s="138" t="s">
        <v>466</v>
      </c>
    </row>
    <row r="458" spans="1:11" ht="16">
      <c r="A458" s="248" t="s">
        <v>59</v>
      </c>
      <c r="B458" s="251" t="s">
        <v>10</v>
      </c>
      <c r="C458" s="239">
        <v>7080</v>
      </c>
      <c r="D458" s="230"/>
      <c r="E458" s="230"/>
      <c r="F458" s="138" t="s">
        <v>466</v>
      </c>
      <c r="G458">
        <v>2050</v>
      </c>
    </row>
    <row r="459" spans="1:11" ht="17">
      <c r="A459" s="249" t="s">
        <v>58</v>
      </c>
      <c r="B459" s="250" t="s">
        <v>9</v>
      </c>
      <c r="C459" s="239">
        <v>8175</v>
      </c>
      <c r="D459" s="230"/>
      <c r="E459" s="230"/>
      <c r="F459" s="138" t="s">
        <v>466</v>
      </c>
    </row>
    <row r="460" spans="1:11" ht="16">
      <c r="A460" s="248" t="s">
        <v>60</v>
      </c>
      <c r="B460" s="251" t="s">
        <v>10</v>
      </c>
      <c r="C460" s="239">
        <v>9600</v>
      </c>
      <c r="D460" s="230"/>
      <c r="E460" s="230"/>
      <c r="F460" s="138" t="s">
        <v>466</v>
      </c>
    </row>
    <row r="461" spans="1:11" ht="17">
      <c r="A461" s="252" t="s">
        <v>61</v>
      </c>
      <c r="B461" s="251" t="s">
        <v>10</v>
      </c>
      <c r="C461" s="239">
        <v>2850</v>
      </c>
      <c r="D461" s="230"/>
      <c r="E461" s="230"/>
      <c r="F461" s="138" t="s">
        <v>466</v>
      </c>
    </row>
    <row r="462" spans="1:11" ht="17">
      <c r="A462" s="252" t="s">
        <v>62</v>
      </c>
      <c r="B462" s="251" t="s">
        <v>10</v>
      </c>
      <c r="C462" s="239">
        <v>3000</v>
      </c>
      <c r="D462" s="230"/>
      <c r="E462" s="230"/>
      <c r="F462" s="138" t="s">
        <v>466</v>
      </c>
    </row>
    <row r="463" spans="1:11" ht="17">
      <c r="A463" s="252" t="s">
        <v>63</v>
      </c>
      <c r="B463" s="251" t="s">
        <v>10</v>
      </c>
      <c r="C463" s="239">
        <v>3600</v>
      </c>
      <c r="D463" s="230"/>
      <c r="E463" s="230"/>
      <c r="F463" s="138" t="s">
        <v>466</v>
      </c>
    </row>
    <row r="464" spans="1:11" ht="17">
      <c r="A464" s="249" t="s">
        <v>64</v>
      </c>
      <c r="B464" s="250" t="s">
        <v>9</v>
      </c>
      <c r="C464" s="239">
        <v>26700</v>
      </c>
      <c r="D464" s="230"/>
      <c r="E464" s="230"/>
      <c r="F464" s="138" t="s">
        <v>466</v>
      </c>
    </row>
    <row r="465" spans="1:8" ht="17">
      <c r="A465" s="249" t="s">
        <v>65</v>
      </c>
      <c r="B465" s="250" t="s">
        <v>9</v>
      </c>
      <c r="C465" s="239">
        <v>29800</v>
      </c>
      <c r="D465" s="230"/>
      <c r="E465" s="230"/>
      <c r="F465" s="138" t="s">
        <v>466</v>
      </c>
    </row>
    <row r="466" spans="1:8" ht="16">
      <c r="A466" s="248" t="s">
        <v>66</v>
      </c>
      <c r="B466" s="251" t="s">
        <v>10</v>
      </c>
      <c r="C466" s="239">
        <v>12600</v>
      </c>
      <c r="D466" s="230"/>
      <c r="E466" s="230"/>
      <c r="F466" s="138" t="s">
        <v>466</v>
      </c>
    </row>
    <row r="467" spans="1:8" ht="17">
      <c r="A467" s="252" t="s">
        <v>67</v>
      </c>
      <c r="B467" s="251" t="s">
        <v>10</v>
      </c>
      <c r="C467" s="239">
        <v>4560</v>
      </c>
      <c r="D467" s="230"/>
      <c r="E467" s="230"/>
      <c r="F467" s="138" t="s">
        <v>466</v>
      </c>
    </row>
    <row r="468" spans="1:8" ht="17">
      <c r="A468" s="252" t="s">
        <v>68</v>
      </c>
      <c r="B468" s="251" t="s">
        <v>10</v>
      </c>
      <c r="C468" s="239">
        <v>4950</v>
      </c>
      <c r="D468" s="230"/>
      <c r="E468" s="230"/>
      <c r="F468" s="138" t="s">
        <v>466</v>
      </c>
    </row>
    <row r="469" spans="1:8" ht="17">
      <c r="A469" s="252" t="s">
        <v>69</v>
      </c>
      <c r="B469" s="251" t="s">
        <v>10</v>
      </c>
      <c r="C469" s="239">
        <v>8400</v>
      </c>
      <c r="D469" s="230"/>
      <c r="E469" s="230"/>
      <c r="F469" s="138" t="s">
        <v>466</v>
      </c>
    </row>
    <row r="470" spans="1:8" ht="34">
      <c r="A470" s="252" t="s">
        <v>70</v>
      </c>
      <c r="B470" s="250" t="s">
        <v>10</v>
      </c>
      <c r="C470" s="239">
        <v>56000</v>
      </c>
      <c r="D470" s="230"/>
      <c r="E470" s="230"/>
      <c r="F470" s="138" t="s">
        <v>466</v>
      </c>
      <c r="G470" s="242" t="s">
        <v>467</v>
      </c>
    </row>
    <row r="471" spans="1:8" ht="17">
      <c r="A471" s="252" t="s">
        <v>71</v>
      </c>
      <c r="B471" s="250" t="s">
        <v>85</v>
      </c>
      <c r="C471" s="239">
        <v>38000</v>
      </c>
      <c r="D471" s="230"/>
      <c r="E471" s="230"/>
      <c r="F471" s="138" t="s">
        <v>466</v>
      </c>
      <c r="G471" s="242" t="s">
        <v>468</v>
      </c>
      <c r="H471" s="242" t="s">
        <v>469</v>
      </c>
    </row>
    <row r="472" spans="1:8" ht="17">
      <c r="A472" s="249" t="s">
        <v>73</v>
      </c>
      <c r="B472" s="250" t="s">
        <v>9</v>
      </c>
      <c r="C472" s="239">
        <v>34500</v>
      </c>
      <c r="D472" s="230"/>
      <c r="E472" s="230"/>
      <c r="F472" s="138" t="s">
        <v>466</v>
      </c>
    </row>
    <row r="473" spans="1:8" ht="16">
      <c r="A473" s="248" t="s">
        <v>74</v>
      </c>
      <c r="B473" s="251" t="s">
        <v>10</v>
      </c>
      <c r="C473" s="239">
        <f>8200*1.19</f>
        <v>9758</v>
      </c>
      <c r="D473" s="230"/>
      <c r="E473" s="230"/>
      <c r="F473" s="138" t="s">
        <v>466</v>
      </c>
    </row>
    <row r="474" spans="1:8" ht="17">
      <c r="A474" s="252" t="s">
        <v>69</v>
      </c>
      <c r="B474" s="250" t="s">
        <v>10</v>
      </c>
      <c r="C474" s="239">
        <v>8400</v>
      </c>
      <c r="D474" s="230"/>
      <c r="E474" s="230"/>
      <c r="F474" s="138" t="s">
        <v>466</v>
      </c>
    </row>
    <row r="475" spans="1:8" ht="16">
      <c r="A475" s="253" t="s">
        <v>120</v>
      </c>
      <c r="B475" s="88" t="s">
        <v>90</v>
      </c>
      <c r="C475" s="239">
        <v>90000</v>
      </c>
      <c r="D475" s="230"/>
      <c r="E475" s="230"/>
      <c r="F475" s="138" t="s">
        <v>297</v>
      </c>
    </row>
    <row r="476" spans="1:8" ht="17" thickBot="1">
      <c r="A476" s="253" t="s">
        <v>470</v>
      </c>
      <c r="B476" s="88" t="s">
        <v>10</v>
      </c>
      <c r="C476" s="239">
        <v>442680</v>
      </c>
      <c r="D476" s="230" t="s">
        <v>430</v>
      </c>
      <c r="E476" s="231">
        <v>446500</v>
      </c>
      <c r="F476" s="138" t="s">
        <v>471</v>
      </c>
    </row>
    <row r="477" spans="1:8" ht="18" thickTop="1">
      <c r="A477" s="254" t="s">
        <v>472</v>
      </c>
      <c r="B477" s="255" t="s">
        <v>10</v>
      </c>
      <c r="C477" s="239">
        <v>514080</v>
      </c>
      <c r="D477" s="230"/>
      <c r="E477" s="231">
        <v>518400</v>
      </c>
      <c r="F477" s="138" t="s">
        <v>471</v>
      </c>
    </row>
    <row r="478" spans="1:8" ht="17">
      <c r="A478" s="256" t="s">
        <v>473</v>
      </c>
      <c r="B478" s="255" t="s">
        <v>10</v>
      </c>
      <c r="C478" s="239">
        <v>681870</v>
      </c>
      <c r="D478" s="230"/>
      <c r="E478" s="231">
        <v>687600</v>
      </c>
      <c r="F478" s="138" t="s">
        <v>471</v>
      </c>
    </row>
    <row r="479" spans="1:8" ht="17">
      <c r="A479" s="257" t="s">
        <v>474</v>
      </c>
      <c r="B479" s="258" t="s">
        <v>10</v>
      </c>
      <c r="C479" s="239">
        <v>1317330</v>
      </c>
      <c r="D479" s="230"/>
      <c r="E479" s="231">
        <v>1328000</v>
      </c>
      <c r="F479" s="138" t="s">
        <v>471</v>
      </c>
    </row>
    <row r="480" spans="1:8" ht="17">
      <c r="A480" s="259" t="s">
        <v>116</v>
      </c>
      <c r="B480" s="258" t="s">
        <v>10</v>
      </c>
      <c r="C480" s="239">
        <v>1927800</v>
      </c>
      <c r="D480" s="230"/>
      <c r="E480" s="231">
        <v>1944000</v>
      </c>
      <c r="F480" s="138" t="s">
        <v>471</v>
      </c>
    </row>
    <row r="481" spans="1:8" ht="16">
      <c r="A481" s="260" t="s">
        <v>475</v>
      </c>
      <c r="B481" s="258" t="s">
        <v>10</v>
      </c>
      <c r="C481" s="239">
        <v>470050</v>
      </c>
      <c r="D481" s="230" t="s">
        <v>430</v>
      </c>
      <c r="E481" s="231">
        <v>474000</v>
      </c>
      <c r="F481" s="138" t="s">
        <v>471</v>
      </c>
    </row>
    <row r="482" spans="1:8" ht="16">
      <c r="A482" s="260" t="s">
        <v>476</v>
      </c>
      <c r="B482" s="258" t="s">
        <v>10</v>
      </c>
      <c r="C482" s="239">
        <v>759220</v>
      </c>
      <c r="D482" s="230"/>
      <c r="E482" s="231"/>
      <c r="F482" s="138"/>
    </row>
    <row r="483" spans="1:8" ht="16">
      <c r="A483" s="260" t="s">
        <v>477</v>
      </c>
      <c r="B483" s="258" t="s">
        <v>10</v>
      </c>
      <c r="C483" s="239">
        <v>534310</v>
      </c>
      <c r="D483" s="230"/>
      <c r="E483" s="231"/>
      <c r="F483" s="138"/>
    </row>
    <row r="484" spans="1:8" ht="16">
      <c r="A484" s="260" t="s">
        <v>478</v>
      </c>
      <c r="B484" s="258" t="s">
        <v>10</v>
      </c>
      <c r="C484" s="261">
        <v>242600</v>
      </c>
      <c r="D484" s="230" t="s">
        <v>430</v>
      </c>
      <c r="E484" s="231"/>
      <c r="F484" s="138" t="s">
        <v>471</v>
      </c>
    </row>
    <row r="485" spans="1:8" ht="16">
      <c r="A485" s="260" t="s">
        <v>479</v>
      </c>
      <c r="B485" s="258" t="s">
        <v>10</v>
      </c>
      <c r="C485" s="261">
        <v>759220</v>
      </c>
      <c r="D485" s="230"/>
      <c r="E485" s="231">
        <v>687000</v>
      </c>
      <c r="F485" s="138" t="s">
        <v>471</v>
      </c>
    </row>
    <row r="486" spans="1:8" ht="16">
      <c r="A486" s="260" t="s">
        <v>480</v>
      </c>
      <c r="B486" s="258" t="s">
        <v>10</v>
      </c>
      <c r="C486" s="261">
        <v>470050</v>
      </c>
      <c r="D486" s="230"/>
      <c r="E486" s="231"/>
      <c r="F486" s="138"/>
    </row>
    <row r="487" spans="1:8" ht="16">
      <c r="A487" s="260" t="s">
        <v>481</v>
      </c>
      <c r="B487" s="258" t="s">
        <v>10</v>
      </c>
      <c r="C487" s="239">
        <v>254000</v>
      </c>
      <c r="D487" s="230"/>
      <c r="E487" s="230"/>
      <c r="F487" s="138" t="s">
        <v>471</v>
      </c>
    </row>
    <row r="488" spans="1:8" ht="34">
      <c r="A488" s="262" t="s">
        <v>562</v>
      </c>
      <c r="B488" s="255" t="s">
        <v>10</v>
      </c>
      <c r="C488" s="261">
        <v>350000</v>
      </c>
      <c r="D488" s="230" t="s">
        <v>430</v>
      </c>
      <c r="E488" s="230"/>
      <c r="F488" s="138" t="s">
        <v>471</v>
      </c>
    </row>
    <row r="489" spans="1:8" ht="16">
      <c r="A489" s="260" t="s">
        <v>119</v>
      </c>
      <c r="B489" s="88" t="s">
        <v>78</v>
      </c>
      <c r="C489" s="239">
        <v>20000</v>
      </c>
      <c r="D489" s="230"/>
      <c r="E489" s="230"/>
      <c r="F489" s="138" t="s">
        <v>482</v>
      </c>
    </row>
    <row r="490" spans="1:8" ht="16">
      <c r="A490" s="260" t="s">
        <v>118</v>
      </c>
      <c r="B490" s="88" t="s">
        <v>10</v>
      </c>
      <c r="C490" s="239">
        <v>5900</v>
      </c>
      <c r="D490" s="230" t="s">
        <v>430</v>
      </c>
      <c r="E490" s="230"/>
      <c r="F490" s="138" t="s">
        <v>471</v>
      </c>
    </row>
    <row r="491" spans="1:8" ht="16">
      <c r="A491" s="260" t="s">
        <v>483</v>
      </c>
      <c r="B491" s="88" t="s">
        <v>10</v>
      </c>
      <c r="C491" s="239">
        <v>17400</v>
      </c>
      <c r="D491" s="230" t="s">
        <v>430</v>
      </c>
      <c r="E491" s="230"/>
      <c r="F491" s="138" t="s">
        <v>471</v>
      </c>
    </row>
    <row r="492" spans="1:8" ht="16">
      <c r="A492" s="263" t="s">
        <v>484</v>
      </c>
      <c r="B492" s="162" t="s">
        <v>10</v>
      </c>
      <c r="C492" s="239">
        <v>27900</v>
      </c>
      <c r="D492" s="230"/>
      <c r="E492" s="230"/>
      <c r="F492" s="138" t="s">
        <v>471</v>
      </c>
      <c r="G492" t="s">
        <v>485</v>
      </c>
      <c r="H492" t="s">
        <v>458</v>
      </c>
    </row>
    <row r="493" spans="1:8" ht="16">
      <c r="A493" s="263" t="s">
        <v>486</v>
      </c>
      <c r="B493" s="162" t="s">
        <v>10</v>
      </c>
      <c r="C493" s="261">
        <v>1150000</v>
      </c>
      <c r="D493" s="230" t="s">
        <v>430</v>
      </c>
      <c r="E493" s="230"/>
      <c r="F493" s="138"/>
    </row>
    <row r="494" spans="1:8" ht="16">
      <c r="A494" s="263" t="s">
        <v>114</v>
      </c>
      <c r="B494" s="162" t="s">
        <v>10</v>
      </c>
      <c r="C494" s="261">
        <v>1000000</v>
      </c>
      <c r="D494" s="230" t="s">
        <v>430</v>
      </c>
      <c r="E494" s="230"/>
      <c r="F494" s="138" t="s">
        <v>471</v>
      </c>
    </row>
    <row r="495" spans="1:8" ht="17">
      <c r="A495" s="264" t="s">
        <v>487</v>
      </c>
      <c r="B495" s="255" t="s">
        <v>10</v>
      </c>
      <c r="C495" s="261">
        <v>970000</v>
      </c>
      <c r="D495" s="230" t="s">
        <v>430</v>
      </c>
      <c r="E495" s="230"/>
      <c r="F495" s="138" t="s">
        <v>471</v>
      </c>
    </row>
    <row r="496" spans="1:8" ht="16">
      <c r="A496" s="138" t="s">
        <v>443</v>
      </c>
      <c r="B496" s="162" t="s">
        <v>10</v>
      </c>
      <c r="C496" s="239">
        <f>C442</f>
        <v>196593</v>
      </c>
      <c r="D496" s="230"/>
      <c r="E496" s="230"/>
      <c r="F496" s="138" t="s">
        <v>471</v>
      </c>
    </row>
    <row r="497" spans="1:7" ht="16">
      <c r="A497" s="263" t="s">
        <v>488</v>
      </c>
      <c r="B497" s="162" t="s">
        <v>10</v>
      </c>
      <c r="C497" s="261">
        <v>282600</v>
      </c>
      <c r="D497" s="230" t="s">
        <v>430</v>
      </c>
      <c r="E497" s="230"/>
      <c r="F497" s="138" t="s">
        <v>471</v>
      </c>
    </row>
    <row r="498" spans="1:7" ht="16">
      <c r="A498" s="263" t="s">
        <v>489</v>
      </c>
      <c r="B498" s="162" t="s">
        <v>10</v>
      </c>
      <c r="C498" s="261">
        <v>6800</v>
      </c>
      <c r="D498" s="230" t="s">
        <v>430</v>
      </c>
      <c r="E498" s="230"/>
      <c r="F498" s="138" t="s">
        <v>471</v>
      </c>
    </row>
    <row r="499" spans="1:7" ht="16">
      <c r="A499" s="263" t="s">
        <v>490</v>
      </c>
      <c r="B499" s="162" t="s">
        <v>10</v>
      </c>
      <c r="C499" s="261">
        <v>30000</v>
      </c>
      <c r="D499" s="230" t="s">
        <v>430</v>
      </c>
      <c r="E499" s="230"/>
      <c r="F499" s="138" t="s">
        <v>471</v>
      </c>
    </row>
    <row r="500" spans="1:7" ht="16">
      <c r="A500" s="263" t="s">
        <v>491</v>
      </c>
      <c r="B500" s="162" t="s">
        <v>10</v>
      </c>
      <c r="C500" s="239">
        <v>1016260</v>
      </c>
      <c r="D500" s="230"/>
      <c r="E500" s="230"/>
      <c r="F500" s="138" t="s">
        <v>471</v>
      </c>
    </row>
    <row r="501" spans="1:7" ht="16">
      <c r="A501" s="263" t="s">
        <v>492</v>
      </c>
      <c r="B501" s="162" t="s">
        <v>9</v>
      </c>
      <c r="C501" s="239">
        <v>39993</v>
      </c>
      <c r="D501" s="230"/>
      <c r="E501" s="230"/>
      <c r="F501" s="138" t="s">
        <v>471</v>
      </c>
      <c r="G501" t="s">
        <v>493</v>
      </c>
    </row>
    <row r="502" spans="1:7" ht="16">
      <c r="A502" s="263" t="s">
        <v>100</v>
      </c>
      <c r="B502" s="162" t="s">
        <v>10</v>
      </c>
      <c r="C502" s="265">
        <v>6900</v>
      </c>
      <c r="D502" s="230" t="s">
        <v>430</v>
      </c>
      <c r="E502" s="230"/>
      <c r="F502" s="138" t="s">
        <v>471</v>
      </c>
    </row>
    <row r="503" spans="1:7" ht="16">
      <c r="A503" s="263" t="s">
        <v>99</v>
      </c>
      <c r="B503" s="162" t="s">
        <v>10</v>
      </c>
      <c r="C503" s="265">
        <v>58700</v>
      </c>
      <c r="D503" s="230" t="s">
        <v>430</v>
      </c>
      <c r="E503" s="230">
        <v>30369</v>
      </c>
      <c r="F503" s="138" t="s">
        <v>471</v>
      </c>
    </row>
    <row r="504" spans="1:7" ht="16">
      <c r="A504" s="263" t="s">
        <v>98</v>
      </c>
      <c r="B504" s="162" t="s">
        <v>9</v>
      </c>
      <c r="C504" s="265">
        <v>384500</v>
      </c>
      <c r="D504" s="230" t="s">
        <v>430</v>
      </c>
      <c r="E504" s="230">
        <v>323014</v>
      </c>
      <c r="F504" s="138" t="s">
        <v>471</v>
      </c>
    </row>
    <row r="505" spans="1:7" ht="16">
      <c r="A505" s="263" t="s">
        <v>97</v>
      </c>
      <c r="B505" s="162" t="s">
        <v>9</v>
      </c>
      <c r="C505" s="265">
        <v>708000</v>
      </c>
      <c r="D505" s="230" t="s">
        <v>430</v>
      </c>
      <c r="E505" s="230"/>
      <c r="F505" s="138" t="s">
        <v>471</v>
      </c>
    </row>
    <row r="506" spans="1:7" ht="16">
      <c r="A506" s="263" t="s">
        <v>96</v>
      </c>
      <c r="B506" s="162" t="s">
        <v>10</v>
      </c>
      <c r="C506" s="266">
        <v>2505000</v>
      </c>
      <c r="D506" s="230" t="s">
        <v>430</v>
      </c>
      <c r="E506" s="230"/>
      <c r="F506" s="138" t="s">
        <v>471</v>
      </c>
    </row>
    <row r="507" spans="1:7" ht="17">
      <c r="A507" s="267" t="s">
        <v>92</v>
      </c>
      <c r="B507" s="268" t="s">
        <v>90</v>
      </c>
      <c r="C507" s="239">
        <v>120000</v>
      </c>
      <c r="D507" s="230" t="s">
        <v>430</v>
      </c>
      <c r="E507" s="230"/>
      <c r="F507" s="138" t="s">
        <v>471</v>
      </c>
    </row>
    <row r="508" spans="1:7" ht="16">
      <c r="A508" s="269" t="s">
        <v>91</v>
      </c>
      <c r="B508" s="270" t="s">
        <v>90</v>
      </c>
      <c r="C508" s="239">
        <v>100000</v>
      </c>
      <c r="D508" s="230" t="s">
        <v>430</v>
      </c>
      <c r="E508" s="230"/>
      <c r="F508" s="138" t="s">
        <v>471</v>
      </c>
    </row>
    <row r="509" spans="1:7" ht="16">
      <c r="A509" s="269" t="s">
        <v>87</v>
      </c>
      <c r="B509" s="270" t="s">
        <v>85</v>
      </c>
      <c r="C509" s="261">
        <v>72400</v>
      </c>
      <c r="D509" s="230" t="s">
        <v>430</v>
      </c>
      <c r="E509" s="230"/>
      <c r="F509" s="138" t="s">
        <v>471</v>
      </c>
    </row>
    <row r="510" spans="1:7" ht="16">
      <c r="A510" s="269" t="s">
        <v>86</v>
      </c>
      <c r="B510" s="270" t="s">
        <v>85</v>
      </c>
      <c r="C510" s="261">
        <v>33200</v>
      </c>
      <c r="D510" s="230" t="s">
        <v>430</v>
      </c>
      <c r="E510" s="230"/>
      <c r="F510" s="138" t="s">
        <v>471</v>
      </c>
    </row>
    <row r="511" spans="1:7" ht="33.75" customHeight="1">
      <c r="A511" s="271" t="s">
        <v>494</v>
      </c>
      <c r="B511" s="272" t="s">
        <v>10</v>
      </c>
      <c r="C511" s="273">
        <v>2827440</v>
      </c>
      <c r="D511" s="230" t="s">
        <v>430</v>
      </c>
      <c r="E511" s="230"/>
      <c r="F511" s="138" t="s">
        <v>471</v>
      </c>
    </row>
    <row r="512" spans="1:7" ht="16">
      <c r="A512" s="193" t="s">
        <v>495</v>
      </c>
      <c r="B512" s="162" t="s">
        <v>10</v>
      </c>
      <c r="C512" s="239">
        <v>180880</v>
      </c>
      <c r="D512" s="230" t="s">
        <v>430</v>
      </c>
      <c r="E512" s="230"/>
      <c r="F512" s="138" t="s">
        <v>471</v>
      </c>
    </row>
    <row r="513" spans="1:7" ht="16">
      <c r="A513" s="193" t="s">
        <v>496</v>
      </c>
      <c r="B513" s="162" t="s">
        <v>10</v>
      </c>
      <c r="C513" s="261">
        <v>585000</v>
      </c>
      <c r="D513" s="230" t="s">
        <v>430</v>
      </c>
      <c r="E513" s="230"/>
      <c r="F513" s="138" t="s">
        <v>471</v>
      </c>
    </row>
    <row r="514" spans="1:7" ht="16">
      <c r="A514" s="193" t="s">
        <v>497</v>
      </c>
      <c r="B514" s="162" t="s">
        <v>10</v>
      </c>
      <c r="C514" s="239">
        <v>52727</v>
      </c>
      <c r="D514" s="230" t="s">
        <v>430</v>
      </c>
      <c r="E514" s="230"/>
      <c r="F514" s="138" t="s">
        <v>394</v>
      </c>
    </row>
    <row r="515" spans="1:7" ht="16">
      <c r="A515" s="193" t="s">
        <v>498</v>
      </c>
      <c r="B515" s="162" t="s">
        <v>10</v>
      </c>
      <c r="C515" s="239">
        <v>41081</v>
      </c>
      <c r="D515" s="230"/>
      <c r="E515" s="230"/>
      <c r="F515" s="138" t="s">
        <v>394</v>
      </c>
    </row>
    <row r="516" spans="1:7" ht="16">
      <c r="A516" s="193" t="s">
        <v>499</v>
      </c>
      <c r="B516" s="162" t="s">
        <v>10</v>
      </c>
      <c r="C516" s="239">
        <v>24800</v>
      </c>
      <c r="D516" s="230"/>
      <c r="E516" s="230"/>
      <c r="F516" s="138"/>
    </row>
    <row r="517" spans="1:7" ht="16">
      <c r="A517" s="193" t="s">
        <v>500</v>
      </c>
      <c r="B517" s="162" t="s">
        <v>10</v>
      </c>
      <c r="C517" s="239">
        <v>42854</v>
      </c>
      <c r="D517" s="166"/>
      <c r="E517" s="230"/>
      <c r="F517" s="138" t="s">
        <v>394</v>
      </c>
      <c r="G517" s="138">
        <v>42851</v>
      </c>
    </row>
    <row r="518" spans="1:7" ht="16">
      <c r="A518" s="193" t="s">
        <v>501</v>
      </c>
      <c r="B518" s="162" t="s">
        <v>10</v>
      </c>
      <c r="C518" s="239">
        <v>82000</v>
      </c>
      <c r="D518" s="274"/>
      <c r="E518" s="230"/>
      <c r="F518" s="138"/>
      <c r="G518" s="138"/>
    </row>
    <row r="519" spans="1:7" ht="16">
      <c r="A519" s="193" t="s">
        <v>502</v>
      </c>
      <c r="B519" s="162" t="s">
        <v>10</v>
      </c>
      <c r="C519" s="239">
        <f>169000*1.19</f>
        <v>201110</v>
      </c>
      <c r="D519" s="166"/>
      <c r="E519" s="230"/>
      <c r="F519" s="138"/>
      <c r="G519" s="138"/>
    </row>
    <row r="520" spans="1:7" ht="16">
      <c r="A520" s="193" t="s">
        <v>503</v>
      </c>
      <c r="B520" s="162" t="s">
        <v>10</v>
      </c>
      <c r="C520" s="239">
        <v>190404</v>
      </c>
      <c r="D520" s="230"/>
      <c r="E520" s="230"/>
      <c r="F520" s="138" t="s">
        <v>394</v>
      </c>
    </row>
    <row r="521" spans="1:7" ht="16">
      <c r="A521" s="193" t="s">
        <v>504</v>
      </c>
      <c r="B521" s="162" t="s">
        <v>10</v>
      </c>
      <c r="C521" s="239">
        <v>11983</v>
      </c>
      <c r="D521" s="230"/>
      <c r="E521" s="230"/>
      <c r="F521" s="138" t="s">
        <v>394</v>
      </c>
      <c r="G521" t="s">
        <v>505</v>
      </c>
    </row>
    <row r="522" spans="1:7" ht="16">
      <c r="A522" s="193" t="s">
        <v>506</v>
      </c>
      <c r="B522" s="162" t="s">
        <v>10</v>
      </c>
      <c r="C522" s="239">
        <v>850850</v>
      </c>
      <c r="D522" s="230"/>
      <c r="E522" s="230"/>
      <c r="F522" s="138" t="s">
        <v>471</v>
      </c>
    </row>
    <row r="523" spans="1:7" ht="16">
      <c r="A523" s="193" t="s">
        <v>507</v>
      </c>
      <c r="B523" s="162" t="s">
        <v>10</v>
      </c>
      <c r="C523" s="261">
        <v>810000</v>
      </c>
      <c r="D523" s="230" t="s">
        <v>430</v>
      </c>
      <c r="E523" s="230"/>
      <c r="F523" s="138" t="s">
        <v>471</v>
      </c>
    </row>
    <row r="524" spans="1:7" ht="16">
      <c r="A524" s="193" t="s">
        <v>508</v>
      </c>
      <c r="B524" s="162" t="s">
        <v>10</v>
      </c>
      <c r="C524" s="239">
        <v>92062</v>
      </c>
      <c r="D524" s="230" t="s">
        <v>430</v>
      </c>
      <c r="E524" s="230"/>
      <c r="F524" s="138" t="s">
        <v>394</v>
      </c>
    </row>
    <row r="525" spans="1:7" ht="16">
      <c r="A525" s="193" t="s">
        <v>509</v>
      </c>
      <c r="B525" s="162" t="s">
        <v>10</v>
      </c>
      <c r="C525" s="239">
        <v>55000</v>
      </c>
      <c r="D525" s="230"/>
      <c r="E525" s="230"/>
      <c r="F525" s="138" t="s">
        <v>394</v>
      </c>
    </row>
    <row r="526" spans="1:7" ht="16">
      <c r="A526" s="193" t="s">
        <v>510</v>
      </c>
      <c r="B526" s="162" t="s">
        <v>10</v>
      </c>
      <c r="C526" s="261"/>
      <c r="D526" s="230" t="s">
        <v>430</v>
      </c>
      <c r="E526" s="230"/>
      <c r="F526" s="138" t="s">
        <v>471</v>
      </c>
      <c r="G526">
        <v>40650</v>
      </c>
    </row>
    <row r="527" spans="1:7" ht="16">
      <c r="A527" s="193" t="s">
        <v>511</v>
      </c>
      <c r="B527" s="162" t="s">
        <v>10</v>
      </c>
      <c r="C527" s="239">
        <v>68515</v>
      </c>
      <c r="D527" s="230" t="s">
        <v>430</v>
      </c>
      <c r="E527" s="230"/>
      <c r="F527" s="138" t="s">
        <v>471</v>
      </c>
    </row>
    <row r="528" spans="1:7" ht="16">
      <c r="A528" s="193" t="s">
        <v>512</v>
      </c>
      <c r="B528" s="162" t="s">
        <v>10</v>
      </c>
      <c r="C528" s="239">
        <v>638000</v>
      </c>
      <c r="D528" s="230"/>
      <c r="E528" s="230"/>
      <c r="F528" s="138" t="s">
        <v>471</v>
      </c>
      <c r="G528" t="s">
        <v>513</v>
      </c>
    </row>
    <row r="529" spans="1:10" ht="16">
      <c r="A529" s="193" t="s">
        <v>514</v>
      </c>
      <c r="B529" s="162" t="s">
        <v>10</v>
      </c>
      <c r="C529" s="239">
        <v>72087</v>
      </c>
      <c r="D529" s="230" t="s">
        <v>430</v>
      </c>
      <c r="E529" s="230"/>
      <c r="F529" s="138" t="s">
        <v>471</v>
      </c>
    </row>
    <row r="530" spans="1:10" ht="16">
      <c r="A530" s="193" t="s">
        <v>515</v>
      </c>
      <c r="B530" s="162" t="s">
        <v>9</v>
      </c>
      <c r="C530" s="275">
        <f>120000/300</f>
        <v>400</v>
      </c>
      <c r="D530" s="230"/>
      <c r="E530" s="230"/>
      <c r="F530" s="138" t="s">
        <v>134</v>
      </c>
      <c r="G530" t="s">
        <v>516</v>
      </c>
      <c r="H530" t="s">
        <v>517</v>
      </c>
      <c r="J530" t="s">
        <v>518</v>
      </c>
    </row>
    <row r="531" spans="1:10" ht="16">
      <c r="A531" s="276" t="s">
        <v>519</v>
      </c>
      <c r="B531" s="277" t="s">
        <v>10</v>
      </c>
      <c r="C531" s="278">
        <v>2500000</v>
      </c>
      <c r="D531" s="230" t="s">
        <v>430</v>
      </c>
      <c r="E531" s="230"/>
    </row>
    <row r="532" spans="1:10" ht="86.25" customHeight="1">
      <c r="A532" s="279" t="s">
        <v>520</v>
      </c>
      <c r="B532" s="280" t="s">
        <v>10</v>
      </c>
      <c r="C532" s="245">
        <v>310000000</v>
      </c>
      <c r="D532" s="247"/>
      <c r="E532" s="247"/>
      <c r="F532" s="281"/>
    </row>
    <row r="533" spans="1:10" ht="39" customHeight="1">
      <c r="A533" s="282" t="s">
        <v>521</v>
      </c>
      <c r="B533" s="283" t="s">
        <v>10</v>
      </c>
      <c r="C533" s="245">
        <v>104389.18</v>
      </c>
      <c r="D533" s="230"/>
      <c r="E533" s="284">
        <v>104389.18</v>
      </c>
      <c r="F533" s="281"/>
    </row>
    <row r="534" spans="1:10" ht="38.25" customHeight="1">
      <c r="A534" s="282" t="s">
        <v>522</v>
      </c>
      <c r="B534" s="285" t="s">
        <v>10</v>
      </c>
      <c r="C534" s="245">
        <v>104373.71</v>
      </c>
      <c r="D534" s="230"/>
      <c r="E534" s="166">
        <v>104373.71</v>
      </c>
      <c r="F534" s="281"/>
    </row>
    <row r="535" spans="1:10" ht="41.25" customHeight="1">
      <c r="A535" s="282" t="s">
        <v>523</v>
      </c>
      <c r="B535" s="285" t="s">
        <v>10</v>
      </c>
      <c r="C535" s="245">
        <v>113107.12</v>
      </c>
      <c r="D535" s="230"/>
      <c r="E535" s="166">
        <v>113107.12</v>
      </c>
      <c r="F535" s="281"/>
    </row>
    <row r="536" spans="1:10" ht="42.75" customHeight="1">
      <c r="A536" s="282" t="s">
        <v>524</v>
      </c>
      <c r="B536" s="283" t="s">
        <v>10</v>
      </c>
      <c r="C536" s="245">
        <v>69718.53</v>
      </c>
      <c r="D536" s="230"/>
      <c r="E536" s="166">
        <v>69718.53</v>
      </c>
      <c r="F536" s="281"/>
    </row>
    <row r="537" spans="1:10" ht="41.25" customHeight="1">
      <c r="A537" s="282" t="s">
        <v>525</v>
      </c>
      <c r="B537" s="283" t="s">
        <v>10</v>
      </c>
      <c r="C537" s="245">
        <v>61764.57</v>
      </c>
      <c r="D537" s="230"/>
      <c r="E537" s="166">
        <v>61764.57</v>
      </c>
      <c r="F537" s="281" t="s">
        <v>526</v>
      </c>
    </row>
    <row r="538" spans="1:10" ht="42.75" customHeight="1">
      <c r="A538" s="282" t="s">
        <v>527</v>
      </c>
      <c r="B538" s="283" t="s">
        <v>10</v>
      </c>
      <c r="C538" s="245">
        <v>47660.69</v>
      </c>
      <c r="D538" s="230"/>
      <c r="E538" s="166">
        <v>47660.69</v>
      </c>
      <c r="F538" s="281"/>
    </row>
    <row r="539" spans="1:10" ht="38.25" customHeight="1">
      <c r="A539" s="282" t="s">
        <v>528</v>
      </c>
      <c r="B539" s="283" t="s">
        <v>10</v>
      </c>
      <c r="C539" s="245">
        <v>44327.5</v>
      </c>
      <c r="D539" s="230"/>
      <c r="E539" s="166">
        <v>44327.5</v>
      </c>
      <c r="F539" s="281" t="s">
        <v>529</v>
      </c>
    </row>
    <row r="540" spans="1:10" ht="19.5" customHeight="1">
      <c r="A540" s="286" t="s">
        <v>530</v>
      </c>
      <c r="B540" s="285" t="s">
        <v>10</v>
      </c>
      <c r="C540" s="287"/>
      <c r="D540" s="230"/>
      <c r="E540" s="166"/>
    </row>
    <row r="541" spans="1:10" ht="24" customHeight="1">
      <c r="A541" s="282" t="s">
        <v>531</v>
      </c>
      <c r="B541" s="285" t="s">
        <v>10</v>
      </c>
      <c r="C541" s="245">
        <v>465000</v>
      </c>
      <c r="D541" s="245">
        <v>861485.63</v>
      </c>
      <c r="E541" s="166"/>
      <c r="F541" s="166"/>
    </row>
    <row r="542" spans="1:10" ht="24" customHeight="1">
      <c r="A542" s="282" t="s">
        <v>532</v>
      </c>
      <c r="B542" s="285" t="s">
        <v>10</v>
      </c>
      <c r="C542" s="245">
        <v>563078.25</v>
      </c>
      <c r="D542" s="245">
        <v>563078.25</v>
      </c>
      <c r="E542" s="166"/>
      <c r="F542" s="166"/>
    </row>
    <row r="543" spans="1:10" ht="24" customHeight="1">
      <c r="A543" s="282" t="s">
        <v>533</v>
      </c>
      <c r="B543" s="285" t="s">
        <v>10</v>
      </c>
      <c r="C543" s="245">
        <v>1155000</v>
      </c>
      <c r="D543" s="245">
        <v>1183187.25</v>
      </c>
      <c r="E543" s="166"/>
      <c r="F543" s="166"/>
    </row>
    <row r="544" spans="1:10" ht="24" customHeight="1">
      <c r="A544" s="282" t="s">
        <v>534</v>
      </c>
      <c r="B544" s="285" t="s">
        <v>10</v>
      </c>
      <c r="C544" s="245">
        <v>1155000</v>
      </c>
      <c r="D544" s="245">
        <v>1183187.25</v>
      </c>
      <c r="E544" s="166"/>
      <c r="F544" s="166"/>
    </row>
    <row r="545" spans="1:6" ht="24" customHeight="1">
      <c r="A545" s="282" t="s">
        <v>535</v>
      </c>
      <c r="B545" s="285" t="s">
        <v>10</v>
      </c>
      <c r="C545" s="245">
        <v>906066</v>
      </c>
      <c r="D545" s="230"/>
      <c r="E545" s="166"/>
      <c r="F545" s="166"/>
    </row>
    <row r="546" spans="1:6" ht="24" customHeight="1">
      <c r="A546" s="282" t="s">
        <v>536</v>
      </c>
      <c r="B546" s="285" t="s">
        <v>10</v>
      </c>
      <c r="C546" s="245">
        <v>1481193</v>
      </c>
      <c r="D546" s="230"/>
      <c r="E546" s="166"/>
      <c r="F546" s="166"/>
    </row>
    <row r="547" spans="1:6" ht="24" customHeight="1">
      <c r="A547" s="282" t="s">
        <v>537</v>
      </c>
      <c r="B547" s="285" t="s">
        <v>10</v>
      </c>
      <c r="C547" s="245">
        <v>181373.85</v>
      </c>
      <c r="D547" s="230"/>
      <c r="E547" s="166"/>
      <c r="F547" s="166"/>
    </row>
    <row r="548" spans="1:6" ht="24" customHeight="1">
      <c r="A548" s="282" t="s">
        <v>538</v>
      </c>
      <c r="B548" s="285" t="s">
        <v>10</v>
      </c>
      <c r="C548" s="245">
        <v>122094</v>
      </c>
      <c r="D548" s="230"/>
      <c r="E548" s="166"/>
      <c r="F548" s="166"/>
    </row>
    <row r="549" spans="1:6" ht="24" customHeight="1">
      <c r="A549" s="282" t="s">
        <v>539</v>
      </c>
      <c r="B549" s="285" t="s">
        <v>10</v>
      </c>
      <c r="C549" s="245">
        <v>50604.75</v>
      </c>
      <c r="D549" s="230"/>
      <c r="E549" s="166"/>
      <c r="F549" s="166"/>
    </row>
    <row r="550" spans="1:6" ht="24" customHeight="1">
      <c r="A550" s="282" t="s">
        <v>540</v>
      </c>
      <c r="B550" s="285" t="s">
        <v>10</v>
      </c>
      <c r="C550" s="245">
        <v>61866.32</v>
      </c>
      <c r="D550" s="230"/>
      <c r="E550" s="166"/>
      <c r="F550" s="166"/>
    </row>
    <row r="551" spans="1:6" ht="24" customHeight="1">
      <c r="A551" s="282" t="s">
        <v>541</v>
      </c>
      <c r="B551" s="285" t="s">
        <v>10</v>
      </c>
      <c r="C551" s="245">
        <v>81288.899999999994</v>
      </c>
      <c r="D551" s="230"/>
      <c r="E551" s="166"/>
      <c r="F551" s="166"/>
    </row>
    <row r="552" spans="1:6" ht="24" customHeight="1">
      <c r="A552" s="282" t="s">
        <v>542</v>
      </c>
      <c r="B552" s="285" t="s">
        <v>10</v>
      </c>
      <c r="C552" s="245">
        <v>500400</v>
      </c>
      <c r="D552" s="245">
        <v>306198.90000000002</v>
      </c>
      <c r="E552" s="166"/>
      <c r="F552" s="166"/>
    </row>
    <row r="553" spans="1:6" ht="24" customHeight="1">
      <c r="A553" s="282" t="s">
        <v>543</v>
      </c>
      <c r="B553" s="285" t="s">
        <v>10</v>
      </c>
      <c r="C553" s="245">
        <v>736000</v>
      </c>
      <c r="D553" s="245">
        <v>570307.5</v>
      </c>
      <c r="E553" s="166"/>
      <c r="F553" s="166"/>
    </row>
    <row r="554" spans="1:6" ht="24" customHeight="1">
      <c r="A554" s="282" t="s">
        <v>544</v>
      </c>
      <c r="B554" s="285" t="s">
        <v>10</v>
      </c>
      <c r="C554" s="245">
        <v>41367.379999999997</v>
      </c>
      <c r="D554" s="245">
        <v>41367.379999999997</v>
      </c>
      <c r="E554" s="166">
        <v>377000</v>
      </c>
      <c r="F554" s="166"/>
    </row>
    <row r="555" spans="1:6" ht="24" customHeight="1">
      <c r="A555" s="282" t="s">
        <v>545</v>
      </c>
      <c r="B555" s="285" t="s">
        <v>10</v>
      </c>
      <c r="C555" s="245">
        <v>535767.75</v>
      </c>
      <c r="D555" s="230"/>
      <c r="E555" s="166"/>
      <c r="F555" s="166"/>
    </row>
    <row r="556" spans="1:6" ht="24" customHeight="1">
      <c r="A556" s="282" t="s">
        <v>546</v>
      </c>
      <c r="B556" s="285" t="s">
        <v>10</v>
      </c>
      <c r="C556" s="245">
        <v>46410</v>
      </c>
      <c r="D556" s="230"/>
      <c r="E556" s="166"/>
      <c r="F556" s="166"/>
    </row>
    <row r="557" spans="1:6" ht="24" customHeight="1">
      <c r="A557" s="282" t="s">
        <v>547</v>
      </c>
      <c r="B557" s="285" t="s">
        <v>10</v>
      </c>
      <c r="C557" s="245">
        <v>72900</v>
      </c>
      <c r="D557" s="230"/>
      <c r="E557" s="166"/>
      <c r="F557" s="166"/>
    </row>
    <row r="558" spans="1:6" ht="24" customHeight="1">
      <c r="A558" s="282" t="s">
        <v>548</v>
      </c>
      <c r="B558" s="285" t="s">
        <v>10</v>
      </c>
      <c r="C558" s="245">
        <v>27965</v>
      </c>
      <c r="D558" s="230"/>
      <c r="E558" s="166"/>
      <c r="F558" s="166"/>
    </row>
    <row r="559" spans="1:6" ht="24" customHeight="1">
      <c r="A559" s="282" t="s">
        <v>549</v>
      </c>
      <c r="B559" s="285" t="s">
        <v>10</v>
      </c>
      <c r="C559" s="245">
        <v>45993.5</v>
      </c>
      <c r="D559" s="230"/>
      <c r="E559" s="166"/>
      <c r="F559" s="166"/>
    </row>
    <row r="560" spans="1:6" ht="24" customHeight="1">
      <c r="A560" s="282" t="s">
        <v>550</v>
      </c>
      <c r="B560" s="285" t="s">
        <v>10</v>
      </c>
      <c r="C560" s="245">
        <v>78000</v>
      </c>
      <c r="D560" s="230"/>
      <c r="E560" s="166"/>
      <c r="F560" s="166"/>
    </row>
    <row r="561" spans="1:6" ht="24" customHeight="1">
      <c r="A561" s="282" t="s">
        <v>551</v>
      </c>
      <c r="B561" s="285" t="s">
        <v>10</v>
      </c>
      <c r="C561" s="245">
        <v>54000</v>
      </c>
      <c r="D561" s="230"/>
      <c r="E561" s="166"/>
      <c r="F561" s="166"/>
    </row>
    <row r="562" spans="1:6" ht="24" customHeight="1">
      <c r="A562" s="282" t="s">
        <v>552</v>
      </c>
      <c r="B562" s="288" t="s">
        <v>83</v>
      </c>
      <c r="C562" s="245">
        <v>0.2</v>
      </c>
      <c r="D562" s="230"/>
      <c r="E562" s="166"/>
      <c r="F562" s="166"/>
    </row>
    <row r="563" spans="1:6" ht="24" customHeight="1">
      <c r="A563" s="282" t="s">
        <v>553</v>
      </c>
      <c r="B563" s="288" t="s">
        <v>83</v>
      </c>
      <c r="C563" s="245">
        <v>0.05</v>
      </c>
      <c r="D563" s="230"/>
      <c r="E563" s="166"/>
      <c r="F563" s="166"/>
    </row>
    <row r="564" spans="1:6" ht="24" customHeight="1">
      <c r="A564" s="282" t="s">
        <v>554</v>
      </c>
      <c r="B564" s="288" t="s">
        <v>83</v>
      </c>
      <c r="C564" s="245">
        <v>0.05</v>
      </c>
      <c r="D564" s="230"/>
      <c r="E564" s="166"/>
      <c r="F564" s="166"/>
    </row>
    <row r="565" spans="1:6" ht="24" customHeight="1">
      <c r="A565" s="282" t="s">
        <v>555</v>
      </c>
      <c r="B565" s="288" t="s">
        <v>83</v>
      </c>
      <c r="C565" s="245">
        <v>1.85</v>
      </c>
      <c r="D565" s="230"/>
      <c r="E565" s="166"/>
    </row>
    <row r="566" spans="1:6" ht="24" customHeight="1">
      <c r="A566" s="282" t="s">
        <v>556</v>
      </c>
      <c r="B566" s="285" t="s">
        <v>90</v>
      </c>
      <c r="C566" s="245">
        <v>3428.4666666666667</v>
      </c>
      <c r="D566" s="230"/>
      <c r="E566" s="166"/>
    </row>
    <row r="567" spans="1:6" ht="24" customHeight="1">
      <c r="A567" s="184" t="s">
        <v>557</v>
      </c>
      <c r="B567" s="162" t="s">
        <v>4</v>
      </c>
      <c r="C567" s="239">
        <v>19000</v>
      </c>
      <c r="D567" s="230"/>
      <c r="E567" s="166"/>
    </row>
    <row r="568" spans="1:6" ht="24" customHeight="1">
      <c r="A568" s="184" t="s">
        <v>558</v>
      </c>
      <c r="B568" s="162" t="s">
        <v>9</v>
      </c>
      <c r="C568" s="239">
        <v>18500</v>
      </c>
      <c r="D568" s="230"/>
      <c r="E568" s="166"/>
    </row>
    <row r="569" spans="1:6" ht="24" customHeight="1">
      <c r="A569" s="184" t="s">
        <v>559</v>
      </c>
      <c r="B569" s="162" t="s">
        <v>9</v>
      </c>
      <c r="C569" s="239">
        <v>8500</v>
      </c>
      <c r="D569" s="230"/>
      <c r="E569" s="166"/>
    </row>
    <row r="570" spans="1:6" ht="24" customHeight="1">
      <c r="A570" s="289"/>
      <c r="B570" s="289"/>
      <c r="C570" s="290"/>
      <c r="D570" s="230"/>
      <c r="E570" s="166"/>
    </row>
    <row r="571" spans="1:6" ht="24" customHeight="1">
      <c r="A571" s="289"/>
      <c r="B571" s="289"/>
      <c r="C571" s="290"/>
      <c r="D571" s="230"/>
      <c r="E571" s="166"/>
    </row>
    <row r="572" spans="1:6" ht="24" customHeight="1">
      <c r="A572" s="289"/>
      <c r="B572" s="289"/>
      <c r="C572" s="290"/>
      <c r="D572" s="230"/>
      <c r="E572" s="166"/>
    </row>
    <row r="573" spans="1:6" ht="17" thickBot="1">
      <c r="A573" s="308"/>
      <c r="B573" s="309"/>
      <c r="C573" s="230"/>
      <c r="D573" s="230"/>
      <c r="E573" s="230"/>
    </row>
    <row r="574" spans="1:6" ht="16">
      <c r="A574" s="6" t="e">
        <f>+#REF!</f>
        <v>#REF!</v>
      </c>
      <c r="B574" s="291"/>
      <c r="C574" s="6"/>
      <c r="D574" s="6"/>
      <c r="E574" s="230"/>
    </row>
    <row r="575" spans="1:6" ht="16">
      <c r="A575" s="6" t="e">
        <f>+#REF!</f>
        <v>#REF!</v>
      </c>
      <c r="B575" s="291"/>
      <c r="C575" s="6"/>
      <c r="D575" s="6"/>
      <c r="E575" s="230"/>
    </row>
    <row r="576" spans="1:6" ht="16">
      <c r="A576" s="6" t="e">
        <f>+#REF!</f>
        <v>#REF!</v>
      </c>
      <c r="B576" s="291"/>
      <c r="C576" s="6"/>
      <c r="D576" s="6"/>
      <c r="E576" s="230"/>
    </row>
    <row r="577" spans="1:5" ht="16">
      <c r="A577" s="6"/>
      <c r="B577" s="291"/>
      <c r="C577" s="6"/>
      <c r="D577" s="6"/>
      <c r="E577" s="230"/>
    </row>
    <row r="578" spans="1:5" ht="16">
      <c r="A578" s="138"/>
      <c r="B578" s="232"/>
      <c r="C578" s="230"/>
      <c r="D578" s="230"/>
      <c r="E578" s="230"/>
    </row>
    <row r="579" spans="1:5" ht="16">
      <c r="A579" s="138"/>
      <c r="B579" s="232"/>
      <c r="C579" s="230"/>
      <c r="D579" s="230"/>
      <c r="E579" s="230"/>
    </row>
    <row r="580" spans="1:5" ht="16">
      <c r="A580" s="138"/>
      <c r="B580" s="232"/>
      <c r="C580" s="230"/>
      <c r="D580" s="230"/>
      <c r="E580" s="230"/>
    </row>
    <row r="581" spans="1:5" ht="16">
      <c r="A581" s="138"/>
      <c r="B581" s="232"/>
      <c r="C581" s="230"/>
      <c r="D581" s="230"/>
      <c r="E581" s="230"/>
    </row>
    <row r="582" spans="1:5" ht="16">
      <c r="A582" s="138"/>
      <c r="B582" s="232"/>
      <c r="C582" s="230"/>
      <c r="D582" s="230"/>
      <c r="E582" s="230"/>
    </row>
    <row r="583" spans="1:5" ht="16">
      <c r="C583" s="230"/>
      <c r="D583" s="230"/>
      <c r="E583" s="230"/>
    </row>
    <row r="584" spans="1:5" ht="16">
      <c r="C584" s="230"/>
      <c r="D584" s="230"/>
      <c r="E584" s="230"/>
    </row>
    <row r="585" spans="1:5" ht="16">
      <c r="C585" s="230"/>
      <c r="D585" s="230"/>
      <c r="E585" s="230"/>
    </row>
    <row r="586" spans="1:5" ht="16">
      <c r="C586" s="230"/>
      <c r="D586" s="230"/>
      <c r="E586" s="230"/>
    </row>
  </sheetData>
  <mergeCells count="4">
    <mergeCell ref="A1:E1"/>
    <mergeCell ref="A2:D2"/>
    <mergeCell ref="A4:E4"/>
    <mergeCell ref="A5:E5"/>
  </mergeCells>
  <pageMargins left="0.19685039370078741" right="0.19685039370078741" top="1.1811023622047245" bottom="0.78740157480314965" header="0" footer="0"/>
  <pageSetup scale="60" orientation="portrait" errors="NA" r:id="rId1"/>
  <headerFooter alignWithMargins="0">
    <oddHeader>&amp;L&amp;G
&amp;"-,Normal"&amp;12Corregimiento de San José de Oriente - Municipio de La Paz - Cesar&amp;R&amp;G
&amp;"-,Normal"&amp;12email: gestiproltda@gmail.com
celular: 3116625686</oddHeader>
  </headerFooter>
  <rowBreaks count="3" manualBreakCount="3">
    <brk id="132" max="5" man="1"/>
    <brk id="154" max="5" man="1"/>
    <brk id="217" max="16383" man="1"/>
  </rowBreaks>
  <drawing r:id="rId2"/>
  <legacyDrawingHF r:id="rId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17</vt:i4>
      </vt:variant>
      <vt:variant>
        <vt:lpstr>Rangos con nombre</vt:lpstr>
      </vt:variant>
      <vt:variant>
        <vt:i4>14</vt:i4>
      </vt:variant>
    </vt:vector>
  </HeadingPairs>
  <TitlesOfParts>
    <vt:vector size="31" baseType="lpstr">
      <vt:lpstr>H1</vt:lpstr>
      <vt:lpstr>CRONOGRAMA</vt:lpstr>
      <vt:lpstr>H2</vt:lpstr>
      <vt:lpstr>PRESUPUESTO</vt:lpstr>
      <vt:lpstr>AIU</vt:lpstr>
      <vt:lpstr>H3</vt:lpstr>
      <vt:lpstr>APU </vt:lpstr>
      <vt:lpstr>H4</vt:lpstr>
      <vt:lpstr>CANTIDADES</vt:lpstr>
      <vt:lpstr>H5</vt:lpstr>
      <vt:lpstr>MANO DE OBRA</vt:lpstr>
      <vt:lpstr>PPTO 2</vt:lpstr>
      <vt:lpstr>APU 2</vt:lpstr>
      <vt:lpstr>Cantidad 2</vt:lpstr>
      <vt:lpstr>Cronograma 2</vt:lpstr>
      <vt:lpstr>APU VIADUCTO</vt:lpstr>
      <vt:lpstr>ANALISIS BASICOS E INSUMOS</vt:lpstr>
      <vt:lpstr>AIU!Área_de_impresión</vt:lpstr>
      <vt:lpstr>'ANALISIS BASICOS E INSUMOS'!Área_de_impresión</vt:lpstr>
      <vt:lpstr>'APU '!Área_de_impresión</vt:lpstr>
      <vt:lpstr>'APU 2'!Área_de_impresión</vt:lpstr>
      <vt:lpstr>'APU VIADUCTO'!Área_de_impresión</vt:lpstr>
      <vt:lpstr>'Cantidad 2'!Área_de_impresión</vt:lpstr>
      <vt:lpstr>CANTIDADES!Área_de_impresión</vt:lpstr>
      <vt:lpstr>CRONOGRAMA!Área_de_impresión</vt:lpstr>
      <vt:lpstr>'Cronograma 2'!Área_de_impresión</vt:lpstr>
      <vt:lpstr>'H1'!Área_de_impresión</vt:lpstr>
      <vt:lpstr>'H2'!Área_de_impresión</vt:lpstr>
      <vt:lpstr>'MANO DE OBRA'!Área_de_impresión</vt:lpstr>
      <vt:lpstr>'PPTO 2'!Área_de_impresión</vt:lpstr>
      <vt:lpstr>'ANALISIS BASICOS E INSUMOS'!Títulos_a_imprimir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Ing. Elixander Lemus</dc:creator>
  <cp:lastModifiedBy>MacBook</cp:lastModifiedBy>
  <cp:lastPrinted>2026-03-02T18:27:55Z</cp:lastPrinted>
  <dcterms:created xsi:type="dcterms:W3CDTF">2021-06-17T13:53:45Z</dcterms:created>
  <dcterms:modified xsi:type="dcterms:W3CDTF">2026-03-04T22:59:59Z</dcterms:modified>
</cp:coreProperties>
</file>